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sp58_st-andrews_ac_uk/Documents/gen_lang_hand_meta/GenLang_hand_preference_meta_analysis/"/>
    </mc:Choice>
  </mc:AlternateContent>
  <xr:revisionPtr revIDLastSave="7" documentId="13_ncr:1_{E2FF6E20-8800-5445-A236-C1846F152D4E}" xr6:coauthVersionLast="47" xr6:coauthVersionMax="47" xr10:uidLastSave="{6EF8F9A3-3DC1-1E41-80C9-5A79B8ABD15A}"/>
  <bookViews>
    <workbookView xWindow="0" yWindow="500" windowWidth="28800" windowHeight="17500" activeTab="1" xr2:uid="{A6332151-AACC-E14E-B3DF-3D4980E70093}"/>
  </bookViews>
  <sheets>
    <sheet name="sexmatch_strict_all_split" sheetId="24" r:id="rId1"/>
    <sheet name="sexmatch_strict_all_split_0s" sheetId="25" r:id="rId2"/>
    <sheet name="Combined2" sheetId="12" r:id="rId3"/>
    <sheet name="Combined-Female2" sheetId="14" r:id="rId4"/>
    <sheet name="Combined-Male2" sheetId="13" r:id="rId5"/>
    <sheet name="All data" sheetId="23" r:id="rId6"/>
    <sheet name="SLI-All" sheetId="1" r:id="rId7"/>
    <sheet name="SLI-Female" sheetId="5" r:id="rId8"/>
    <sheet name="SLI-Male" sheetId="6" r:id="rId9"/>
    <sheet name="RD-All" sheetId="3" r:id="rId10"/>
    <sheet name="RD-Female" sheetId="10" r:id="rId11"/>
    <sheet name="RD-Male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23" l="1"/>
  <c r="D57" i="23"/>
  <c r="D53" i="23"/>
  <c r="D58" i="23"/>
  <c r="H32" i="23"/>
  <c r="D6" i="12"/>
  <c r="I8" i="23"/>
  <c r="H8" i="23"/>
  <c r="E9" i="12"/>
  <c r="D9" i="12"/>
  <c r="B9" i="12"/>
  <c r="C9" i="12" s="1"/>
  <c r="J42" i="23"/>
  <c r="I5" i="23"/>
  <c r="H5" i="23"/>
  <c r="D4" i="14"/>
  <c r="J48" i="23"/>
  <c r="N48" i="23" s="1"/>
  <c r="O39" i="23"/>
  <c r="N22" i="23"/>
  <c r="N24" i="23"/>
  <c r="N25" i="23"/>
  <c r="N38" i="23"/>
  <c r="N39" i="23"/>
  <c r="N42" i="23"/>
  <c r="M42" i="23"/>
  <c r="F14" i="23"/>
  <c r="E14" i="23"/>
  <c r="M15" i="23"/>
  <c r="F41" i="23"/>
  <c r="M41" i="23" s="1"/>
  <c r="E41" i="23"/>
  <c r="D5" i="5"/>
  <c r="E5" i="5"/>
  <c r="D5" i="14"/>
  <c r="B5" i="14"/>
  <c r="J39" i="23"/>
  <c r="J40" i="23"/>
  <c r="N40" i="23" s="1"/>
  <c r="H41" i="23"/>
  <c r="I41" i="23"/>
  <c r="J30" i="23"/>
  <c r="N30" i="23" s="1"/>
  <c r="J31" i="23"/>
  <c r="E6" i="14" s="1"/>
  <c r="I32" i="23"/>
  <c r="G3" i="23"/>
  <c r="J3" i="23"/>
  <c r="E4" i="9" s="1"/>
  <c r="G4" i="23"/>
  <c r="J4" i="23"/>
  <c r="N4" i="23" s="1"/>
  <c r="G5" i="23"/>
  <c r="C5" i="3" s="1"/>
  <c r="G6" i="23"/>
  <c r="J6" i="23"/>
  <c r="N6" i="23" s="1"/>
  <c r="G7" i="23"/>
  <c r="J7" i="23"/>
  <c r="N7" i="23" s="1"/>
  <c r="G8" i="23"/>
  <c r="G9" i="23"/>
  <c r="C4" i="13" s="1"/>
  <c r="J9" i="23"/>
  <c r="E4" i="6" s="1"/>
  <c r="G10" i="23"/>
  <c r="C4" i="14" s="1"/>
  <c r="J10" i="23"/>
  <c r="N10" i="23" s="1"/>
  <c r="E11" i="23"/>
  <c r="F11" i="23"/>
  <c r="G11" i="23"/>
  <c r="D5" i="3"/>
  <c r="J11" i="23"/>
  <c r="F38" i="23"/>
  <c r="E38" i="23"/>
  <c r="M38" i="23" s="1"/>
  <c r="F35" i="23"/>
  <c r="E35" i="23"/>
  <c r="F32" i="23"/>
  <c r="E32" i="23"/>
  <c r="I44" i="23"/>
  <c r="H44" i="23"/>
  <c r="D7" i="3" s="1"/>
  <c r="F44" i="23"/>
  <c r="E44" i="23"/>
  <c r="G44" i="23" s="1"/>
  <c r="C7" i="3" s="1"/>
  <c r="I38" i="23"/>
  <c r="J38" i="23" s="1"/>
  <c r="H38" i="23"/>
  <c r="G39" i="23"/>
  <c r="D7" i="13"/>
  <c r="G35" i="23"/>
  <c r="I29" i="23"/>
  <c r="J29" i="23" s="1"/>
  <c r="E5" i="12" s="1"/>
  <c r="H29" i="23"/>
  <c r="D5" i="12" s="1"/>
  <c r="F29" i="23"/>
  <c r="E29" i="23"/>
  <c r="I26" i="23"/>
  <c r="H26" i="23"/>
  <c r="N26" i="23" s="1"/>
  <c r="F26" i="23"/>
  <c r="E26" i="23"/>
  <c r="M26" i="23" s="1"/>
  <c r="I23" i="23"/>
  <c r="J23" i="23" s="1"/>
  <c r="N23" i="23" s="1"/>
  <c r="H23" i="23"/>
  <c r="F23" i="23"/>
  <c r="E23" i="23"/>
  <c r="I17" i="23"/>
  <c r="H17" i="23"/>
  <c r="F17" i="23"/>
  <c r="E17" i="23"/>
  <c r="F20" i="23"/>
  <c r="M20" i="23" s="1"/>
  <c r="E20" i="23"/>
  <c r="I20" i="23"/>
  <c r="H20" i="23"/>
  <c r="E5" i="9"/>
  <c r="D4" i="9"/>
  <c r="B4" i="9"/>
  <c r="D6" i="5"/>
  <c r="B4" i="5"/>
  <c r="E4" i="14"/>
  <c r="B4" i="1"/>
  <c r="D4" i="10"/>
  <c r="B4" i="10"/>
  <c r="B5" i="3"/>
  <c r="B4" i="6"/>
  <c r="D4" i="6"/>
  <c r="D4" i="13"/>
  <c r="E4" i="5"/>
  <c r="D4" i="5"/>
  <c r="C3" i="12"/>
  <c r="D2" i="9"/>
  <c r="D2" i="10"/>
  <c r="D7" i="14"/>
  <c r="D6" i="6"/>
  <c r="D6" i="13"/>
  <c r="D6" i="14"/>
  <c r="B4" i="13"/>
  <c r="B4" i="14"/>
  <c r="B6" i="1"/>
  <c r="D6" i="1"/>
  <c r="G42" i="23"/>
  <c r="O42" i="23"/>
  <c r="I47" i="23"/>
  <c r="H47" i="23"/>
  <c r="B4" i="12"/>
  <c r="M48" i="23"/>
  <c r="I50" i="23"/>
  <c r="H50" i="23"/>
  <c r="D10" i="12" s="1"/>
  <c r="O45" i="23"/>
  <c r="J45" i="23"/>
  <c r="N45" i="23" s="1"/>
  <c r="J46" i="23"/>
  <c r="J49" i="23"/>
  <c r="G45" i="23"/>
  <c r="G46" i="23"/>
  <c r="G48" i="23"/>
  <c r="G49" i="23"/>
  <c r="J43" i="23"/>
  <c r="F50" i="23"/>
  <c r="E50" i="23"/>
  <c r="B10" i="12" s="1"/>
  <c r="G43" i="23"/>
  <c r="F47" i="23"/>
  <c r="E47" i="23"/>
  <c r="M45" i="23"/>
  <c r="M40" i="23"/>
  <c r="M39" i="23"/>
  <c r="M37" i="23"/>
  <c r="M36" i="23"/>
  <c r="M33" i="23"/>
  <c r="M32" i="23"/>
  <c r="M31" i="23"/>
  <c r="M30" i="23"/>
  <c r="M29" i="23"/>
  <c r="M28" i="23"/>
  <c r="M27" i="23"/>
  <c r="M25" i="23"/>
  <c r="M24" i="23"/>
  <c r="M22" i="23"/>
  <c r="M21" i="23"/>
  <c r="M19" i="23"/>
  <c r="M18" i="23"/>
  <c r="M17" i="23"/>
  <c r="M16" i="23"/>
  <c r="M13" i="23"/>
  <c r="M12" i="23"/>
  <c r="M8" i="23"/>
  <c r="M7" i="23"/>
  <c r="M6" i="23"/>
  <c r="M5" i="23"/>
  <c r="M4" i="23"/>
  <c r="M3" i="23"/>
  <c r="J12" i="23"/>
  <c r="N12" i="23" s="1"/>
  <c r="J13" i="23"/>
  <c r="N13" i="23" s="1"/>
  <c r="J14" i="23"/>
  <c r="N14" i="23" s="1"/>
  <c r="J15" i="23"/>
  <c r="N15" i="23" s="1"/>
  <c r="J16" i="23"/>
  <c r="N16" i="23" s="1"/>
  <c r="J17" i="23"/>
  <c r="N17" i="23" s="1"/>
  <c r="J18" i="23"/>
  <c r="N18" i="23" s="1"/>
  <c r="J19" i="23"/>
  <c r="N19" i="23" s="1"/>
  <c r="J21" i="23"/>
  <c r="N21" i="23" s="1"/>
  <c r="J22" i="23"/>
  <c r="J24" i="23"/>
  <c r="J25" i="23"/>
  <c r="J26" i="23"/>
  <c r="J27" i="23"/>
  <c r="N27" i="23" s="1"/>
  <c r="J28" i="23"/>
  <c r="N28" i="23" s="1"/>
  <c r="J36" i="23"/>
  <c r="J37" i="23"/>
  <c r="E7" i="13"/>
  <c r="E2" i="10"/>
  <c r="C4" i="10"/>
  <c r="C4" i="6"/>
  <c r="C4" i="5"/>
  <c r="G12" i="23"/>
  <c r="G13" i="23"/>
  <c r="G15" i="23"/>
  <c r="G16" i="23"/>
  <c r="G18" i="23"/>
  <c r="G19" i="23"/>
  <c r="G21" i="23"/>
  <c r="G22" i="23"/>
  <c r="G24" i="23"/>
  <c r="G25" i="23"/>
  <c r="G27" i="23"/>
  <c r="G28" i="23"/>
  <c r="C5" i="14" s="1"/>
  <c r="G30" i="23"/>
  <c r="O30" i="23" s="1"/>
  <c r="G31" i="23"/>
  <c r="G33" i="23"/>
  <c r="G34" i="23"/>
  <c r="G36" i="23"/>
  <c r="G37" i="23"/>
  <c r="G40" i="23"/>
  <c r="G41" i="23"/>
  <c r="C4" i="9"/>
  <c r="C7" i="1"/>
  <c r="E8" i="14"/>
  <c r="D8" i="14"/>
  <c r="C8" i="14"/>
  <c r="C8" i="13"/>
  <c r="E8" i="13"/>
  <c r="E5" i="10"/>
  <c r="C5" i="10"/>
  <c r="C5" i="9"/>
  <c r="E6" i="3"/>
  <c r="C6" i="3"/>
  <c r="C2" i="12"/>
  <c r="E3" i="3"/>
  <c r="C6" i="14"/>
  <c r="E3" i="14"/>
  <c r="C7" i="14"/>
  <c r="C3" i="14"/>
  <c r="E2" i="14"/>
  <c r="C2" i="14"/>
  <c r="C5" i="13"/>
  <c r="C7" i="13"/>
  <c r="C6" i="13"/>
  <c r="E5" i="13"/>
  <c r="E3" i="13"/>
  <c r="C3" i="13"/>
  <c r="E2" i="13"/>
  <c r="C2" i="13"/>
  <c r="E8" i="12"/>
  <c r="C8" i="12"/>
  <c r="C6" i="12"/>
  <c r="E2" i="12"/>
  <c r="E3" i="10"/>
  <c r="D3" i="10"/>
  <c r="C3" i="10"/>
  <c r="B3" i="10"/>
  <c r="C2" i="10"/>
  <c r="B2" i="10"/>
  <c r="E3" i="9"/>
  <c r="D3" i="9"/>
  <c r="C3" i="9"/>
  <c r="B3" i="9"/>
  <c r="C2" i="9"/>
  <c r="B2" i="9"/>
  <c r="B6" i="6"/>
  <c r="C6" i="6"/>
  <c r="E5" i="6"/>
  <c r="D5" i="6"/>
  <c r="C5" i="6"/>
  <c r="B5" i="6"/>
  <c r="B3" i="6"/>
  <c r="C3" i="6"/>
  <c r="D3" i="6"/>
  <c r="E3" i="6"/>
  <c r="E2" i="6"/>
  <c r="D2" i="6"/>
  <c r="C2" i="6"/>
  <c r="B2" i="6"/>
  <c r="C6" i="5"/>
  <c r="B6" i="5"/>
  <c r="C5" i="5"/>
  <c r="B5" i="5"/>
  <c r="E3" i="5"/>
  <c r="D3" i="5"/>
  <c r="C3" i="5"/>
  <c r="B3" i="5"/>
  <c r="E2" i="5"/>
  <c r="D2" i="5"/>
  <c r="C2" i="5"/>
  <c r="B2" i="5"/>
  <c r="C4" i="3"/>
  <c r="C5" i="1"/>
  <c r="E2" i="1"/>
  <c r="C2" i="1"/>
  <c r="E3" i="1"/>
  <c r="C3" i="1"/>
  <c r="D5" i="1"/>
  <c r="E5" i="1"/>
  <c r="E4" i="3"/>
  <c r="D4" i="3"/>
  <c r="C3" i="3"/>
  <c r="D2" i="3" l="1"/>
  <c r="J41" i="23"/>
  <c r="E7" i="12" s="1"/>
  <c r="N11" i="23"/>
  <c r="M14" i="23"/>
  <c r="O48" i="23"/>
  <c r="E5" i="14"/>
  <c r="N29" i="23"/>
  <c r="J8" i="23"/>
  <c r="P24" i="23"/>
  <c r="O24" i="23"/>
  <c r="C4" i="1"/>
  <c r="G47" i="23"/>
  <c r="C6" i="1" s="1"/>
  <c r="J20" i="23"/>
  <c r="E3" i="12" s="1"/>
  <c r="G23" i="23"/>
  <c r="G29" i="23"/>
  <c r="C5" i="12" s="1"/>
  <c r="G32" i="23"/>
  <c r="B5" i="12"/>
  <c r="N20" i="23"/>
  <c r="N50" i="23"/>
  <c r="G20" i="23"/>
  <c r="G26" i="23"/>
  <c r="E6" i="6"/>
  <c r="N9" i="23"/>
  <c r="N8" i="23"/>
  <c r="N3" i="23"/>
  <c r="E6" i="5"/>
  <c r="J5" i="23"/>
  <c r="N5" i="23" s="1"/>
  <c r="J32" i="23"/>
  <c r="E6" i="12" s="1"/>
  <c r="N31" i="23"/>
  <c r="G14" i="23"/>
  <c r="G17" i="23"/>
  <c r="G53" i="23" s="1"/>
  <c r="J53" i="23" s="1"/>
  <c r="D4" i="12"/>
  <c r="D4" i="1"/>
  <c r="M9" i="23"/>
  <c r="G38" i="23"/>
  <c r="E2" i="9"/>
  <c r="E2" i="3"/>
  <c r="D7" i="12"/>
  <c r="M35" i="23"/>
  <c r="M23" i="23"/>
  <c r="E4" i="1"/>
  <c r="E4" i="12"/>
  <c r="E5" i="3"/>
  <c r="D7" i="1"/>
  <c r="M10" i="23"/>
  <c r="P45" i="23"/>
  <c r="E4" i="13"/>
  <c r="B7" i="3"/>
  <c r="E6" i="13"/>
  <c r="E7" i="14"/>
  <c r="E4" i="10"/>
  <c r="M44" i="23"/>
  <c r="P9" i="23"/>
  <c r="O9" i="23"/>
  <c r="P42" i="23"/>
  <c r="G50" i="23"/>
  <c r="J47" i="23"/>
  <c r="N47" i="23" s="1"/>
  <c r="J50" i="23"/>
  <c r="E10" i="12" s="1"/>
  <c r="P48" i="23"/>
  <c r="J44" i="23"/>
  <c r="N44" i="23" s="1"/>
  <c r="M47" i="23"/>
  <c r="D54" i="23" l="1"/>
  <c r="N41" i="23"/>
  <c r="G54" i="23"/>
  <c r="E7" i="1"/>
  <c r="N32" i="23"/>
  <c r="E6" i="1"/>
  <c r="E7" i="3"/>
  <c r="C10" i="12"/>
  <c r="M50" i="23"/>
  <c r="D55" i="23" l="1"/>
  <c r="D56" i="23" s="1"/>
  <c r="C4" i="12"/>
  <c r="M11" i="23"/>
</calcChain>
</file>

<file path=xl/sharedStrings.xml><?xml version="1.0" encoding="utf-8"?>
<sst xmlns="http://schemas.openxmlformats.org/spreadsheetml/2006/main" count="495" uniqueCount="77">
  <si>
    <t xml:space="preserve">TD Left-Handers </t>
  </si>
  <si>
    <t xml:space="preserve">TD Total N </t>
  </si>
  <si>
    <t xml:space="preserve">SLI Left-Handers </t>
  </si>
  <si>
    <t xml:space="preserve">SLI Total N </t>
  </si>
  <si>
    <t xml:space="preserve">Combined Total N </t>
  </si>
  <si>
    <t xml:space="preserve">Combined Left-Handers </t>
  </si>
  <si>
    <t xml:space="preserve">RD Left-Handers </t>
  </si>
  <si>
    <t xml:space="preserve">RD Total N </t>
  </si>
  <si>
    <t>IOWA</t>
  </si>
  <si>
    <t>Raine</t>
  </si>
  <si>
    <t>Toronto</t>
  </si>
  <si>
    <t>TEDS</t>
  </si>
  <si>
    <t>ALSPAC</t>
  </si>
  <si>
    <t>Study</t>
  </si>
  <si>
    <t>York</t>
  </si>
  <si>
    <t>Manchester</t>
  </si>
  <si>
    <t>UKDYS</t>
  </si>
  <si>
    <t>Cohort</t>
  </si>
  <si>
    <t>Epidemiological</t>
  </si>
  <si>
    <t>Clinical</t>
  </si>
  <si>
    <t>N cases</t>
  </si>
  <si>
    <t>N controls</t>
  </si>
  <si>
    <t>Cohort type</t>
  </si>
  <si>
    <t>ALSPAC cohort</t>
  </si>
  <si>
    <t>Reading</t>
  </si>
  <si>
    <t>Male</t>
  </si>
  <si>
    <t>Female</t>
  </si>
  <si>
    <t>Combined</t>
  </si>
  <si>
    <t>Language</t>
  </si>
  <si>
    <t>Raine Study</t>
  </si>
  <si>
    <t>TEDS cohort</t>
  </si>
  <si>
    <t>York cohort</t>
  </si>
  <si>
    <t>#</t>
  </si>
  <si>
    <t>NTR</t>
  </si>
  <si>
    <t>Controls</t>
  </si>
  <si>
    <t>Cases</t>
  </si>
  <si>
    <t>NRH</t>
  </si>
  <si>
    <t>RH</t>
  </si>
  <si>
    <t>Peters</t>
  </si>
  <si>
    <t xml:space="preserve"> </t>
  </si>
  <si>
    <t>Cohort name</t>
  </si>
  <si>
    <t>Phenotype</t>
  </si>
  <si>
    <t>Sex</t>
  </si>
  <si>
    <t>Reading, Language</t>
  </si>
  <si>
    <t>IOWA cohort</t>
  </si>
  <si>
    <r>
      <t>NTR cohort</t>
    </r>
    <r>
      <rPr>
        <b/>
        <vertAlign val="superscript"/>
        <sz val="10"/>
        <color rgb="FF000000"/>
        <rFont val="Calibri Light"/>
        <family val="2"/>
      </rPr>
      <t>1</t>
    </r>
  </si>
  <si>
    <r>
      <t>Multicenter Study Marburg/Würzburg cohort</t>
    </r>
    <r>
      <rPr>
        <b/>
        <vertAlign val="superscript"/>
        <sz val="10"/>
        <color rgb="FF000000"/>
        <rFont val="Calibri Light"/>
        <family val="2"/>
      </rPr>
      <t>1</t>
    </r>
  </si>
  <si>
    <t>Toronto cohort</t>
  </si>
  <si>
    <t>M:F Cases</t>
  </si>
  <si>
    <t>M:F Controls</t>
  </si>
  <si>
    <t>NRH Cases</t>
  </si>
  <si>
    <t>NRH Controls</t>
  </si>
  <si>
    <t>M:F done on combined group</t>
  </si>
  <si>
    <t>TOTAL</t>
  </si>
  <si>
    <t>Total cases</t>
  </si>
  <si>
    <t>Total controls</t>
  </si>
  <si>
    <t>Total</t>
  </si>
  <si>
    <t>Total - NTR/NeuroDys</t>
  </si>
  <si>
    <t>Total Cases - NTR/NeuroDys</t>
  </si>
  <si>
    <t>Total RD</t>
  </si>
  <si>
    <t>Total DLD</t>
  </si>
  <si>
    <r>
      <t>%NRH</t>
    </r>
    <r>
      <rPr>
        <b/>
        <sz val="8"/>
        <color rgb="FF000000"/>
        <rFont val="Times New Roman"/>
        <family val="1"/>
      </rPr>
      <t> </t>
    </r>
    <r>
      <rPr>
        <b/>
        <sz val="10"/>
        <color rgb="FF000000"/>
        <rFont val="Calibri Light"/>
        <family val="2"/>
      </rPr>
      <t xml:space="preserve"> (original)</t>
    </r>
  </si>
  <si>
    <t>Total RD - NTR/NeuroDys</t>
  </si>
  <si>
    <t>Total controls - NTR/NeuroDys</t>
  </si>
  <si>
    <t>Tot Case + control (no NTR&lt;…)</t>
  </si>
  <si>
    <t>cohort_name</t>
  </si>
  <si>
    <t>cohort_type</t>
  </si>
  <si>
    <t>phenotype</t>
  </si>
  <si>
    <t>sex</t>
  </si>
  <si>
    <t>cases_NRH</t>
  </si>
  <si>
    <t>cases_RH</t>
  </si>
  <si>
    <t>controls_NRH</t>
  </si>
  <si>
    <t>controls_RH</t>
  </si>
  <si>
    <t>total_cases</t>
  </si>
  <si>
    <t>total_controls</t>
  </si>
  <si>
    <t>NTR cohort</t>
  </si>
  <si>
    <t>Multicenter Study Marburg/Würzburg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</si>
</sst>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1" fontId="0" fillId="0" borderId="0" xfId="0" applyNumberFormat="1"/>
    <xf numFmtId="3" fontId="0" fillId="0" borderId="0" xfId="0" applyNumberFormat="1"/>
    <xf numFmtId="0" fontId="0" fillId="3" borderId="0" xfId="0" applyFill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/>
    <xf numFmtId="0" fontId="9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2" fontId="5" fillId="2" borderId="0" xfId="0" applyNumberFormat="1" applyFont="1" applyFill="1"/>
    <xf numFmtId="0" fontId="5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/>
    <xf numFmtId="0" fontId="7" fillId="2" borderId="0" xfId="0" applyFont="1" applyFill="1" applyAlignment="1">
      <alignment horizontal="center" vertical="center"/>
    </xf>
    <xf numFmtId="164" fontId="5" fillId="0" borderId="0" xfId="0" applyNumberFormat="1" applyFont="1"/>
    <xf numFmtId="0" fontId="7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AA36-5674-0F4C-9112-EA4C27F6C29D}">
  <dimension ref="A1:J27"/>
  <sheetViews>
    <sheetView workbookViewId="0">
      <selection activeCell="C22" sqref="C22"/>
    </sheetView>
  </sheetViews>
  <sheetFormatPr baseColWidth="10" defaultRowHeight="16" x14ac:dyDescent="0.2"/>
  <sheetData>
    <row r="1" spans="1:10" ht="17" thickBot="1" x14ac:dyDescent="0.25">
      <c r="A1" s="57" t="s">
        <v>65</v>
      </c>
      <c r="B1" s="57" t="s">
        <v>66</v>
      </c>
      <c r="C1" s="57" t="s">
        <v>67</v>
      </c>
      <c r="D1" s="57" t="s">
        <v>68</v>
      </c>
      <c r="E1" s="33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74</v>
      </c>
    </row>
    <row r="2" spans="1:10" ht="17" thickBot="1" x14ac:dyDescent="0.25">
      <c r="A2" s="58" t="s">
        <v>23</v>
      </c>
      <c r="B2" s="59" t="s">
        <v>18</v>
      </c>
      <c r="C2" s="59" t="s">
        <v>24</v>
      </c>
      <c r="D2" s="31" t="s">
        <v>25</v>
      </c>
      <c r="E2" s="31">
        <v>27</v>
      </c>
      <c r="F2" s="31">
        <v>198</v>
      </c>
      <c r="G2" s="31">
        <v>51</v>
      </c>
      <c r="H2" s="31">
        <v>272</v>
      </c>
      <c r="I2" s="31">
        <v>225</v>
      </c>
      <c r="J2" s="31">
        <v>323</v>
      </c>
    </row>
    <row r="3" spans="1:10" ht="17" thickBot="1" x14ac:dyDescent="0.25">
      <c r="A3" s="58" t="s">
        <v>23</v>
      </c>
      <c r="B3" s="59" t="s">
        <v>18</v>
      </c>
      <c r="C3" s="59" t="s">
        <v>24</v>
      </c>
      <c r="D3" s="32" t="s">
        <v>26</v>
      </c>
      <c r="E3" s="32">
        <v>12</v>
      </c>
      <c r="F3" s="32">
        <v>121</v>
      </c>
      <c r="G3" s="32">
        <v>15</v>
      </c>
      <c r="H3" s="32">
        <v>176</v>
      </c>
      <c r="I3" s="31">
        <v>133</v>
      </c>
      <c r="J3" s="31">
        <v>191</v>
      </c>
    </row>
    <row r="4" spans="1:10" ht="17" thickBot="1" x14ac:dyDescent="0.25">
      <c r="A4" s="58" t="s">
        <v>23</v>
      </c>
      <c r="B4" s="59" t="s">
        <v>18</v>
      </c>
      <c r="C4" s="59" t="s">
        <v>28</v>
      </c>
      <c r="D4" s="32" t="s">
        <v>25</v>
      </c>
      <c r="E4" s="32">
        <v>17</v>
      </c>
      <c r="F4" s="32">
        <v>134</v>
      </c>
      <c r="G4" s="31">
        <v>51</v>
      </c>
      <c r="H4" s="31">
        <v>272</v>
      </c>
      <c r="I4" s="31">
        <v>85</v>
      </c>
      <c r="J4" s="31">
        <v>323</v>
      </c>
    </row>
    <row r="5" spans="1:10" ht="17" thickBot="1" x14ac:dyDescent="0.25">
      <c r="A5" s="58" t="s">
        <v>23</v>
      </c>
      <c r="B5" s="59" t="s">
        <v>18</v>
      </c>
      <c r="C5" s="59" t="s">
        <v>28</v>
      </c>
      <c r="D5" s="31" t="s">
        <v>26</v>
      </c>
      <c r="E5" s="31">
        <v>12</v>
      </c>
      <c r="F5" s="31">
        <v>92</v>
      </c>
      <c r="G5" s="32">
        <v>28</v>
      </c>
      <c r="H5" s="32">
        <v>195</v>
      </c>
      <c r="I5" s="31">
        <v>80</v>
      </c>
      <c r="J5" s="31">
        <v>306</v>
      </c>
    </row>
    <row r="6" spans="1:10" ht="17" thickBot="1" x14ac:dyDescent="0.25">
      <c r="A6" s="57" t="s">
        <v>44</v>
      </c>
      <c r="B6" s="60" t="s">
        <v>18</v>
      </c>
      <c r="C6" s="60" t="s">
        <v>28</v>
      </c>
      <c r="D6" s="15" t="s">
        <v>25</v>
      </c>
      <c r="E6" s="15">
        <v>16</v>
      </c>
      <c r="F6" s="15">
        <v>105</v>
      </c>
      <c r="G6" s="15">
        <v>35</v>
      </c>
      <c r="H6" s="15">
        <v>360</v>
      </c>
      <c r="I6" s="31">
        <v>121</v>
      </c>
      <c r="J6" s="31">
        <v>395</v>
      </c>
    </row>
    <row r="7" spans="1:10" ht="17" thickBot="1" x14ac:dyDescent="0.25">
      <c r="A7" s="57" t="s">
        <v>44</v>
      </c>
      <c r="B7" s="60" t="s">
        <v>18</v>
      </c>
      <c r="C7" s="60" t="s">
        <v>28</v>
      </c>
      <c r="D7" s="34" t="s">
        <v>26</v>
      </c>
      <c r="E7" s="34">
        <v>6</v>
      </c>
      <c r="F7" s="34">
        <v>77</v>
      </c>
      <c r="G7" s="34">
        <v>21</v>
      </c>
      <c r="H7" s="34">
        <v>250</v>
      </c>
      <c r="I7" s="31">
        <v>83</v>
      </c>
      <c r="J7" s="31">
        <v>271</v>
      </c>
    </row>
    <row r="8" spans="1:10" ht="17" thickBot="1" x14ac:dyDescent="0.25">
      <c r="A8" s="57" t="s">
        <v>75</v>
      </c>
      <c r="B8" s="60" t="s">
        <v>18</v>
      </c>
      <c r="C8" s="60" t="s">
        <v>24</v>
      </c>
      <c r="D8" s="34" t="s">
        <v>25</v>
      </c>
      <c r="E8" s="34">
        <v>18</v>
      </c>
      <c r="F8" s="34">
        <v>97</v>
      </c>
      <c r="G8" s="34">
        <v>66</v>
      </c>
      <c r="H8" s="34">
        <v>450</v>
      </c>
      <c r="I8" s="31">
        <v>115</v>
      </c>
      <c r="J8" s="31">
        <v>516</v>
      </c>
    </row>
    <row r="9" spans="1:10" ht="17" thickBot="1" x14ac:dyDescent="0.25">
      <c r="A9" s="57" t="s">
        <v>75</v>
      </c>
      <c r="B9" s="60" t="s">
        <v>18</v>
      </c>
      <c r="C9" s="60" t="s">
        <v>24</v>
      </c>
      <c r="D9" s="15" t="s">
        <v>26</v>
      </c>
      <c r="E9" s="15">
        <v>13</v>
      </c>
      <c r="F9" s="15">
        <v>106</v>
      </c>
      <c r="G9" s="15">
        <v>70</v>
      </c>
      <c r="H9" s="15">
        <v>464</v>
      </c>
      <c r="I9" s="31">
        <v>119</v>
      </c>
      <c r="J9" s="31">
        <v>534</v>
      </c>
    </row>
    <row r="10" spans="1:10" ht="17" thickBot="1" x14ac:dyDescent="0.25">
      <c r="A10" s="57" t="s">
        <v>29</v>
      </c>
      <c r="B10" s="60" t="s">
        <v>18</v>
      </c>
      <c r="C10" s="60" t="s">
        <v>28</v>
      </c>
      <c r="D10" s="15" t="s">
        <v>25</v>
      </c>
      <c r="E10" s="35">
        <v>15</v>
      </c>
      <c r="F10" s="35">
        <v>87</v>
      </c>
      <c r="G10" s="35">
        <v>37</v>
      </c>
      <c r="H10" s="35">
        <v>248</v>
      </c>
      <c r="I10" s="31">
        <v>102</v>
      </c>
      <c r="J10" s="31">
        <v>285</v>
      </c>
    </row>
    <row r="11" spans="1:10" ht="17" thickBot="1" x14ac:dyDescent="0.25">
      <c r="A11" s="57" t="s">
        <v>29</v>
      </c>
      <c r="B11" s="60" t="s">
        <v>18</v>
      </c>
      <c r="C11" s="60" t="s">
        <v>28</v>
      </c>
      <c r="D11" s="34" t="s">
        <v>26</v>
      </c>
      <c r="E11" s="34">
        <v>6</v>
      </c>
      <c r="F11" s="34">
        <v>49</v>
      </c>
      <c r="G11" s="34">
        <v>12</v>
      </c>
      <c r="H11" s="34">
        <v>141</v>
      </c>
      <c r="I11" s="31">
        <v>55</v>
      </c>
      <c r="J11" s="31">
        <v>153</v>
      </c>
    </row>
    <row r="12" spans="1:10" ht="17" thickBot="1" x14ac:dyDescent="0.25">
      <c r="A12" s="57" t="s">
        <v>30</v>
      </c>
      <c r="B12" s="60" t="s">
        <v>18</v>
      </c>
      <c r="C12" s="60" t="s">
        <v>24</v>
      </c>
      <c r="D12" s="34" t="s">
        <v>25</v>
      </c>
      <c r="E12" s="34">
        <v>13</v>
      </c>
      <c r="F12" s="34">
        <v>110</v>
      </c>
      <c r="G12" s="34">
        <v>51</v>
      </c>
      <c r="H12" s="34">
        <v>331</v>
      </c>
      <c r="I12" s="31">
        <v>123</v>
      </c>
      <c r="J12" s="31">
        <v>382</v>
      </c>
    </row>
    <row r="13" spans="1:10" ht="17" thickBot="1" x14ac:dyDescent="0.25">
      <c r="A13" s="57" t="s">
        <v>30</v>
      </c>
      <c r="B13" s="60" t="s">
        <v>18</v>
      </c>
      <c r="C13" s="60" t="s">
        <v>24</v>
      </c>
      <c r="D13" s="15" t="s">
        <v>26</v>
      </c>
      <c r="E13" s="15">
        <v>30</v>
      </c>
      <c r="F13" s="15">
        <v>113</v>
      </c>
      <c r="G13" s="15">
        <v>69</v>
      </c>
      <c r="H13" s="15">
        <v>457</v>
      </c>
      <c r="I13" s="31">
        <v>143</v>
      </c>
      <c r="J13" s="31">
        <v>526</v>
      </c>
    </row>
    <row r="14" spans="1:10" ht="17" thickBot="1" x14ac:dyDescent="0.25">
      <c r="A14" s="57" t="s">
        <v>30</v>
      </c>
      <c r="B14" s="60" t="s">
        <v>18</v>
      </c>
      <c r="C14" s="60" t="s">
        <v>28</v>
      </c>
      <c r="D14" s="15" t="s">
        <v>25</v>
      </c>
      <c r="E14" s="35">
        <v>13</v>
      </c>
      <c r="F14" s="35">
        <v>73</v>
      </c>
      <c r="G14" s="35">
        <v>51</v>
      </c>
      <c r="H14" s="35">
        <v>331</v>
      </c>
      <c r="I14" s="31">
        <v>86</v>
      </c>
      <c r="J14" s="31">
        <v>382</v>
      </c>
    </row>
    <row r="15" spans="1:10" ht="17" thickBot="1" x14ac:dyDescent="0.25">
      <c r="A15" s="57" t="s">
        <v>30</v>
      </c>
      <c r="B15" s="60" t="s">
        <v>18</v>
      </c>
      <c r="C15" s="60" t="s">
        <v>28</v>
      </c>
      <c r="D15" s="34" t="s">
        <v>26</v>
      </c>
      <c r="E15" s="34">
        <v>20</v>
      </c>
      <c r="F15" s="34">
        <v>117</v>
      </c>
      <c r="G15" s="34">
        <v>69</v>
      </c>
      <c r="H15" s="34">
        <v>457</v>
      </c>
      <c r="I15" s="31">
        <v>137</v>
      </c>
      <c r="J15" s="31">
        <v>526</v>
      </c>
    </row>
    <row r="16" spans="1:10" ht="17" thickBot="1" x14ac:dyDescent="0.25">
      <c r="A16" s="57" t="s">
        <v>15</v>
      </c>
      <c r="B16" s="60" t="s">
        <v>19</v>
      </c>
      <c r="C16" s="60" t="s">
        <v>28</v>
      </c>
      <c r="D16" s="15" t="s">
        <v>25</v>
      </c>
      <c r="E16" s="15">
        <v>37</v>
      </c>
      <c r="F16" s="15">
        <v>112</v>
      </c>
      <c r="G16" s="32">
        <v>39</v>
      </c>
      <c r="H16" s="32">
        <v>279</v>
      </c>
      <c r="I16" s="31">
        <v>149</v>
      </c>
      <c r="J16" s="31">
        <v>318</v>
      </c>
    </row>
    <row r="17" spans="1:10" ht="17" thickBot="1" x14ac:dyDescent="0.25">
      <c r="A17" s="57" t="s">
        <v>15</v>
      </c>
      <c r="B17" s="60" t="s">
        <v>19</v>
      </c>
      <c r="C17" s="60" t="s">
        <v>28</v>
      </c>
      <c r="D17" s="34" t="s">
        <v>26</v>
      </c>
      <c r="E17" s="34">
        <v>8</v>
      </c>
      <c r="F17" s="34">
        <v>38</v>
      </c>
      <c r="G17" s="31">
        <v>11</v>
      </c>
      <c r="H17" s="31">
        <v>87</v>
      </c>
      <c r="I17" s="31">
        <v>46</v>
      </c>
      <c r="J17" s="31">
        <v>98</v>
      </c>
    </row>
    <row r="18" spans="1:10" ht="17" thickBot="1" x14ac:dyDescent="0.25">
      <c r="A18" s="57" t="s">
        <v>76</v>
      </c>
      <c r="B18" s="60" t="s">
        <v>19</v>
      </c>
      <c r="C18" s="60" t="s">
        <v>24</v>
      </c>
      <c r="D18" s="34" t="s">
        <v>25</v>
      </c>
      <c r="E18" s="34">
        <v>19</v>
      </c>
      <c r="F18" s="34">
        <v>189</v>
      </c>
      <c r="G18" s="34">
        <v>0</v>
      </c>
      <c r="H18" s="34">
        <v>0</v>
      </c>
      <c r="I18" s="31">
        <v>208</v>
      </c>
      <c r="J18" s="31">
        <v>0</v>
      </c>
    </row>
    <row r="19" spans="1:10" ht="17" thickBot="1" x14ac:dyDescent="0.25">
      <c r="A19" s="57" t="s">
        <v>76</v>
      </c>
      <c r="B19" s="60" t="s">
        <v>19</v>
      </c>
      <c r="C19" s="60" t="s">
        <v>24</v>
      </c>
      <c r="D19" s="15" t="s">
        <v>26</v>
      </c>
      <c r="E19" s="15">
        <v>0</v>
      </c>
      <c r="F19" s="15">
        <v>66</v>
      </c>
      <c r="G19" s="15">
        <v>0</v>
      </c>
      <c r="H19" s="15">
        <v>0</v>
      </c>
      <c r="I19" s="31">
        <v>66</v>
      </c>
      <c r="J19" s="31">
        <v>0</v>
      </c>
    </row>
    <row r="20" spans="1:10" ht="17" thickBot="1" x14ac:dyDescent="0.25">
      <c r="A20" s="57" t="s">
        <v>47</v>
      </c>
      <c r="B20" s="60" t="s">
        <v>19</v>
      </c>
      <c r="C20" s="60" t="s">
        <v>24</v>
      </c>
      <c r="D20" s="15" t="s">
        <v>25</v>
      </c>
      <c r="E20" s="35">
        <v>16</v>
      </c>
      <c r="F20" s="35">
        <v>137</v>
      </c>
      <c r="G20" s="35">
        <v>4</v>
      </c>
      <c r="H20" s="35">
        <v>33</v>
      </c>
      <c r="I20" s="31">
        <v>153</v>
      </c>
      <c r="J20" s="31">
        <v>37</v>
      </c>
    </row>
    <row r="21" spans="1:10" ht="17" thickBot="1" x14ac:dyDescent="0.25">
      <c r="A21" s="57" t="s">
        <v>47</v>
      </c>
      <c r="B21" s="60" t="s">
        <v>19</v>
      </c>
      <c r="C21" s="60" t="s">
        <v>24</v>
      </c>
      <c r="D21" s="34" t="s">
        <v>26</v>
      </c>
      <c r="E21" s="34">
        <v>12</v>
      </c>
      <c r="F21" s="34">
        <v>70</v>
      </c>
      <c r="G21" s="34">
        <v>3</v>
      </c>
      <c r="H21" s="34">
        <v>17</v>
      </c>
      <c r="I21" s="31">
        <v>82</v>
      </c>
      <c r="J21" s="31">
        <v>20</v>
      </c>
    </row>
    <row r="22" spans="1:10" ht="17" thickBot="1" x14ac:dyDescent="0.25">
      <c r="A22" s="57" t="s">
        <v>16</v>
      </c>
      <c r="B22" s="60" t="s">
        <v>19</v>
      </c>
      <c r="C22" s="60" t="s">
        <v>24</v>
      </c>
      <c r="D22" s="34" t="s">
        <v>25</v>
      </c>
      <c r="E22" s="34">
        <v>24</v>
      </c>
      <c r="F22" s="34">
        <v>181</v>
      </c>
      <c r="G22" s="61">
        <v>38</v>
      </c>
      <c r="H22" s="61">
        <v>262</v>
      </c>
      <c r="I22" s="31">
        <v>205</v>
      </c>
      <c r="J22" s="31">
        <v>300</v>
      </c>
    </row>
    <row r="23" spans="1:10" ht="17" thickBot="1" x14ac:dyDescent="0.25">
      <c r="A23" s="57" t="s">
        <v>16</v>
      </c>
      <c r="B23" s="60" t="s">
        <v>19</v>
      </c>
      <c r="C23" s="60" t="s">
        <v>24</v>
      </c>
      <c r="D23" s="15" t="s">
        <v>26</v>
      </c>
      <c r="E23" s="15">
        <v>16</v>
      </c>
      <c r="F23" s="15">
        <v>81</v>
      </c>
      <c r="G23" s="61">
        <v>7</v>
      </c>
      <c r="H23" s="61">
        <v>135</v>
      </c>
      <c r="I23" s="31">
        <v>97</v>
      </c>
      <c r="J23" s="31">
        <v>142</v>
      </c>
    </row>
    <row r="24" spans="1:10" ht="17" thickBot="1" x14ac:dyDescent="0.25">
      <c r="A24" s="57" t="s">
        <v>31</v>
      </c>
      <c r="B24" s="60" t="s">
        <v>19</v>
      </c>
      <c r="C24" s="60" t="s">
        <v>24</v>
      </c>
      <c r="D24" s="15" t="s">
        <v>25</v>
      </c>
      <c r="E24" s="34">
        <v>8</v>
      </c>
      <c r="F24" s="34">
        <v>18</v>
      </c>
      <c r="G24" s="35">
        <v>11</v>
      </c>
      <c r="H24" s="35">
        <v>37</v>
      </c>
      <c r="I24" s="31">
        <v>26</v>
      </c>
      <c r="J24" s="31">
        <v>48</v>
      </c>
    </row>
    <row r="25" spans="1:10" ht="17" thickBot="1" x14ac:dyDescent="0.25">
      <c r="A25" s="57" t="s">
        <v>31</v>
      </c>
      <c r="B25" s="60" t="s">
        <v>19</v>
      </c>
      <c r="C25" s="60" t="s">
        <v>24</v>
      </c>
      <c r="D25" s="34" t="s">
        <v>26</v>
      </c>
      <c r="E25" s="34">
        <v>3</v>
      </c>
      <c r="F25" s="34">
        <v>7</v>
      </c>
      <c r="G25" s="34">
        <v>0</v>
      </c>
      <c r="H25" s="34">
        <v>18</v>
      </c>
      <c r="I25" s="31">
        <v>7</v>
      </c>
      <c r="J25" s="31">
        <v>18</v>
      </c>
    </row>
    <row r="26" spans="1:10" ht="17" thickBot="1" x14ac:dyDescent="0.25">
      <c r="A26" s="57" t="s">
        <v>31</v>
      </c>
      <c r="B26" s="60" t="s">
        <v>19</v>
      </c>
      <c r="C26" s="60" t="s">
        <v>28</v>
      </c>
      <c r="D26" s="34" t="s">
        <v>25</v>
      </c>
      <c r="E26" s="34">
        <v>8</v>
      </c>
      <c r="F26" s="34">
        <v>18</v>
      </c>
      <c r="G26" s="35">
        <v>11</v>
      </c>
      <c r="H26" s="35">
        <v>37</v>
      </c>
      <c r="I26" s="31">
        <v>9</v>
      </c>
      <c r="J26" s="31">
        <v>48</v>
      </c>
    </row>
    <row r="27" spans="1:10" ht="17" thickBot="1" x14ac:dyDescent="0.25">
      <c r="A27" s="57" t="s">
        <v>31</v>
      </c>
      <c r="B27" s="60" t="s">
        <v>19</v>
      </c>
      <c r="C27" s="60" t="s">
        <v>28</v>
      </c>
      <c r="D27" s="15" t="s">
        <v>26</v>
      </c>
      <c r="E27" s="34">
        <v>1</v>
      </c>
      <c r="F27" s="34">
        <v>12</v>
      </c>
      <c r="G27" s="34">
        <v>2</v>
      </c>
      <c r="H27" s="34">
        <v>29</v>
      </c>
      <c r="I27" s="31">
        <v>7</v>
      </c>
      <c r="J27" s="31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D760-B96E-3246-9702-6C0D2F3D090B}">
  <dimension ref="A1:I32"/>
  <sheetViews>
    <sheetView zoomScale="95" zoomScaleNormal="95" workbookViewId="0">
      <selection activeCell="D2" sqref="D2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v>40</v>
      </c>
      <c r="C2">
        <v>302</v>
      </c>
      <c r="D2" s="5">
        <f>'All data'!$H$41</f>
        <v>144</v>
      </c>
      <c r="E2" s="5">
        <f>'All data'!$J$41</f>
        <v>1156</v>
      </c>
    </row>
    <row r="3" spans="1:5" x14ac:dyDescent="0.2">
      <c r="A3" t="s">
        <v>10</v>
      </c>
      <c r="B3">
        <v>28</v>
      </c>
      <c r="C3">
        <f>28+70+137</f>
        <v>235</v>
      </c>
      <c r="D3">
        <v>7</v>
      </c>
      <c r="E3">
        <f>7+33+17</f>
        <v>57</v>
      </c>
    </row>
    <row r="4" spans="1:5" x14ac:dyDescent="0.2">
      <c r="A4" t="s">
        <v>11</v>
      </c>
      <c r="B4">
        <v>43</v>
      </c>
      <c r="C4">
        <f>223+43</f>
        <v>266</v>
      </c>
      <c r="D4">
        <f>70+50</f>
        <v>120</v>
      </c>
      <c r="E4">
        <f>526+382</f>
        <v>908</v>
      </c>
    </row>
    <row r="5" spans="1:5" x14ac:dyDescent="0.2">
      <c r="A5" t="s">
        <v>12</v>
      </c>
      <c r="B5" s="5">
        <f>'All data'!E5</f>
        <v>16</v>
      </c>
      <c r="C5" s="5">
        <f>'All data'!G5</f>
        <v>114</v>
      </c>
      <c r="D5" s="5">
        <f>'All data'!$H$11</f>
        <v>169</v>
      </c>
      <c r="E5" s="5">
        <f>'All data'!$J$11</f>
        <v>1375</v>
      </c>
    </row>
    <row r="6" spans="1:5" x14ac:dyDescent="0.2">
      <c r="A6" t="s">
        <v>33</v>
      </c>
      <c r="B6">
        <v>31</v>
      </c>
      <c r="C6">
        <f>31+203</f>
        <v>234</v>
      </c>
      <c r="D6">
        <v>136</v>
      </c>
      <c r="E6">
        <f>136+914</f>
        <v>1050</v>
      </c>
    </row>
    <row r="7" spans="1:5" x14ac:dyDescent="0.2">
      <c r="A7" t="s">
        <v>14</v>
      </c>
      <c r="B7">
        <f>'All data'!E44</f>
        <v>14</v>
      </c>
      <c r="C7">
        <f>'All data'!G44</f>
        <v>50</v>
      </c>
      <c r="D7" s="9">
        <f>'All data'!H44</f>
        <v>14</v>
      </c>
      <c r="E7" s="9">
        <f>'All data'!J44</f>
        <v>70</v>
      </c>
    </row>
    <row r="18" spans="3:9" x14ac:dyDescent="0.2">
      <c r="E18" s="2"/>
      <c r="F18" s="2"/>
      <c r="G18" s="2"/>
      <c r="I18" s="2"/>
    </row>
    <row r="19" spans="3:9" x14ac:dyDescent="0.2">
      <c r="E19" s="2"/>
      <c r="F19" s="2"/>
      <c r="I19" s="2"/>
    </row>
    <row r="20" spans="3:9" x14ac:dyDescent="0.2">
      <c r="E20" s="2"/>
      <c r="F20" s="2"/>
    </row>
    <row r="28" spans="3:9" x14ac:dyDescent="0.2">
      <c r="C28" s="3"/>
      <c r="E28" s="3"/>
    </row>
    <row r="29" spans="3:9" x14ac:dyDescent="0.2">
      <c r="C29" s="3"/>
      <c r="D29" s="3"/>
      <c r="E29" s="3"/>
      <c r="F29" s="3"/>
    </row>
    <row r="30" spans="3:9" x14ac:dyDescent="0.2">
      <c r="C30" s="4"/>
      <c r="D30" s="4"/>
      <c r="E30" s="2"/>
      <c r="F30" s="2"/>
    </row>
    <row r="31" spans="3:9" x14ac:dyDescent="0.2">
      <c r="C31" s="4"/>
      <c r="D31" s="4"/>
      <c r="E31" s="2"/>
      <c r="F31" s="2"/>
    </row>
    <row r="32" spans="3:9" x14ac:dyDescent="0.2">
      <c r="C32" s="2"/>
      <c r="D32" s="2"/>
      <c r="E32" s="2"/>
      <c r="F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266-2735-8C43-9155-1133034A0A26}">
  <dimension ref="A1:E5"/>
  <sheetViews>
    <sheetView workbookViewId="0">
      <selection activeCell="O45" sqref="O4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data'!$H$40</f>
        <v>38</v>
      </c>
      <c r="E2" s="5">
        <f>'All data'!$J$40</f>
        <v>372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data'!E4</f>
        <v>10</v>
      </c>
      <c r="C4" s="5">
        <f>'All data'!G4</f>
        <v>60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33</v>
      </c>
      <c r="B5">
        <v>13</v>
      </c>
      <c r="C5">
        <f>13+106</f>
        <v>119</v>
      </c>
      <c r="D5">
        <v>70</v>
      </c>
      <c r="E5">
        <f>70+464</f>
        <v>534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54D-ECEF-5B4A-B2FE-0D87E182EEEB}">
  <dimension ref="A1:E5"/>
  <sheetViews>
    <sheetView workbookViewId="0">
      <selection activeCell="N40" sqref="N40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data'!$H$39</f>
        <v>106</v>
      </c>
      <c r="E2" s="5">
        <f>'All data'!$J$39</f>
        <v>784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data'!E3</f>
        <v>6</v>
      </c>
      <c r="C4" s="5">
        <f>'All data'!G3</f>
        <v>54</v>
      </c>
      <c r="D4" s="5">
        <f>'All data'!H3</f>
        <v>106</v>
      </c>
      <c r="E4" s="5">
        <f>'All data'!J3</f>
        <v>784</v>
      </c>
    </row>
    <row r="5" spans="1:5" x14ac:dyDescent="0.2">
      <c r="A5" t="s">
        <v>33</v>
      </c>
      <c r="B5">
        <v>18</v>
      </c>
      <c r="C5">
        <f>18+97</f>
        <v>115</v>
      </c>
      <c r="D5">
        <v>66</v>
      </c>
      <c r="E5">
        <f>66+450</f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0D89-0352-3447-97C9-D167DAAC1D84}">
  <dimension ref="A1:J27"/>
  <sheetViews>
    <sheetView tabSelected="1" workbookViewId="0">
      <selection activeCell="D14" sqref="D14"/>
    </sheetView>
  </sheetViews>
  <sheetFormatPr baseColWidth="10" defaultRowHeight="16" x14ac:dyDescent="0.2"/>
  <sheetData>
    <row r="1" spans="1:10" ht="17" thickBot="1" x14ac:dyDescent="0.25">
      <c r="A1" s="57" t="s">
        <v>65</v>
      </c>
      <c r="B1" s="57" t="s">
        <v>66</v>
      </c>
      <c r="C1" s="57" t="s">
        <v>67</v>
      </c>
      <c r="D1" s="57" t="s">
        <v>68</v>
      </c>
      <c r="E1" s="33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74</v>
      </c>
    </row>
    <row r="2" spans="1:10" ht="17" thickBot="1" x14ac:dyDescent="0.25">
      <c r="A2" s="58" t="s">
        <v>23</v>
      </c>
      <c r="B2" s="59" t="s">
        <v>18</v>
      </c>
      <c r="C2" s="59" t="s">
        <v>24</v>
      </c>
      <c r="D2" s="31" t="s">
        <v>25</v>
      </c>
      <c r="E2" s="31">
        <v>27</v>
      </c>
      <c r="F2" s="31">
        <v>198</v>
      </c>
      <c r="G2" s="31">
        <v>51</v>
      </c>
      <c r="H2" s="31">
        <v>272</v>
      </c>
      <c r="I2" s="31">
        <v>225</v>
      </c>
      <c r="J2" s="31">
        <v>323</v>
      </c>
    </row>
    <row r="3" spans="1:10" ht="17" thickBot="1" x14ac:dyDescent="0.25">
      <c r="A3" s="58" t="s">
        <v>23</v>
      </c>
      <c r="B3" s="59" t="s">
        <v>18</v>
      </c>
      <c r="C3" s="59" t="s">
        <v>24</v>
      </c>
      <c r="D3" s="32" t="s">
        <v>26</v>
      </c>
      <c r="E3" s="32">
        <v>12</v>
      </c>
      <c r="F3" s="32">
        <v>121</v>
      </c>
      <c r="G3" s="32">
        <v>15</v>
      </c>
      <c r="H3" s="32">
        <v>176</v>
      </c>
      <c r="I3" s="31">
        <v>133</v>
      </c>
      <c r="J3" s="31">
        <v>191</v>
      </c>
    </row>
    <row r="4" spans="1:10" ht="17" thickBot="1" x14ac:dyDescent="0.25">
      <c r="A4" s="58" t="s">
        <v>23</v>
      </c>
      <c r="B4" s="59" t="s">
        <v>18</v>
      </c>
      <c r="C4" s="59" t="s">
        <v>28</v>
      </c>
      <c r="D4" s="32" t="s">
        <v>25</v>
      </c>
      <c r="E4" s="32">
        <v>17</v>
      </c>
      <c r="F4" s="32">
        <v>134</v>
      </c>
      <c r="G4" s="31">
        <v>51</v>
      </c>
      <c r="H4" s="31">
        <v>272</v>
      </c>
      <c r="I4" s="31">
        <v>85</v>
      </c>
      <c r="J4" s="31">
        <v>323</v>
      </c>
    </row>
    <row r="5" spans="1:10" ht="17" thickBot="1" x14ac:dyDescent="0.25">
      <c r="A5" s="58" t="s">
        <v>23</v>
      </c>
      <c r="B5" s="59" t="s">
        <v>18</v>
      </c>
      <c r="C5" s="59" t="s">
        <v>28</v>
      </c>
      <c r="D5" s="31" t="s">
        <v>26</v>
      </c>
      <c r="E5" s="31">
        <v>12</v>
      </c>
      <c r="F5" s="31">
        <v>92</v>
      </c>
      <c r="G5" s="32">
        <v>28</v>
      </c>
      <c r="H5" s="32">
        <v>195</v>
      </c>
      <c r="I5" s="31">
        <v>80</v>
      </c>
      <c r="J5" s="31">
        <v>306</v>
      </c>
    </row>
    <row r="6" spans="1:10" ht="17" thickBot="1" x14ac:dyDescent="0.25">
      <c r="A6" s="57" t="s">
        <v>44</v>
      </c>
      <c r="B6" s="60" t="s">
        <v>18</v>
      </c>
      <c r="C6" s="60" t="s">
        <v>28</v>
      </c>
      <c r="D6" s="15" t="s">
        <v>25</v>
      </c>
      <c r="E6" s="15">
        <v>16</v>
      </c>
      <c r="F6" s="15">
        <v>105</v>
      </c>
      <c r="G6" s="15">
        <v>35</v>
      </c>
      <c r="H6" s="15">
        <v>360</v>
      </c>
      <c r="I6" s="31">
        <v>121</v>
      </c>
      <c r="J6" s="31">
        <v>395</v>
      </c>
    </row>
    <row r="7" spans="1:10" ht="17" thickBot="1" x14ac:dyDescent="0.25">
      <c r="A7" s="57" t="s">
        <v>44</v>
      </c>
      <c r="B7" s="60" t="s">
        <v>18</v>
      </c>
      <c r="C7" s="60" t="s">
        <v>28</v>
      </c>
      <c r="D7" s="34" t="s">
        <v>26</v>
      </c>
      <c r="E7" s="34">
        <v>6</v>
      </c>
      <c r="F7" s="34">
        <v>77</v>
      </c>
      <c r="G7" s="34">
        <v>21</v>
      </c>
      <c r="H7" s="34">
        <v>250</v>
      </c>
      <c r="I7" s="31">
        <v>83</v>
      </c>
      <c r="J7" s="31">
        <v>271</v>
      </c>
    </row>
    <row r="8" spans="1:10" ht="17" thickBot="1" x14ac:dyDescent="0.25">
      <c r="A8" s="57" t="s">
        <v>75</v>
      </c>
      <c r="B8" s="60" t="s">
        <v>18</v>
      </c>
      <c r="C8" s="60" t="s">
        <v>24</v>
      </c>
      <c r="D8" s="34" t="s">
        <v>25</v>
      </c>
      <c r="E8" s="34">
        <v>18</v>
      </c>
      <c r="F8" s="34">
        <v>97</v>
      </c>
      <c r="G8" s="34">
        <v>66</v>
      </c>
      <c r="H8" s="34">
        <v>450</v>
      </c>
      <c r="I8" s="31">
        <v>115</v>
      </c>
      <c r="J8" s="31">
        <v>516</v>
      </c>
    </row>
    <row r="9" spans="1:10" ht="17" thickBot="1" x14ac:dyDescent="0.25">
      <c r="A9" s="57" t="s">
        <v>75</v>
      </c>
      <c r="B9" s="60" t="s">
        <v>18</v>
      </c>
      <c r="C9" s="60" t="s">
        <v>24</v>
      </c>
      <c r="D9" s="15" t="s">
        <v>26</v>
      </c>
      <c r="E9" s="15">
        <v>13</v>
      </c>
      <c r="F9" s="15">
        <v>106</v>
      </c>
      <c r="G9" s="15">
        <v>70</v>
      </c>
      <c r="H9" s="15">
        <v>464</v>
      </c>
      <c r="I9" s="31">
        <v>119</v>
      </c>
      <c r="J9" s="31">
        <v>534</v>
      </c>
    </row>
    <row r="10" spans="1:10" ht="17" thickBot="1" x14ac:dyDescent="0.25">
      <c r="A10" s="57" t="s">
        <v>29</v>
      </c>
      <c r="B10" s="60" t="s">
        <v>18</v>
      </c>
      <c r="C10" s="60" t="s">
        <v>28</v>
      </c>
      <c r="D10" s="15" t="s">
        <v>25</v>
      </c>
      <c r="E10" s="35">
        <v>15</v>
      </c>
      <c r="F10" s="35">
        <v>87</v>
      </c>
      <c r="G10" s="35">
        <v>37</v>
      </c>
      <c r="H10" s="35">
        <v>248</v>
      </c>
      <c r="I10" s="31">
        <v>102</v>
      </c>
      <c r="J10" s="31">
        <v>285</v>
      </c>
    </row>
    <row r="11" spans="1:10" ht="17" thickBot="1" x14ac:dyDescent="0.25">
      <c r="A11" s="57" t="s">
        <v>29</v>
      </c>
      <c r="B11" s="60" t="s">
        <v>18</v>
      </c>
      <c r="C11" s="60" t="s">
        <v>28</v>
      </c>
      <c r="D11" s="34" t="s">
        <v>26</v>
      </c>
      <c r="E11" s="34">
        <v>6</v>
      </c>
      <c r="F11" s="34">
        <v>49</v>
      </c>
      <c r="G11" s="34">
        <v>12</v>
      </c>
      <c r="H11" s="34">
        <v>141</v>
      </c>
      <c r="I11" s="31">
        <v>55</v>
      </c>
      <c r="J11" s="31">
        <v>153</v>
      </c>
    </row>
    <row r="12" spans="1:10" ht="17" thickBot="1" x14ac:dyDescent="0.25">
      <c r="A12" s="57" t="s">
        <v>30</v>
      </c>
      <c r="B12" s="60" t="s">
        <v>18</v>
      </c>
      <c r="C12" s="60" t="s">
        <v>24</v>
      </c>
      <c r="D12" s="34" t="s">
        <v>25</v>
      </c>
      <c r="E12" s="34">
        <v>13</v>
      </c>
      <c r="F12" s="34">
        <v>110</v>
      </c>
      <c r="G12" s="34">
        <v>51</v>
      </c>
      <c r="H12" s="34">
        <v>331</v>
      </c>
      <c r="I12" s="31">
        <v>123</v>
      </c>
      <c r="J12" s="31">
        <v>382</v>
      </c>
    </row>
    <row r="13" spans="1:10" ht="17" thickBot="1" x14ac:dyDescent="0.25">
      <c r="A13" s="57" t="s">
        <v>30</v>
      </c>
      <c r="B13" s="60" t="s">
        <v>18</v>
      </c>
      <c r="C13" s="60" t="s">
        <v>24</v>
      </c>
      <c r="D13" s="15" t="s">
        <v>26</v>
      </c>
      <c r="E13" s="15">
        <v>30</v>
      </c>
      <c r="F13" s="15">
        <v>113</v>
      </c>
      <c r="G13" s="15">
        <v>69</v>
      </c>
      <c r="H13" s="15">
        <v>457</v>
      </c>
      <c r="I13" s="31">
        <v>143</v>
      </c>
      <c r="J13" s="31">
        <v>526</v>
      </c>
    </row>
    <row r="14" spans="1:10" ht="17" thickBot="1" x14ac:dyDescent="0.25">
      <c r="A14" s="57" t="s">
        <v>30</v>
      </c>
      <c r="B14" s="60" t="s">
        <v>18</v>
      </c>
      <c r="C14" s="60" t="s">
        <v>28</v>
      </c>
      <c r="D14" s="15" t="s">
        <v>25</v>
      </c>
      <c r="E14" s="35">
        <v>13</v>
      </c>
      <c r="F14" s="35">
        <v>73</v>
      </c>
      <c r="G14" s="35">
        <v>51</v>
      </c>
      <c r="H14" s="35">
        <v>331</v>
      </c>
      <c r="I14" s="31">
        <v>86</v>
      </c>
      <c r="J14" s="31">
        <v>382</v>
      </c>
    </row>
    <row r="15" spans="1:10" ht="17" thickBot="1" x14ac:dyDescent="0.25">
      <c r="A15" s="57" t="s">
        <v>30</v>
      </c>
      <c r="B15" s="60" t="s">
        <v>18</v>
      </c>
      <c r="C15" s="60" t="s">
        <v>28</v>
      </c>
      <c r="D15" s="34" t="s">
        <v>26</v>
      </c>
      <c r="E15" s="34">
        <v>20</v>
      </c>
      <c r="F15" s="34">
        <v>117</v>
      </c>
      <c r="G15" s="34">
        <v>69</v>
      </c>
      <c r="H15" s="34">
        <v>457</v>
      </c>
      <c r="I15" s="31">
        <v>137</v>
      </c>
      <c r="J15" s="31">
        <v>526</v>
      </c>
    </row>
    <row r="16" spans="1:10" ht="17" thickBot="1" x14ac:dyDescent="0.25">
      <c r="A16" s="57" t="s">
        <v>15</v>
      </c>
      <c r="B16" s="60" t="s">
        <v>19</v>
      </c>
      <c r="C16" s="60" t="s">
        <v>28</v>
      </c>
      <c r="D16" s="15" t="s">
        <v>25</v>
      </c>
      <c r="E16" s="15">
        <v>37</v>
      </c>
      <c r="F16" s="15">
        <v>112</v>
      </c>
      <c r="G16" s="32">
        <v>39</v>
      </c>
      <c r="H16" s="32">
        <v>279</v>
      </c>
      <c r="I16" s="31">
        <v>149</v>
      </c>
      <c r="J16" s="31">
        <v>318</v>
      </c>
    </row>
    <row r="17" spans="1:10" ht="17" thickBot="1" x14ac:dyDescent="0.25">
      <c r="A17" s="57" t="s">
        <v>15</v>
      </c>
      <c r="B17" s="60" t="s">
        <v>19</v>
      </c>
      <c r="C17" s="60" t="s">
        <v>28</v>
      </c>
      <c r="D17" s="34" t="s">
        <v>26</v>
      </c>
      <c r="E17" s="34">
        <v>8</v>
      </c>
      <c r="F17" s="34">
        <v>38</v>
      </c>
      <c r="G17" s="31">
        <v>11</v>
      </c>
      <c r="H17" s="31">
        <v>87</v>
      </c>
      <c r="I17" s="31">
        <v>46</v>
      </c>
      <c r="J17" s="31">
        <v>98</v>
      </c>
    </row>
    <row r="18" spans="1:10" ht="17" thickBot="1" x14ac:dyDescent="0.25">
      <c r="A18" s="57" t="s">
        <v>76</v>
      </c>
      <c r="B18" s="60" t="s">
        <v>19</v>
      </c>
      <c r="C18" s="60" t="s">
        <v>24</v>
      </c>
      <c r="D18" s="34" t="s">
        <v>25</v>
      </c>
      <c r="E18" s="34">
        <v>19</v>
      </c>
      <c r="F18" s="34">
        <v>189</v>
      </c>
      <c r="G18" s="34">
        <v>0</v>
      </c>
      <c r="H18" s="34">
        <v>0</v>
      </c>
      <c r="I18" s="31">
        <v>208</v>
      </c>
      <c r="J18" s="31">
        <v>0</v>
      </c>
    </row>
    <row r="19" spans="1:10" ht="17" thickBot="1" x14ac:dyDescent="0.25">
      <c r="A19" s="57" t="s">
        <v>76</v>
      </c>
      <c r="B19" s="60" t="s">
        <v>19</v>
      </c>
      <c r="C19" s="60" t="s">
        <v>24</v>
      </c>
      <c r="D19" s="15" t="s">
        <v>26</v>
      </c>
      <c r="E19" s="15">
        <v>0</v>
      </c>
      <c r="F19" s="15">
        <v>66</v>
      </c>
      <c r="G19" s="15">
        <v>0</v>
      </c>
      <c r="H19" s="15">
        <v>0</v>
      </c>
      <c r="I19" s="31">
        <v>66</v>
      </c>
      <c r="J19" s="31">
        <v>0</v>
      </c>
    </row>
    <row r="20" spans="1:10" ht="17" thickBot="1" x14ac:dyDescent="0.25">
      <c r="A20" s="57" t="s">
        <v>47</v>
      </c>
      <c r="B20" s="60" t="s">
        <v>19</v>
      </c>
      <c r="C20" s="60" t="s">
        <v>24</v>
      </c>
      <c r="D20" s="15" t="s">
        <v>25</v>
      </c>
      <c r="E20" s="35">
        <v>16</v>
      </c>
      <c r="F20" s="35">
        <v>137</v>
      </c>
      <c r="G20" s="35">
        <v>0</v>
      </c>
      <c r="H20" s="35">
        <v>33</v>
      </c>
      <c r="I20" s="31">
        <v>153</v>
      </c>
      <c r="J20" s="31">
        <v>37</v>
      </c>
    </row>
    <row r="21" spans="1:10" ht="17" thickBot="1" x14ac:dyDescent="0.25">
      <c r="A21" s="57" t="s">
        <v>47</v>
      </c>
      <c r="B21" s="60" t="s">
        <v>19</v>
      </c>
      <c r="C21" s="60" t="s">
        <v>24</v>
      </c>
      <c r="D21" s="34" t="s">
        <v>26</v>
      </c>
      <c r="E21" s="34">
        <v>12</v>
      </c>
      <c r="F21" s="34">
        <v>70</v>
      </c>
      <c r="G21" s="34">
        <v>0</v>
      </c>
      <c r="H21" s="34">
        <v>17</v>
      </c>
      <c r="I21" s="31">
        <v>82</v>
      </c>
      <c r="J21" s="31">
        <v>20</v>
      </c>
    </row>
    <row r="22" spans="1:10" ht="17" thickBot="1" x14ac:dyDescent="0.25">
      <c r="A22" s="57" t="s">
        <v>16</v>
      </c>
      <c r="B22" s="60" t="s">
        <v>19</v>
      </c>
      <c r="C22" s="60" t="s">
        <v>24</v>
      </c>
      <c r="D22" s="34" t="s">
        <v>25</v>
      </c>
      <c r="E22" s="34">
        <v>24</v>
      </c>
      <c r="F22" s="34">
        <v>181</v>
      </c>
      <c r="G22" s="61">
        <v>38</v>
      </c>
      <c r="H22" s="61">
        <v>262</v>
      </c>
      <c r="I22" s="31">
        <v>205</v>
      </c>
      <c r="J22" s="31">
        <v>300</v>
      </c>
    </row>
    <row r="23" spans="1:10" ht="17" thickBot="1" x14ac:dyDescent="0.25">
      <c r="A23" s="57" t="s">
        <v>16</v>
      </c>
      <c r="B23" s="60" t="s">
        <v>19</v>
      </c>
      <c r="C23" s="60" t="s">
        <v>24</v>
      </c>
      <c r="D23" s="15" t="s">
        <v>26</v>
      </c>
      <c r="E23" s="15">
        <v>16</v>
      </c>
      <c r="F23" s="15">
        <v>81</v>
      </c>
      <c r="G23" s="61">
        <v>7</v>
      </c>
      <c r="H23" s="61">
        <v>135</v>
      </c>
      <c r="I23" s="31">
        <v>97</v>
      </c>
      <c r="J23" s="31">
        <v>142</v>
      </c>
    </row>
    <row r="24" spans="1:10" ht="17" thickBot="1" x14ac:dyDescent="0.25">
      <c r="A24" s="57" t="s">
        <v>31</v>
      </c>
      <c r="B24" s="60" t="s">
        <v>19</v>
      </c>
      <c r="C24" s="60" t="s">
        <v>24</v>
      </c>
      <c r="D24" s="15" t="s">
        <v>25</v>
      </c>
      <c r="E24" s="34">
        <v>8</v>
      </c>
      <c r="F24" s="34">
        <v>18</v>
      </c>
      <c r="G24" s="35">
        <v>11</v>
      </c>
      <c r="H24" s="35">
        <v>37</v>
      </c>
      <c r="I24" s="31">
        <v>26</v>
      </c>
      <c r="J24" s="31">
        <v>48</v>
      </c>
    </row>
    <row r="25" spans="1:10" ht="17" thickBot="1" x14ac:dyDescent="0.25">
      <c r="A25" s="57" t="s">
        <v>31</v>
      </c>
      <c r="B25" s="60" t="s">
        <v>19</v>
      </c>
      <c r="C25" s="60" t="s">
        <v>24</v>
      </c>
      <c r="D25" s="34" t="s">
        <v>26</v>
      </c>
      <c r="E25" s="34">
        <v>0</v>
      </c>
      <c r="F25" s="34">
        <v>7</v>
      </c>
      <c r="G25" s="34">
        <v>0</v>
      </c>
      <c r="H25" s="34">
        <v>18</v>
      </c>
      <c r="I25" s="31">
        <v>7</v>
      </c>
      <c r="J25" s="31">
        <v>18</v>
      </c>
    </row>
    <row r="26" spans="1:10" ht="17" thickBot="1" x14ac:dyDescent="0.25">
      <c r="A26" s="57" t="s">
        <v>31</v>
      </c>
      <c r="B26" s="60" t="s">
        <v>19</v>
      </c>
      <c r="C26" s="60" t="s">
        <v>28</v>
      </c>
      <c r="D26" s="34" t="s">
        <v>25</v>
      </c>
      <c r="E26" s="34">
        <v>8</v>
      </c>
      <c r="F26" s="34">
        <v>18</v>
      </c>
      <c r="G26" s="35">
        <v>11</v>
      </c>
      <c r="H26" s="35">
        <v>37</v>
      </c>
      <c r="I26" s="31">
        <v>9</v>
      </c>
      <c r="J26" s="31">
        <v>48</v>
      </c>
    </row>
    <row r="27" spans="1:10" ht="17" thickBot="1" x14ac:dyDescent="0.25">
      <c r="A27" s="57" t="s">
        <v>31</v>
      </c>
      <c r="B27" s="60" t="s">
        <v>19</v>
      </c>
      <c r="C27" s="60" t="s">
        <v>28</v>
      </c>
      <c r="D27" s="15" t="s">
        <v>26</v>
      </c>
      <c r="E27" s="34">
        <v>0</v>
      </c>
      <c r="F27" s="34">
        <v>12</v>
      </c>
      <c r="G27" s="34">
        <v>0</v>
      </c>
      <c r="H27" s="34">
        <v>29</v>
      </c>
      <c r="I27" s="31">
        <v>7</v>
      </c>
      <c r="J27" s="31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9C6-505E-DC43-883F-74098BEBDD3C}">
  <dimension ref="A1:F11"/>
  <sheetViews>
    <sheetView workbookViewId="0">
      <selection activeCell="E13" sqref="E13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  <col min="12" max="12" width="14.66406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  <c r="F2" s="2" t="s">
        <v>18</v>
      </c>
    </row>
    <row r="3" spans="1:6" x14ac:dyDescent="0.2">
      <c r="A3" t="s">
        <v>9</v>
      </c>
      <c r="B3">
        <v>21</v>
      </c>
      <c r="C3">
        <f>21+136</f>
        <v>157</v>
      </c>
      <c r="D3">
        <v>49</v>
      </c>
      <c r="E3">
        <f>'All data'!J20</f>
        <v>438</v>
      </c>
      <c r="F3" s="2" t="s">
        <v>18</v>
      </c>
    </row>
    <row r="4" spans="1:6" x14ac:dyDescent="0.2">
      <c r="A4" t="s">
        <v>12</v>
      </c>
      <c r="B4" s="5">
        <f>'All data'!$E11</f>
        <v>45</v>
      </c>
      <c r="C4" s="5">
        <f>'All data'!$G$11</f>
        <v>368</v>
      </c>
      <c r="D4" s="5">
        <f>'All data'!$H$11</f>
        <v>169</v>
      </c>
      <c r="E4" s="5">
        <f>'All data'!$J$11</f>
        <v>1375</v>
      </c>
      <c r="F4" s="2" t="s">
        <v>18</v>
      </c>
    </row>
    <row r="5" spans="1:6" x14ac:dyDescent="0.2">
      <c r="A5" t="s">
        <v>11</v>
      </c>
      <c r="B5">
        <f>'All data'!E29</f>
        <v>62</v>
      </c>
      <c r="C5">
        <f>'All data'!G29</f>
        <v>418</v>
      </c>
      <c r="D5">
        <f>'All data'!H29</f>
        <v>120</v>
      </c>
      <c r="E5">
        <f>'All data'!J29</f>
        <v>908</v>
      </c>
      <c r="F5" s="2" t="s">
        <v>18</v>
      </c>
    </row>
    <row r="6" spans="1:6" x14ac:dyDescent="0.2">
      <c r="A6" t="s">
        <v>15</v>
      </c>
      <c r="B6">
        <v>45</v>
      </c>
      <c r="C6">
        <f>45+150</f>
        <v>195</v>
      </c>
      <c r="D6" s="5">
        <f>'All data'!H32</f>
        <v>135</v>
      </c>
      <c r="E6" s="5">
        <f>'All data'!J32</f>
        <v>1026</v>
      </c>
      <c r="F6" s="2" t="s">
        <v>19</v>
      </c>
    </row>
    <row r="7" spans="1:6" x14ac:dyDescent="0.2">
      <c r="A7" t="s">
        <v>16</v>
      </c>
      <c r="B7">
        <v>40</v>
      </c>
      <c r="C7">
        <v>302</v>
      </c>
      <c r="D7" s="5">
        <f>'All data'!$H$41</f>
        <v>144</v>
      </c>
      <c r="E7" s="5">
        <f>'All data'!$J$41</f>
        <v>1156</v>
      </c>
      <c r="F7" s="2" t="s">
        <v>19</v>
      </c>
    </row>
    <row r="8" spans="1:6" x14ac:dyDescent="0.2">
      <c r="A8" t="s">
        <v>10</v>
      </c>
      <c r="B8">
        <v>28</v>
      </c>
      <c r="C8">
        <f>28+70+137</f>
        <v>235</v>
      </c>
      <c r="D8">
        <v>7</v>
      </c>
      <c r="E8">
        <f>7+33+17</f>
        <v>57</v>
      </c>
      <c r="F8" s="2" t="s">
        <v>19</v>
      </c>
    </row>
    <row r="9" spans="1:6" x14ac:dyDescent="0.2">
      <c r="A9" t="s">
        <v>38</v>
      </c>
      <c r="B9">
        <f>745+533</f>
        <v>1278</v>
      </c>
      <c r="C9">
        <f>B9+3437+2408</f>
        <v>7123</v>
      </c>
      <c r="D9" s="7" t="e">
        <f>#REF!+#REF!</f>
        <v>#REF!</v>
      </c>
      <c r="E9" s="7" t="e">
        <f>#REF!+#REF!+#REF!+#REF!</f>
        <v>#REF!</v>
      </c>
      <c r="F9" s="2" t="s">
        <v>18</v>
      </c>
    </row>
    <row r="10" spans="1:6" x14ac:dyDescent="0.2">
      <c r="A10" t="s">
        <v>14</v>
      </c>
      <c r="B10">
        <f>'All data'!E50</f>
        <v>19</v>
      </c>
      <c r="C10">
        <f>'All data'!G50</f>
        <v>72</v>
      </c>
      <c r="D10" s="9">
        <f>'All data'!H50</f>
        <v>14</v>
      </c>
      <c r="E10" s="9">
        <f>'All data'!J50</f>
        <v>70</v>
      </c>
      <c r="F10" s="2" t="s">
        <v>19</v>
      </c>
    </row>
    <row r="11" spans="1:6" x14ac:dyDescent="0.2">
      <c r="B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827-9226-664E-A5DC-9CAE983779B2}">
  <dimension ref="A1:F8"/>
  <sheetViews>
    <sheetView workbookViewId="0">
      <selection activeCell="G46" sqref="G46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18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18</v>
      </c>
    </row>
    <row r="4" spans="1:6" x14ac:dyDescent="0.2">
      <c r="A4" t="s">
        <v>12</v>
      </c>
      <c r="B4" s="5">
        <f>'All data'!E10</f>
        <v>18</v>
      </c>
      <c r="C4" s="5">
        <f>'All data'!G10</f>
        <v>158</v>
      </c>
      <c r="D4" s="5">
        <f>'All data'!$H$10</f>
        <v>63</v>
      </c>
      <c r="E4" s="5">
        <f>'All data'!$J$10</f>
        <v>591</v>
      </c>
      <c r="F4" s="2" t="s">
        <v>18</v>
      </c>
    </row>
    <row r="5" spans="1:6" x14ac:dyDescent="0.2">
      <c r="A5" t="s">
        <v>11</v>
      </c>
      <c r="B5">
        <f>'All data'!E28</f>
        <v>43</v>
      </c>
      <c r="C5">
        <f>'All data'!G28</f>
        <v>241</v>
      </c>
      <c r="D5">
        <f>'All data'!H28</f>
        <v>69</v>
      </c>
      <c r="E5">
        <f>'All data'!J28</f>
        <v>526</v>
      </c>
      <c r="F5" s="2" t="s">
        <v>18</v>
      </c>
    </row>
    <row r="6" spans="1:6" x14ac:dyDescent="0.2">
      <c r="A6" t="s">
        <v>15</v>
      </c>
      <c r="B6">
        <v>8</v>
      </c>
      <c r="C6">
        <f>8+38</f>
        <v>46</v>
      </c>
      <c r="D6" s="5">
        <f>'All data'!$H$31</f>
        <v>29</v>
      </c>
      <c r="E6" s="5">
        <f>'All data'!$J$31</f>
        <v>242</v>
      </c>
      <c r="F6" s="2" t="s">
        <v>19</v>
      </c>
    </row>
    <row r="7" spans="1:6" x14ac:dyDescent="0.2">
      <c r="A7" t="s">
        <v>16</v>
      </c>
      <c r="B7">
        <v>16</v>
      </c>
      <c r="C7">
        <f>16+81</f>
        <v>97</v>
      </c>
      <c r="D7" s="5">
        <f>'All data'!$H$40</f>
        <v>38</v>
      </c>
      <c r="E7" s="5">
        <f>'All data'!$J$40</f>
        <v>372</v>
      </c>
      <c r="F7" s="2" t="s">
        <v>19</v>
      </c>
    </row>
    <row r="8" spans="1:6" x14ac:dyDescent="0.2">
      <c r="A8" t="s">
        <v>38</v>
      </c>
      <c r="B8">
        <v>533</v>
      </c>
      <c r="C8">
        <f>533+2408</f>
        <v>2941</v>
      </c>
      <c r="D8">
        <f>11227</f>
        <v>11227</v>
      </c>
      <c r="E8">
        <f>D8+87449</f>
        <v>98676</v>
      </c>
      <c r="F8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1A93-20D8-5240-A569-93FEDF0E77E0}">
  <dimension ref="A1:F8"/>
  <sheetViews>
    <sheetView workbookViewId="0">
      <selection activeCell="C32" sqref="C32"/>
    </sheetView>
  </sheetViews>
  <sheetFormatPr baseColWidth="10" defaultRowHeight="16" x14ac:dyDescent="0.2"/>
  <cols>
    <col min="2" max="2" width="21.164062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18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18</v>
      </c>
    </row>
    <row r="4" spans="1:6" x14ac:dyDescent="0.2">
      <c r="A4" t="s">
        <v>12</v>
      </c>
      <c r="B4" s="5">
        <f>'All data'!E9</f>
        <v>27</v>
      </c>
      <c r="C4" s="5">
        <f>'All data'!G9</f>
        <v>210</v>
      </c>
      <c r="D4" s="5">
        <f>'All data'!$H$9</f>
        <v>106</v>
      </c>
      <c r="E4" s="5">
        <f>'All data'!$J$9</f>
        <v>784</v>
      </c>
      <c r="F4" s="2" t="s">
        <v>18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18</v>
      </c>
    </row>
    <row r="6" spans="1:6" x14ac:dyDescent="0.2">
      <c r="A6" t="s">
        <v>15</v>
      </c>
      <c r="B6">
        <v>37</v>
      </c>
      <c r="C6">
        <f>37+112</f>
        <v>149</v>
      </c>
      <c r="D6" s="5">
        <f>'All data'!$H$30</f>
        <v>106</v>
      </c>
      <c r="E6" s="5">
        <f>'All data'!$J$30</f>
        <v>784</v>
      </c>
      <c r="F6" s="2" t="s">
        <v>19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 s="5">
        <f>'All data'!$H$39</f>
        <v>106</v>
      </c>
      <c r="E7" s="5">
        <f>'All data'!$J$39</f>
        <v>784</v>
      </c>
      <c r="F7" s="2" t="s">
        <v>19</v>
      </c>
    </row>
    <row r="8" spans="1:6" x14ac:dyDescent="0.2">
      <c r="A8" t="s">
        <v>38</v>
      </c>
      <c r="B8" s="8">
        <v>745</v>
      </c>
      <c r="C8" s="8">
        <f>B8+3437</f>
        <v>4182</v>
      </c>
      <c r="D8" s="8">
        <v>14359</v>
      </c>
      <c r="E8" s="8">
        <f>93249+D8</f>
        <v>107608</v>
      </c>
      <c r="F8" s="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79C8-A45F-5648-B92F-F547C22F48B1}">
  <dimension ref="A1:Q59"/>
  <sheetViews>
    <sheetView zoomScale="92" workbookViewId="0">
      <pane ySplit="1" topLeftCell="A27" activePane="bottomLeft" state="frozen"/>
      <selection pane="bottomLeft" activeCell="E57" sqref="E57:E60"/>
    </sheetView>
  </sheetViews>
  <sheetFormatPr baseColWidth="10" defaultRowHeight="16" x14ac:dyDescent="0.2"/>
  <cols>
    <col min="1" max="1" width="32.83203125" bestFit="1" customWidth="1"/>
    <col min="2" max="2" width="11.5" bestFit="1" customWidth="1"/>
    <col min="3" max="3" width="13.6640625" bestFit="1" customWidth="1"/>
  </cols>
  <sheetData>
    <row r="1" spans="1:17" ht="17" thickBot="1" x14ac:dyDescent="0.25">
      <c r="A1" s="44" t="s">
        <v>40</v>
      </c>
      <c r="B1" s="44" t="s">
        <v>22</v>
      </c>
      <c r="C1" s="44" t="s">
        <v>41</v>
      </c>
      <c r="D1" s="44" t="s">
        <v>42</v>
      </c>
      <c r="E1" s="46" t="s">
        <v>20</v>
      </c>
      <c r="F1" s="46"/>
      <c r="G1" s="11"/>
      <c r="H1" s="46" t="s">
        <v>21</v>
      </c>
      <c r="I1" s="46"/>
      <c r="J1" s="11"/>
      <c r="K1" s="37" t="s">
        <v>61</v>
      </c>
      <c r="L1" s="37"/>
      <c r="M1" s="18"/>
      <c r="N1" s="18"/>
      <c r="O1" s="18"/>
      <c r="P1" s="18"/>
    </row>
    <row r="2" spans="1:17" ht="17" thickBot="1" x14ac:dyDescent="0.25">
      <c r="A2" s="45"/>
      <c r="B2" s="45"/>
      <c r="C2" s="45"/>
      <c r="D2" s="45"/>
      <c r="E2" s="16" t="s">
        <v>36</v>
      </c>
      <c r="F2" s="16" t="s">
        <v>37</v>
      </c>
      <c r="G2" s="12" t="s">
        <v>53</v>
      </c>
      <c r="H2" s="12" t="s">
        <v>36</v>
      </c>
      <c r="I2" s="12" t="s">
        <v>37</v>
      </c>
      <c r="J2" s="12" t="s">
        <v>53</v>
      </c>
      <c r="K2" s="13" t="s">
        <v>35</v>
      </c>
      <c r="L2" s="13" t="s">
        <v>34</v>
      </c>
      <c r="M2" s="10" t="s">
        <v>50</v>
      </c>
      <c r="N2" s="10" t="s">
        <v>51</v>
      </c>
      <c r="O2" s="18" t="s">
        <v>48</v>
      </c>
      <c r="P2" s="18" t="s">
        <v>49</v>
      </c>
    </row>
    <row r="3" spans="1:17" s="5" customFormat="1" ht="17" thickBot="1" x14ac:dyDescent="0.25">
      <c r="A3" s="38" t="s">
        <v>23</v>
      </c>
      <c r="B3" s="41" t="s">
        <v>18</v>
      </c>
      <c r="C3" s="41" t="s">
        <v>24</v>
      </c>
      <c r="D3" s="21" t="s">
        <v>25</v>
      </c>
      <c r="E3" s="21">
        <v>6</v>
      </c>
      <c r="F3" s="21">
        <v>48</v>
      </c>
      <c r="G3" s="21">
        <f>E3+F3</f>
        <v>54</v>
      </c>
      <c r="H3" s="24">
        <v>106</v>
      </c>
      <c r="I3" s="24">
        <v>678</v>
      </c>
      <c r="J3" s="21">
        <f>H3+I3</f>
        <v>784</v>
      </c>
      <c r="K3" s="21">
        <v>0.17</v>
      </c>
      <c r="L3" s="21">
        <v>0.13</v>
      </c>
      <c r="M3" s="22">
        <f>E3/(F3+E3)</f>
        <v>0.1111111111111111</v>
      </c>
      <c r="N3" s="30">
        <f t="shared" ref="N3:N39" si="0">H3/J3</f>
        <v>0.13520408163265307</v>
      </c>
      <c r="O3" s="23">
        <v>1.11111111</v>
      </c>
      <c r="P3" s="23">
        <v>1.3254717</v>
      </c>
    </row>
    <row r="4" spans="1:17" s="5" customFormat="1" ht="17" thickBot="1" x14ac:dyDescent="0.25">
      <c r="A4" s="39"/>
      <c r="B4" s="42"/>
      <c r="C4" s="42"/>
      <c r="D4" s="25" t="s">
        <v>26</v>
      </c>
      <c r="E4" s="25">
        <v>10</v>
      </c>
      <c r="F4" s="25">
        <v>50</v>
      </c>
      <c r="G4" s="21">
        <f t="shared" ref="G4:G50" si="1">E4+F4</f>
        <v>60</v>
      </c>
      <c r="H4" s="25">
        <v>63</v>
      </c>
      <c r="I4" s="25">
        <v>528</v>
      </c>
      <c r="J4" s="21">
        <f t="shared" ref="J4:J50" si="2">H4+I4</f>
        <v>591</v>
      </c>
      <c r="K4" s="25">
        <v>0.11</v>
      </c>
      <c r="L4" s="25">
        <v>0.11</v>
      </c>
      <c r="M4" s="22">
        <f t="shared" ref="M4:M48" si="3">E4/(F4+E4)</f>
        <v>0.16666666666666666</v>
      </c>
      <c r="N4" s="19">
        <f t="shared" si="0"/>
        <v>0.1065989847715736</v>
      </c>
      <c r="O4" s="23"/>
      <c r="P4" s="23"/>
    </row>
    <row r="5" spans="1:17" s="5" customFormat="1" ht="17" thickBot="1" x14ac:dyDescent="0.25">
      <c r="A5" s="39"/>
      <c r="B5" s="42"/>
      <c r="C5" s="43"/>
      <c r="D5" s="21" t="s">
        <v>27</v>
      </c>
      <c r="E5" s="21">
        <v>16</v>
      </c>
      <c r="F5" s="21">
        <v>98</v>
      </c>
      <c r="G5" s="21">
        <f t="shared" si="1"/>
        <v>114</v>
      </c>
      <c r="H5" s="24">
        <f>H3+H4</f>
        <v>169</v>
      </c>
      <c r="I5" s="24">
        <f>I3+I4</f>
        <v>1206</v>
      </c>
      <c r="J5" s="21">
        <f t="shared" si="2"/>
        <v>1375</v>
      </c>
      <c r="K5" s="21">
        <v>0.14000000000000001</v>
      </c>
      <c r="L5" s="21">
        <v>0.12</v>
      </c>
      <c r="M5" s="22">
        <f t="shared" si="3"/>
        <v>0.14035087719298245</v>
      </c>
      <c r="N5" s="19">
        <f t="shared" si="0"/>
        <v>0.12290909090909091</v>
      </c>
      <c r="O5" s="23"/>
      <c r="P5" s="23"/>
    </row>
    <row r="6" spans="1:17" s="5" customFormat="1" ht="17" thickBot="1" x14ac:dyDescent="0.25">
      <c r="A6" s="39"/>
      <c r="B6" s="42"/>
      <c r="C6" s="41" t="s">
        <v>28</v>
      </c>
      <c r="D6" s="25" t="s">
        <v>25</v>
      </c>
      <c r="E6" s="25">
        <v>17</v>
      </c>
      <c r="F6" s="25">
        <v>133</v>
      </c>
      <c r="G6" s="21">
        <f t="shared" si="1"/>
        <v>150</v>
      </c>
      <c r="H6" s="29">
        <v>106</v>
      </c>
      <c r="I6" s="29">
        <v>678</v>
      </c>
      <c r="J6" s="21">
        <f t="shared" si="2"/>
        <v>784</v>
      </c>
      <c r="K6" s="25">
        <v>0.11</v>
      </c>
      <c r="L6" s="25">
        <v>0.13</v>
      </c>
      <c r="M6" s="22">
        <f t="shared" si="3"/>
        <v>0.11333333333333333</v>
      </c>
      <c r="N6" s="19">
        <f t="shared" si="0"/>
        <v>0.13520408163265307</v>
      </c>
      <c r="O6" s="23">
        <v>1.44230769</v>
      </c>
      <c r="P6" s="23">
        <v>1.3254717</v>
      </c>
    </row>
    <row r="7" spans="1:17" s="5" customFormat="1" ht="17" thickBot="1" x14ac:dyDescent="0.25">
      <c r="A7" s="39"/>
      <c r="B7" s="42"/>
      <c r="C7" s="42"/>
      <c r="D7" s="21" t="s">
        <v>26</v>
      </c>
      <c r="E7" s="21">
        <v>12</v>
      </c>
      <c r="F7" s="21">
        <v>92</v>
      </c>
      <c r="G7" s="21">
        <f t="shared" si="1"/>
        <v>104</v>
      </c>
      <c r="H7" s="25">
        <v>63</v>
      </c>
      <c r="I7" s="25">
        <v>528</v>
      </c>
      <c r="J7" s="21">
        <f t="shared" si="2"/>
        <v>591</v>
      </c>
      <c r="K7" s="21">
        <v>0.12</v>
      </c>
      <c r="L7" s="21">
        <v>0.11</v>
      </c>
      <c r="M7" s="22">
        <f t="shared" si="3"/>
        <v>0.11538461538461539</v>
      </c>
      <c r="N7" s="19">
        <f t="shared" si="0"/>
        <v>0.1065989847715736</v>
      </c>
      <c r="O7" s="23"/>
      <c r="P7" s="23"/>
    </row>
    <row r="8" spans="1:17" s="5" customFormat="1" ht="18" customHeight="1" thickBot="1" x14ac:dyDescent="0.25">
      <c r="A8" s="39"/>
      <c r="B8" s="42"/>
      <c r="C8" s="43"/>
      <c r="D8" s="25" t="s">
        <v>27</v>
      </c>
      <c r="E8" s="25">
        <v>29</v>
      </c>
      <c r="F8" s="25">
        <v>225</v>
      </c>
      <c r="G8" s="21">
        <f t="shared" si="1"/>
        <v>254</v>
      </c>
      <c r="H8" s="29">
        <f>H6+H7</f>
        <v>169</v>
      </c>
      <c r="I8" s="29">
        <f>I6+I7</f>
        <v>1206</v>
      </c>
      <c r="J8" s="21">
        <f t="shared" si="2"/>
        <v>1375</v>
      </c>
      <c r="K8" s="25">
        <v>0.11</v>
      </c>
      <c r="L8" s="25">
        <v>0.12</v>
      </c>
      <c r="M8" s="22">
        <f t="shared" si="3"/>
        <v>0.1141732283464567</v>
      </c>
      <c r="N8" s="19">
        <f t="shared" si="0"/>
        <v>0.12290909090909091</v>
      </c>
      <c r="O8" s="23"/>
      <c r="P8" s="23"/>
    </row>
    <row r="9" spans="1:17" s="5" customFormat="1" ht="17" thickBot="1" x14ac:dyDescent="0.25">
      <c r="A9" s="39"/>
      <c r="B9" s="42"/>
      <c r="C9" s="41" t="s">
        <v>43</v>
      </c>
      <c r="D9" s="21" t="s">
        <v>25</v>
      </c>
      <c r="E9" s="21">
        <v>27</v>
      </c>
      <c r="F9" s="21">
        <v>183</v>
      </c>
      <c r="G9" s="21">
        <f t="shared" si="1"/>
        <v>210</v>
      </c>
      <c r="H9" s="31">
        <v>106</v>
      </c>
      <c r="I9" s="31">
        <v>678</v>
      </c>
      <c r="J9" s="21">
        <f>H9+I9</f>
        <v>784</v>
      </c>
      <c r="K9" s="21">
        <v>0.13</v>
      </c>
      <c r="L9" s="21">
        <v>0.13</v>
      </c>
      <c r="M9" s="22">
        <f>E9/G9</f>
        <v>0.12857142857142856</v>
      </c>
      <c r="N9" s="19">
        <f t="shared" si="0"/>
        <v>0.13520408163265307</v>
      </c>
      <c r="O9" s="23">
        <f>G9/G10</f>
        <v>1.3291139240506329</v>
      </c>
      <c r="P9" s="23">
        <f>J9/J10</f>
        <v>1.3265651438240271</v>
      </c>
      <c r="Q9" s="5" t="s">
        <v>52</v>
      </c>
    </row>
    <row r="10" spans="1:17" s="5" customFormat="1" ht="17" thickBot="1" x14ac:dyDescent="0.25">
      <c r="A10" s="39"/>
      <c r="B10" s="42"/>
      <c r="C10" s="42"/>
      <c r="D10" s="25" t="s">
        <v>26</v>
      </c>
      <c r="E10" s="21">
        <v>18</v>
      </c>
      <c r="F10" s="21">
        <v>140</v>
      </c>
      <c r="G10" s="21">
        <f t="shared" si="1"/>
        <v>158</v>
      </c>
      <c r="H10" s="32">
        <v>63</v>
      </c>
      <c r="I10" s="32">
        <v>528</v>
      </c>
      <c r="J10" s="21">
        <f>H10+I10</f>
        <v>591</v>
      </c>
      <c r="K10" s="25">
        <v>0.11</v>
      </c>
      <c r="L10" s="25">
        <v>0.11</v>
      </c>
      <c r="M10" s="22">
        <f>E10/G10</f>
        <v>0.11392405063291139</v>
      </c>
      <c r="N10" s="19">
        <f t="shared" si="0"/>
        <v>0.1065989847715736</v>
      </c>
      <c r="P10" s="23"/>
    </row>
    <row r="11" spans="1:17" s="5" customFormat="1" ht="17" thickBot="1" x14ac:dyDescent="0.25">
      <c r="A11" s="40"/>
      <c r="B11" s="43"/>
      <c r="C11" s="43"/>
      <c r="D11" s="21" t="s">
        <v>27</v>
      </c>
      <c r="E11" s="21">
        <f>E9+E10</f>
        <v>45</v>
      </c>
      <c r="F11" s="21">
        <f>F9+F10</f>
        <v>323</v>
      </c>
      <c r="G11" s="21">
        <f t="shared" si="1"/>
        <v>368</v>
      </c>
      <c r="H11" s="31">
        <v>169</v>
      </c>
      <c r="I11" s="31">
        <v>1206</v>
      </c>
      <c r="J11" s="21">
        <f>H11+I11</f>
        <v>1375</v>
      </c>
      <c r="K11" s="21">
        <v>0.12</v>
      </c>
      <c r="L11" s="21">
        <v>0.12</v>
      </c>
      <c r="M11" s="22">
        <f t="shared" ref="M11" si="4">E11/G11</f>
        <v>0.12228260869565218</v>
      </c>
      <c r="N11" s="19">
        <f>H11/J11</f>
        <v>0.12290909090909091</v>
      </c>
      <c r="O11" s="23"/>
      <c r="P11" s="23"/>
    </row>
    <row r="12" spans="1:17" ht="17" thickBot="1" x14ac:dyDescent="0.25">
      <c r="A12" s="44" t="s">
        <v>44</v>
      </c>
      <c r="B12" s="48" t="s">
        <v>18</v>
      </c>
      <c r="C12" s="48" t="s">
        <v>28</v>
      </c>
      <c r="D12" s="15" t="s">
        <v>25</v>
      </c>
      <c r="E12" s="15">
        <v>16</v>
      </c>
      <c r="F12" s="15">
        <v>105</v>
      </c>
      <c r="G12" s="14">
        <f t="shared" si="1"/>
        <v>121</v>
      </c>
      <c r="H12" s="15">
        <v>35</v>
      </c>
      <c r="I12" s="15">
        <v>360</v>
      </c>
      <c r="J12" s="14">
        <f t="shared" si="2"/>
        <v>395</v>
      </c>
      <c r="K12" s="15">
        <v>0.13</v>
      </c>
      <c r="L12" s="15">
        <v>0.09</v>
      </c>
      <c r="M12" s="22">
        <f t="shared" si="3"/>
        <v>0.13223140495867769</v>
      </c>
      <c r="N12" s="19">
        <f t="shared" si="0"/>
        <v>8.8607594936708861E-2</v>
      </c>
      <c r="O12" s="18">
        <v>1.4578313300000001</v>
      </c>
      <c r="P12" s="18">
        <v>1.4575645800000001</v>
      </c>
    </row>
    <row r="13" spans="1:17" ht="17" thickBot="1" x14ac:dyDescent="0.25">
      <c r="A13" s="47"/>
      <c r="B13" s="49"/>
      <c r="C13" s="49"/>
      <c r="D13" s="14" t="s">
        <v>26</v>
      </c>
      <c r="E13" s="14">
        <v>6</v>
      </c>
      <c r="F13" s="14">
        <v>77</v>
      </c>
      <c r="G13" s="14">
        <f t="shared" si="1"/>
        <v>83</v>
      </c>
      <c r="H13" s="14">
        <v>21</v>
      </c>
      <c r="I13" s="14">
        <v>250</v>
      </c>
      <c r="J13" s="14">
        <f t="shared" si="2"/>
        <v>271</v>
      </c>
      <c r="K13" s="14">
        <v>7.0000000000000007E-2</v>
      </c>
      <c r="L13" s="14">
        <v>0.08</v>
      </c>
      <c r="M13" s="22">
        <f t="shared" si="3"/>
        <v>7.2289156626506021E-2</v>
      </c>
      <c r="N13" s="19">
        <f t="shared" si="0"/>
        <v>7.7490774907749083E-2</v>
      </c>
      <c r="O13" s="18"/>
      <c r="P13" s="18"/>
    </row>
    <row r="14" spans="1:17" ht="17" thickBot="1" x14ac:dyDescent="0.25">
      <c r="A14" s="45"/>
      <c r="B14" s="50"/>
      <c r="C14" s="50"/>
      <c r="D14" s="15" t="s">
        <v>27</v>
      </c>
      <c r="E14" s="15">
        <f>E13+E12</f>
        <v>22</v>
      </c>
      <c r="F14" s="15">
        <f>F13+F12</f>
        <v>182</v>
      </c>
      <c r="G14" s="14">
        <f t="shared" si="1"/>
        <v>204</v>
      </c>
      <c r="H14" s="15">
        <v>56</v>
      </c>
      <c r="I14" s="15">
        <v>610</v>
      </c>
      <c r="J14" s="14">
        <f t="shared" si="2"/>
        <v>666</v>
      </c>
      <c r="K14" s="15">
        <v>0.11</v>
      </c>
      <c r="L14" s="15">
        <v>0.08</v>
      </c>
      <c r="M14" s="22">
        <f t="shared" si="3"/>
        <v>0.10784313725490197</v>
      </c>
      <c r="N14" s="19">
        <f t="shared" si="0"/>
        <v>8.408408408408409E-2</v>
      </c>
      <c r="O14" s="18"/>
      <c r="P14" s="18"/>
    </row>
    <row r="15" spans="1:17" s="6" customFormat="1" ht="17" thickBot="1" x14ac:dyDescent="0.25">
      <c r="A15" s="51" t="s">
        <v>45</v>
      </c>
      <c r="B15" s="54" t="s">
        <v>18</v>
      </c>
      <c r="C15" s="54" t="s">
        <v>24</v>
      </c>
      <c r="D15" s="27" t="s">
        <v>25</v>
      </c>
      <c r="E15" s="27">
        <v>18</v>
      </c>
      <c r="F15" s="27">
        <v>97</v>
      </c>
      <c r="G15" s="27">
        <f t="shared" si="1"/>
        <v>115</v>
      </c>
      <c r="H15" s="27">
        <v>66</v>
      </c>
      <c r="I15" s="27">
        <v>450</v>
      </c>
      <c r="J15" s="27">
        <f t="shared" si="2"/>
        <v>516</v>
      </c>
      <c r="K15" s="27">
        <v>0.16</v>
      </c>
      <c r="L15" s="27">
        <v>0.13</v>
      </c>
      <c r="M15" s="22">
        <f t="shared" si="3"/>
        <v>0.15652173913043479</v>
      </c>
      <c r="N15" s="19">
        <f t="shared" si="0"/>
        <v>0.12790697674418605</v>
      </c>
      <c r="O15" s="28">
        <v>0.96638654999999996</v>
      </c>
      <c r="P15" s="28">
        <v>0.96629213000000003</v>
      </c>
    </row>
    <row r="16" spans="1:17" s="6" customFormat="1" ht="17" thickBot="1" x14ac:dyDescent="0.25">
      <c r="A16" s="52"/>
      <c r="B16" s="55"/>
      <c r="C16" s="55"/>
      <c r="D16" s="26" t="s">
        <v>26</v>
      </c>
      <c r="E16" s="26">
        <v>13</v>
      </c>
      <c r="F16" s="26">
        <v>106</v>
      </c>
      <c r="G16" s="27">
        <f t="shared" si="1"/>
        <v>119</v>
      </c>
      <c r="H16" s="26">
        <v>70</v>
      </c>
      <c r="I16" s="26">
        <v>464</v>
      </c>
      <c r="J16" s="27">
        <f t="shared" si="2"/>
        <v>534</v>
      </c>
      <c r="K16" s="26">
        <v>0.11</v>
      </c>
      <c r="L16" s="26">
        <v>0.13</v>
      </c>
      <c r="M16" s="22">
        <f t="shared" si="3"/>
        <v>0.1092436974789916</v>
      </c>
      <c r="N16" s="19">
        <f t="shared" si="0"/>
        <v>0.13108614232209737</v>
      </c>
      <c r="O16" s="28"/>
      <c r="P16" s="28"/>
    </row>
    <row r="17" spans="1:17" s="6" customFormat="1" ht="17" thickBot="1" x14ac:dyDescent="0.25">
      <c r="A17" s="53"/>
      <c r="B17" s="56"/>
      <c r="C17" s="56"/>
      <c r="D17" s="27" t="s">
        <v>27</v>
      </c>
      <c r="E17" s="15">
        <f>E16+E15</f>
        <v>31</v>
      </c>
      <c r="F17" s="15">
        <f>F16+F15</f>
        <v>203</v>
      </c>
      <c r="G17" s="17">
        <f t="shared" ref="G17" si="5">E17+F17</f>
        <v>234</v>
      </c>
      <c r="H17" s="15">
        <f>H16+H15</f>
        <v>136</v>
      </c>
      <c r="I17" s="15">
        <f>I16+I15</f>
        <v>914</v>
      </c>
      <c r="J17" s="27">
        <f t="shared" si="2"/>
        <v>1050</v>
      </c>
      <c r="K17" s="27">
        <v>0.13</v>
      </c>
      <c r="L17" s="27">
        <v>0.13</v>
      </c>
      <c r="M17" s="22">
        <f t="shared" si="3"/>
        <v>0.13247863247863248</v>
      </c>
      <c r="N17" s="19">
        <f t="shared" si="0"/>
        <v>0.12952380952380951</v>
      </c>
      <c r="O17" s="28"/>
      <c r="P17" s="28"/>
    </row>
    <row r="18" spans="1:17" ht="17" thickBot="1" x14ac:dyDescent="0.25">
      <c r="A18" s="44" t="s">
        <v>29</v>
      </c>
      <c r="B18" s="48" t="s">
        <v>18</v>
      </c>
      <c r="C18" s="48" t="s">
        <v>28</v>
      </c>
      <c r="D18" s="15" t="s">
        <v>25</v>
      </c>
      <c r="E18" s="15">
        <v>15</v>
      </c>
      <c r="F18" s="15">
        <v>87</v>
      </c>
      <c r="G18" s="14">
        <f t="shared" si="1"/>
        <v>102</v>
      </c>
      <c r="H18" s="15">
        <v>37</v>
      </c>
      <c r="I18" s="15">
        <v>248</v>
      </c>
      <c r="J18" s="14">
        <f t="shared" si="2"/>
        <v>285</v>
      </c>
      <c r="K18" s="15">
        <v>0.15</v>
      </c>
      <c r="L18" s="15">
        <v>0.13</v>
      </c>
      <c r="M18" s="22">
        <f t="shared" si="3"/>
        <v>0.14705882352941177</v>
      </c>
      <c r="N18" s="19">
        <f t="shared" si="0"/>
        <v>0.12982456140350876</v>
      </c>
      <c r="O18" s="18">
        <v>1.85454545</v>
      </c>
      <c r="P18" s="18">
        <v>1.8627450999999999</v>
      </c>
    </row>
    <row r="19" spans="1:17" ht="17" thickBot="1" x14ac:dyDescent="0.25">
      <c r="A19" s="47"/>
      <c r="B19" s="49"/>
      <c r="C19" s="49"/>
      <c r="D19" s="14" t="s">
        <v>26</v>
      </c>
      <c r="E19" s="14">
        <v>6</v>
      </c>
      <c r="F19" s="14">
        <v>49</v>
      </c>
      <c r="G19" s="14">
        <f t="shared" si="1"/>
        <v>55</v>
      </c>
      <c r="H19" s="14">
        <v>12</v>
      </c>
      <c r="I19" s="14">
        <v>141</v>
      </c>
      <c r="J19" s="14">
        <f t="shared" si="2"/>
        <v>153</v>
      </c>
      <c r="K19" s="14">
        <v>0.11</v>
      </c>
      <c r="L19" s="14">
        <v>0.08</v>
      </c>
      <c r="M19" s="22">
        <f t="shared" si="3"/>
        <v>0.10909090909090909</v>
      </c>
      <c r="N19" s="19">
        <f t="shared" si="0"/>
        <v>7.8431372549019607E-2</v>
      </c>
      <c r="O19" s="18"/>
      <c r="P19" s="18"/>
    </row>
    <row r="20" spans="1:17" ht="17" thickBot="1" x14ac:dyDescent="0.25">
      <c r="A20" s="45"/>
      <c r="B20" s="50"/>
      <c r="C20" s="50"/>
      <c r="D20" s="15" t="s">
        <v>27</v>
      </c>
      <c r="E20" s="15">
        <f>E19+E18</f>
        <v>21</v>
      </c>
      <c r="F20" s="15">
        <f>F19+F18</f>
        <v>136</v>
      </c>
      <c r="G20" s="14">
        <f t="shared" si="1"/>
        <v>157</v>
      </c>
      <c r="H20" s="15">
        <f>H19+H18</f>
        <v>49</v>
      </c>
      <c r="I20" s="15">
        <f>I19+I18</f>
        <v>389</v>
      </c>
      <c r="J20" s="14">
        <f>H20+I20</f>
        <v>438</v>
      </c>
      <c r="K20" s="15">
        <v>0.13</v>
      </c>
      <c r="L20" s="15">
        <v>0.11</v>
      </c>
      <c r="M20" s="22">
        <f t="shared" si="3"/>
        <v>0.13375796178343949</v>
      </c>
      <c r="N20" s="19">
        <f t="shared" si="0"/>
        <v>0.11187214611872145</v>
      </c>
      <c r="O20" s="18"/>
      <c r="P20" s="18"/>
    </row>
    <row r="21" spans="1:17" ht="17" thickBot="1" x14ac:dyDescent="0.25">
      <c r="A21" s="44" t="s">
        <v>30</v>
      </c>
      <c r="B21" s="48" t="s">
        <v>18</v>
      </c>
      <c r="C21" s="48" t="s">
        <v>24</v>
      </c>
      <c r="D21" s="14" t="s">
        <v>25</v>
      </c>
      <c r="E21" s="14">
        <v>13</v>
      </c>
      <c r="F21" s="14">
        <v>110</v>
      </c>
      <c r="G21" s="14">
        <f t="shared" si="1"/>
        <v>123</v>
      </c>
      <c r="H21" s="14">
        <v>51</v>
      </c>
      <c r="I21" s="14">
        <v>331</v>
      </c>
      <c r="J21" s="14">
        <f t="shared" si="2"/>
        <v>382</v>
      </c>
      <c r="K21" s="14">
        <v>0.11</v>
      </c>
      <c r="L21" s="14">
        <v>0.13</v>
      </c>
      <c r="M21" s="22">
        <f t="shared" si="3"/>
        <v>0.10569105691056911</v>
      </c>
      <c r="N21" s="19">
        <f t="shared" si="0"/>
        <v>0.13350785340314136</v>
      </c>
      <c r="O21" s="18">
        <v>0.86013985999999998</v>
      </c>
      <c r="P21" s="18">
        <v>0.72623574000000002</v>
      </c>
    </row>
    <row r="22" spans="1:17" ht="17" thickBot="1" x14ac:dyDescent="0.25">
      <c r="A22" s="47"/>
      <c r="B22" s="49"/>
      <c r="C22" s="49"/>
      <c r="D22" s="15" t="s">
        <v>26</v>
      </c>
      <c r="E22" s="15">
        <v>30</v>
      </c>
      <c r="F22" s="15">
        <v>113</v>
      </c>
      <c r="G22" s="14">
        <f t="shared" si="1"/>
        <v>143</v>
      </c>
      <c r="H22" s="15">
        <v>69</v>
      </c>
      <c r="I22" s="15">
        <v>457</v>
      </c>
      <c r="J22" s="14">
        <f t="shared" si="2"/>
        <v>526</v>
      </c>
      <c r="K22" s="15">
        <v>0.21</v>
      </c>
      <c r="L22" s="15">
        <v>0.13</v>
      </c>
      <c r="M22" s="22">
        <f t="shared" si="3"/>
        <v>0.20979020979020979</v>
      </c>
      <c r="N22" s="19">
        <f t="shared" si="0"/>
        <v>0.13117870722433461</v>
      </c>
      <c r="O22" s="18"/>
      <c r="P22" s="18"/>
    </row>
    <row r="23" spans="1:17" ht="17" thickBot="1" x14ac:dyDescent="0.25">
      <c r="A23" s="47"/>
      <c r="B23" s="49"/>
      <c r="C23" s="50"/>
      <c r="D23" s="14" t="s">
        <v>27</v>
      </c>
      <c r="E23" s="15">
        <f>E22+E21</f>
        <v>43</v>
      </c>
      <c r="F23" s="15">
        <f>F22+F21</f>
        <v>223</v>
      </c>
      <c r="G23" s="17">
        <f t="shared" ref="G23" si="6">E23+F23</f>
        <v>266</v>
      </c>
      <c r="H23" s="15">
        <f>H22+H21</f>
        <v>120</v>
      </c>
      <c r="I23" s="15">
        <f>I22+I21</f>
        <v>788</v>
      </c>
      <c r="J23" s="14">
        <f t="shared" si="2"/>
        <v>908</v>
      </c>
      <c r="K23" s="14">
        <v>0.16</v>
      </c>
      <c r="L23" s="14">
        <v>0.13</v>
      </c>
      <c r="M23" s="22">
        <f t="shared" si="3"/>
        <v>0.16165413533834586</v>
      </c>
      <c r="N23" s="19">
        <f t="shared" si="0"/>
        <v>0.13215859030837004</v>
      </c>
      <c r="O23" s="18"/>
      <c r="P23" s="18"/>
    </row>
    <row r="24" spans="1:17" ht="17" thickBot="1" x14ac:dyDescent="0.25">
      <c r="A24" s="47"/>
      <c r="B24" s="49"/>
      <c r="C24" s="48" t="s">
        <v>28</v>
      </c>
      <c r="D24" s="15" t="s">
        <v>25</v>
      </c>
      <c r="E24" s="15">
        <v>13</v>
      </c>
      <c r="F24" s="15">
        <v>73</v>
      </c>
      <c r="G24" s="14">
        <f t="shared" si="1"/>
        <v>86</v>
      </c>
      <c r="H24" s="15">
        <v>51</v>
      </c>
      <c r="I24" s="15">
        <v>331</v>
      </c>
      <c r="J24" s="14">
        <f t="shared" si="2"/>
        <v>382</v>
      </c>
      <c r="K24" s="15">
        <v>0.15</v>
      </c>
      <c r="L24" s="15">
        <v>0.13</v>
      </c>
      <c r="M24" s="22">
        <f t="shared" si="3"/>
        <v>0.15116279069767441</v>
      </c>
      <c r="N24" s="19">
        <f t="shared" si="0"/>
        <v>0.13350785340314136</v>
      </c>
      <c r="O24" s="18">
        <f>G24/G25</f>
        <v>0.62773722627737227</v>
      </c>
      <c r="P24" s="18">
        <f>J24/J25</f>
        <v>0.72623574144486691</v>
      </c>
    </row>
    <row r="25" spans="1:17" ht="17" thickBot="1" x14ac:dyDescent="0.25">
      <c r="A25" s="47"/>
      <c r="B25" s="49"/>
      <c r="C25" s="49"/>
      <c r="D25" s="14" t="s">
        <v>26</v>
      </c>
      <c r="E25" s="14">
        <v>20</v>
      </c>
      <c r="F25" s="14">
        <v>117</v>
      </c>
      <c r="G25" s="14">
        <f t="shared" si="1"/>
        <v>137</v>
      </c>
      <c r="H25" s="14">
        <v>69</v>
      </c>
      <c r="I25" s="14">
        <v>457</v>
      </c>
      <c r="J25" s="14">
        <f t="shared" si="2"/>
        <v>526</v>
      </c>
      <c r="K25" s="14">
        <v>0.15</v>
      </c>
      <c r="L25" s="14">
        <v>0.13</v>
      </c>
      <c r="M25" s="22">
        <f t="shared" si="3"/>
        <v>0.145985401459854</v>
      </c>
      <c r="N25" s="19">
        <f t="shared" si="0"/>
        <v>0.13117870722433461</v>
      </c>
      <c r="O25" s="18"/>
      <c r="P25" s="18"/>
    </row>
    <row r="26" spans="1:17" ht="17" thickBot="1" x14ac:dyDescent="0.25">
      <c r="A26" s="47"/>
      <c r="B26" s="49"/>
      <c r="C26" s="50"/>
      <c r="D26" s="15" t="s">
        <v>27</v>
      </c>
      <c r="E26" s="15">
        <f>E25+E24</f>
        <v>33</v>
      </c>
      <c r="F26" s="15">
        <f>F25+F24</f>
        <v>190</v>
      </c>
      <c r="G26" s="17">
        <f t="shared" ref="G26" si="7">E26+F26</f>
        <v>223</v>
      </c>
      <c r="H26" s="15">
        <f>H25+H24</f>
        <v>120</v>
      </c>
      <c r="I26" s="15">
        <f>I25+I24</f>
        <v>788</v>
      </c>
      <c r="J26" s="14">
        <f t="shared" si="2"/>
        <v>908</v>
      </c>
      <c r="K26" s="15">
        <v>0.15</v>
      </c>
      <c r="L26" s="15">
        <v>0.13</v>
      </c>
      <c r="M26" s="22">
        <f t="shared" si="3"/>
        <v>0.14798206278026907</v>
      </c>
      <c r="N26" s="19">
        <f t="shared" si="0"/>
        <v>0.13215859030837004</v>
      </c>
      <c r="O26" s="18"/>
      <c r="P26" s="18"/>
    </row>
    <row r="27" spans="1:17" ht="17" thickBot="1" x14ac:dyDescent="0.25">
      <c r="A27" s="47"/>
      <c r="B27" s="49"/>
      <c r="C27" s="48" t="s">
        <v>43</v>
      </c>
      <c r="D27" s="14" t="s">
        <v>25</v>
      </c>
      <c r="E27" s="14">
        <v>19</v>
      </c>
      <c r="F27" s="14">
        <v>158</v>
      </c>
      <c r="G27" s="14">
        <f t="shared" si="1"/>
        <v>177</v>
      </c>
      <c r="H27" s="14">
        <v>51</v>
      </c>
      <c r="I27" s="14">
        <v>331</v>
      </c>
      <c r="J27" s="14">
        <f t="shared" si="2"/>
        <v>382</v>
      </c>
      <c r="K27" s="14">
        <v>0.11</v>
      </c>
      <c r="L27" s="14">
        <v>0.13</v>
      </c>
      <c r="M27" s="22">
        <f t="shared" si="3"/>
        <v>0.10734463276836158</v>
      </c>
      <c r="N27" s="19">
        <f t="shared" si="0"/>
        <v>0.13350785340314136</v>
      </c>
      <c r="O27" s="18">
        <v>0.73443983000000002</v>
      </c>
      <c r="P27" s="18">
        <v>0.72623574000000002</v>
      </c>
    </row>
    <row r="28" spans="1:17" ht="17" thickBot="1" x14ac:dyDescent="0.25">
      <c r="A28" s="47"/>
      <c r="B28" s="49"/>
      <c r="C28" s="49"/>
      <c r="D28" s="15" t="s">
        <v>26</v>
      </c>
      <c r="E28" s="15">
        <v>43</v>
      </c>
      <c r="F28" s="15">
        <v>198</v>
      </c>
      <c r="G28" s="14">
        <f t="shared" si="1"/>
        <v>241</v>
      </c>
      <c r="H28" s="15">
        <v>69</v>
      </c>
      <c r="I28" s="15">
        <v>457</v>
      </c>
      <c r="J28" s="14">
        <f t="shared" si="2"/>
        <v>526</v>
      </c>
      <c r="K28" s="15">
        <v>0.18</v>
      </c>
      <c r="L28" s="15">
        <v>0.13</v>
      </c>
      <c r="M28" s="22">
        <f t="shared" si="3"/>
        <v>0.17842323651452283</v>
      </c>
      <c r="N28" s="19">
        <f t="shared" si="0"/>
        <v>0.13117870722433461</v>
      </c>
      <c r="O28" s="18"/>
      <c r="P28" s="18"/>
      <c r="Q28" t="s">
        <v>52</v>
      </c>
    </row>
    <row r="29" spans="1:17" ht="17" thickBot="1" x14ac:dyDescent="0.25">
      <c r="A29" s="45"/>
      <c r="B29" s="50"/>
      <c r="C29" s="50"/>
      <c r="D29" s="14" t="s">
        <v>27</v>
      </c>
      <c r="E29" s="15">
        <f>E28+E27</f>
        <v>62</v>
      </c>
      <c r="F29" s="15">
        <f>F28+F27</f>
        <v>356</v>
      </c>
      <c r="G29" s="17">
        <f t="shared" ref="G29" si="8">E29+F29</f>
        <v>418</v>
      </c>
      <c r="H29" s="15">
        <f>H28+H27</f>
        <v>120</v>
      </c>
      <c r="I29" s="15">
        <f>I28+I27</f>
        <v>788</v>
      </c>
      <c r="J29" s="14">
        <f t="shared" si="2"/>
        <v>908</v>
      </c>
      <c r="K29" s="14">
        <v>0.15</v>
      </c>
      <c r="L29" s="14">
        <v>0.13</v>
      </c>
      <c r="M29" s="22">
        <f t="shared" si="3"/>
        <v>0.14832535885167464</v>
      </c>
      <c r="N29" s="19">
        <f t="shared" si="0"/>
        <v>0.13215859030837004</v>
      </c>
      <c r="O29" s="18"/>
      <c r="P29" s="18"/>
    </row>
    <row r="30" spans="1:17" s="6" customFormat="1" ht="17" thickBot="1" x14ac:dyDescent="0.25">
      <c r="A30" s="51" t="s">
        <v>15</v>
      </c>
      <c r="B30" s="54" t="s">
        <v>19</v>
      </c>
      <c r="C30" s="54" t="s">
        <v>28</v>
      </c>
      <c r="D30" s="26" t="s">
        <v>25</v>
      </c>
      <c r="E30" s="26">
        <v>37</v>
      </c>
      <c r="F30" s="26">
        <v>112</v>
      </c>
      <c r="G30" s="27">
        <f t="shared" si="1"/>
        <v>149</v>
      </c>
      <c r="H30" s="25">
        <v>106</v>
      </c>
      <c r="I30" s="25">
        <v>678</v>
      </c>
      <c r="J30" s="24">
        <f t="shared" si="2"/>
        <v>784</v>
      </c>
      <c r="K30" s="26">
        <v>0.25</v>
      </c>
      <c r="L30" s="26">
        <v>0.13</v>
      </c>
      <c r="M30" s="22">
        <f t="shared" si="3"/>
        <v>0.24832214765100671</v>
      </c>
      <c r="N30" s="19">
        <f t="shared" si="0"/>
        <v>0.13520408163265307</v>
      </c>
      <c r="O30" s="28">
        <f>G30/G31</f>
        <v>3.2391304347826089</v>
      </c>
      <c r="P30" s="28">
        <v>3.21755725</v>
      </c>
    </row>
    <row r="31" spans="1:17" s="6" customFormat="1" ht="17" thickBot="1" x14ac:dyDescent="0.25">
      <c r="A31" s="52"/>
      <c r="B31" s="55"/>
      <c r="C31" s="55"/>
      <c r="D31" s="27" t="s">
        <v>26</v>
      </c>
      <c r="E31" s="27">
        <v>8</v>
      </c>
      <c r="F31" s="27">
        <v>38</v>
      </c>
      <c r="G31" s="27">
        <f t="shared" si="1"/>
        <v>46</v>
      </c>
      <c r="H31" s="24">
        <v>29</v>
      </c>
      <c r="I31" s="24">
        <v>213</v>
      </c>
      <c r="J31" s="24">
        <f t="shared" si="2"/>
        <v>242</v>
      </c>
      <c r="K31" s="27">
        <v>0.17</v>
      </c>
      <c r="L31" s="27">
        <v>0.1</v>
      </c>
      <c r="M31" s="22">
        <f t="shared" si="3"/>
        <v>0.17391304347826086</v>
      </c>
      <c r="N31" s="19">
        <f t="shared" si="0"/>
        <v>0.11983471074380166</v>
      </c>
      <c r="O31" s="28"/>
      <c r="P31" s="28"/>
    </row>
    <row r="32" spans="1:17" s="6" customFormat="1" ht="17" thickBot="1" x14ac:dyDescent="0.25">
      <c r="A32" s="53"/>
      <c r="B32" s="56"/>
      <c r="C32" s="56"/>
      <c r="D32" s="26" t="s">
        <v>27</v>
      </c>
      <c r="E32" s="15">
        <f>E31+E30</f>
        <v>45</v>
      </c>
      <c r="F32" s="15">
        <f>F31+F30</f>
        <v>150</v>
      </c>
      <c r="G32" s="27">
        <f t="shared" si="1"/>
        <v>195</v>
      </c>
      <c r="H32" s="25">
        <f>H31+H30</f>
        <v>135</v>
      </c>
      <c r="I32" s="25">
        <f>I31+I30</f>
        <v>891</v>
      </c>
      <c r="J32" s="24">
        <f t="shared" si="2"/>
        <v>1026</v>
      </c>
      <c r="K32" s="26">
        <v>0.23</v>
      </c>
      <c r="L32" s="26">
        <v>0.12</v>
      </c>
      <c r="M32" s="22">
        <f t="shared" si="3"/>
        <v>0.23076923076923078</v>
      </c>
      <c r="N32" s="19">
        <f t="shared" si="0"/>
        <v>0.13157894736842105</v>
      </c>
      <c r="O32" s="28"/>
      <c r="P32" s="28"/>
    </row>
    <row r="33" spans="1:16" s="6" customFormat="1" ht="17" thickBot="1" x14ac:dyDescent="0.25">
      <c r="A33" s="51" t="s">
        <v>46</v>
      </c>
      <c r="B33" s="54" t="s">
        <v>19</v>
      </c>
      <c r="C33" s="54" t="s">
        <v>24</v>
      </c>
      <c r="D33" s="27" t="s">
        <v>25</v>
      </c>
      <c r="E33" s="27">
        <v>19</v>
      </c>
      <c r="F33" s="27">
        <v>189</v>
      </c>
      <c r="G33" s="27">
        <f t="shared" si="1"/>
        <v>208</v>
      </c>
      <c r="H33" s="27" t="s">
        <v>32</v>
      </c>
      <c r="I33" s="27" t="s">
        <v>32</v>
      </c>
      <c r="J33" s="27" t="s">
        <v>32</v>
      </c>
      <c r="K33" s="27">
        <v>0.09</v>
      </c>
      <c r="L33" s="27" t="s">
        <v>32</v>
      </c>
      <c r="M33" s="22">
        <f t="shared" si="3"/>
        <v>9.1346153846153841E-2</v>
      </c>
      <c r="N33" s="19" t="s">
        <v>32</v>
      </c>
      <c r="O33" s="28">
        <v>3.0144927500000001</v>
      </c>
      <c r="P33" s="28" t="e">
        <v>#VALUE!</v>
      </c>
    </row>
    <row r="34" spans="1:16" s="6" customFormat="1" ht="17" thickBot="1" x14ac:dyDescent="0.25">
      <c r="A34" s="52"/>
      <c r="B34" s="55"/>
      <c r="C34" s="55"/>
      <c r="D34" s="26" t="s">
        <v>26</v>
      </c>
      <c r="E34" s="26">
        <v>3</v>
      </c>
      <c r="F34" s="26">
        <v>66</v>
      </c>
      <c r="G34" s="27">
        <f t="shared" si="1"/>
        <v>69</v>
      </c>
      <c r="H34" s="26" t="s">
        <v>32</v>
      </c>
      <c r="I34" s="26" t="s">
        <v>32</v>
      </c>
      <c r="J34" s="27" t="s">
        <v>32</v>
      </c>
      <c r="K34" s="26" t="s">
        <v>32</v>
      </c>
      <c r="L34" s="26" t="s">
        <v>32</v>
      </c>
      <c r="M34" s="22" t="s">
        <v>32</v>
      </c>
      <c r="N34" s="19" t="s">
        <v>32</v>
      </c>
      <c r="O34" s="28"/>
      <c r="P34" s="28"/>
    </row>
    <row r="35" spans="1:16" s="6" customFormat="1" ht="17" thickBot="1" x14ac:dyDescent="0.25">
      <c r="A35" s="53"/>
      <c r="B35" s="56"/>
      <c r="C35" s="56"/>
      <c r="D35" s="27" t="s">
        <v>27</v>
      </c>
      <c r="E35" s="15">
        <f>E34+E33</f>
        <v>22</v>
      </c>
      <c r="F35" s="15">
        <f>F34+F33</f>
        <v>255</v>
      </c>
      <c r="G35" s="17">
        <f t="shared" ref="G35" si="9">E35+F35</f>
        <v>277</v>
      </c>
      <c r="H35" s="15" t="s">
        <v>32</v>
      </c>
      <c r="I35" s="15" t="s">
        <v>32</v>
      </c>
      <c r="J35" s="27" t="s">
        <v>32</v>
      </c>
      <c r="K35" s="27">
        <v>0.08</v>
      </c>
      <c r="L35" s="27" t="s">
        <v>32</v>
      </c>
      <c r="M35" s="22">
        <f t="shared" si="3"/>
        <v>7.9422382671480149E-2</v>
      </c>
      <c r="N35" s="19" t="s">
        <v>32</v>
      </c>
      <c r="O35" s="28"/>
      <c r="P35" s="28"/>
    </row>
    <row r="36" spans="1:16" ht="17" thickBot="1" x14ac:dyDescent="0.25">
      <c r="A36" s="44" t="s">
        <v>47</v>
      </c>
      <c r="B36" s="48" t="s">
        <v>19</v>
      </c>
      <c r="C36" s="48" t="s">
        <v>24</v>
      </c>
      <c r="D36" s="15" t="s">
        <v>25</v>
      </c>
      <c r="E36" s="15">
        <v>16</v>
      </c>
      <c r="F36" s="15">
        <v>137</v>
      </c>
      <c r="G36" s="14">
        <f t="shared" si="1"/>
        <v>153</v>
      </c>
      <c r="H36" s="15">
        <v>4</v>
      </c>
      <c r="I36" s="15">
        <v>33</v>
      </c>
      <c r="J36" s="14">
        <f t="shared" si="2"/>
        <v>37</v>
      </c>
      <c r="K36" s="15">
        <v>0.1</v>
      </c>
      <c r="L36" s="15" t="s">
        <v>32</v>
      </c>
      <c r="M36" s="22">
        <f t="shared" si="3"/>
        <v>0.10457516339869281</v>
      </c>
      <c r="N36" s="19" t="s">
        <v>32</v>
      </c>
      <c r="O36" s="18">
        <v>1.86585366</v>
      </c>
      <c r="P36" s="18">
        <v>1.85</v>
      </c>
    </row>
    <row r="37" spans="1:16" ht="17" thickBot="1" x14ac:dyDescent="0.25">
      <c r="A37" s="47"/>
      <c r="B37" s="49"/>
      <c r="C37" s="49"/>
      <c r="D37" s="14" t="s">
        <v>26</v>
      </c>
      <c r="E37" s="14">
        <v>12</v>
      </c>
      <c r="F37" s="14">
        <v>70</v>
      </c>
      <c r="G37" s="14">
        <f t="shared" si="1"/>
        <v>82</v>
      </c>
      <c r="H37" s="14">
        <v>3</v>
      </c>
      <c r="I37" s="14">
        <v>17</v>
      </c>
      <c r="J37" s="14">
        <f t="shared" si="2"/>
        <v>20</v>
      </c>
      <c r="K37" s="14">
        <v>0.15</v>
      </c>
      <c r="L37" s="14" t="s">
        <v>32</v>
      </c>
      <c r="M37" s="22">
        <f t="shared" si="3"/>
        <v>0.14634146341463414</v>
      </c>
      <c r="N37" s="19" t="s">
        <v>32</v>
      </c>
      <c r="O37" s="18"/>
      <c r="P37" s="18"/>
    </row>
    <row r="38" spans="1:16" ht="17" thickBot="1" x14ac:dyDescent="0.25">
      <c r="A38" s="45"/>
      <c r="B38" s="50"/>
      <c r="C38" s="50"/>
      <c r="D38" s="15" t="s">
        <v>27</v>
      </c>
      <c r="E38" s="15">
        <f>E37+E36</f>
        <v>28</v>
      </c>
      <c r="F38" s="15">
        <f>F37+F36</f>
        <v>207</v>
      </c>
      <c r="G38" s="17">
        <f t="shared" ref="G38" si="10">E38+F38</f>
        <v>235</v>
      </c>
      <c r="H38" s="15">
        <f>H37+H36</f>
        <v>7</v>
      </c>
      <c r="I38" s="15">
        <f>I37+I36</f>
        <v>50</v>
      </c>
      <c r="J38" s="14">
        <f t="shared" si="2"/>
        <v>57</v>
      </c>
      <c r="K38" s="15">
        <v>0.12</v>
      </c>
      <c r="L38" s="15">
        <v>0.12</v>
      </c>
      <c r="M38" s="22">
        <f t="shared" si="3"/>
        <v>0.11914893617021277</v>
      </c>
      <c r="N38" s="19">
        <f t="shared" si="0"/>
        <v>0.12280701754385964</v>
      </c>
      <c r="O38" s="18"/>
      <c r="P38" s="18"/>
    </row>
    <row r="39" spans="1:16" ht="17" thickBot="1" x14ac:dyDescent="0.25">
      <c r="A39" s="44" t="s">
        <v>16</v>
      </c>
      <c r="B39" s="48" t="s">
        <v>19</v>
      </c>
      <c r="C39" s="48" t="s">
        <v>24</v>
      </c>
      <c r="D39" s="14" t="s">
        <v>25</v>
      </c>
      <c r="E39" s="14">
        <v>24</v>
      </c>
      <c r="F39" s="14">
        <v>181</v>
      </c>
      <c r="G39" s="14">
        <f t="shared" si="1"/>
        <v>205</v>
      </c>
      <c r="H39" s="25">
        <v>106</v>
      </c>
      <c r="I39" s="25">
        <v>678</v>
      </c>
      <c r="J39" s="24">
        <f t="shared" si="2"/>
        <v>784</v>
      </c>
      <c r="K39" s="14">
        <v>0.12</v>
      </c>
      <c r="L39" s="14">
        <v>0.13</v>
      </c>
      <c r="M39" s="22">
        <f t="shared" si="3"/>
        <v>0.11707317073170732</v>
      </c>
      <c r="N39" s="19">
        <f t="shared" si="0"/>
        <v>0.13520408163265307</v>
      </c>
      <c r="O39" s="28">
        <f>G39/G40</f>
        <v>2.1134020618556701</v>
      </c>
      <c r="P39" s="18">
        <v>2.0996264</v>
      </c>
    </row>
    <row r="40" spans="1:16" ht="17" thickBot="1" x14ac:dyDescent="0.25">
      <c r="A40" s="47"/>
      <c r="B40" s="49"/>
      <c r="C40" s="49"/>
      <c r="D40" s="15" t="s">
        <v>26</v>
      </c>
      <c r="E40" s="15">
        <v>16</v>
      </c>
      <c r="F40" s="15">
        <v>81</v>
      </c>
      <c r="G40" s="14">
        <f t="shared" si="1"/>
        <v>97</v>
      </c>
      <c r="H40" s="25">
        <v>38</v>
      </c>
      <c r="I40" s="25">
        <v>334</v>
      </c>
      <c r="J40" s="24">
        <f t="shared" si="2"/>
        <v>372</v>
      </c>
      <c r="K40" s="15">
        <v>0.16</v>
      </c>
      <c r="L40" s="15">
        <v>0.1</v>
      </c>
      <c r="M40" s="22">
        <f t="shared" si="3"/>
        <v>0.16494845360824742</v>
      </c>
      <c r="N40" s="19">
        <f>H40/J40</f>
        <v>0.10215053763440861</v>
      </c>
      <c r="O40" s="18"/>
      <c r="P40" s="18"/>
    </row>
    <row r="41" spans="1:16" ht="17" thickBot="1" x14ac:dyDescent="0.25">
      <c r="A41" s="45"/>
      <c r="B41" s="50"/>
      <c r="C41" s="50"/>
      <c r="D41" s="14" t="s">
        <v>27</v>
      </c>
      <c r="E41" s="15">
        <f>E40+E39</f>
        <v>40</v>
      </c>
      <c r="F41" s="15">
        <f>F40+F39</f>
        <v>262</v>
      </c>
      <c r="G41" s="14">
        <f t="shared" si="1"/>
        <v>302</v>
      </c>
      <c r="H41" s="25">
        <f>H40+H39</f>
        <v>144</v>
      </c>
      <c r="I41" s="25">
        <f>I40+I39</f>
        <v>1012</v>
      </c>
      <c r="J41" s="24">
        <f>H41+I41</f>
        <v>1156</v>
      </c>
      <c r="K41" s="14">
        <v>0.13</v>
      </c>
      <c r="L41" s="14">
        <v>0.12</v>
      </c>
      <c r="M41" s="22">
        <f t="shared" si="3"/>
        <v>0.13245033112582782</v>
      </c>
      <c r="N41" s="19">
        <f t="shared" ref="N41:N48" si="11">H41/J41</f>
        <v>0.1245674740484429</v>
      </c>
      <c r="O41" s="18"/>
      <c r="P41" s="18"/>
    </row>
    <row r="42" spans="1:16" ht="17" thickBot="1" x14ac:dyDescent="0.25">
      <c r="A42" s="44" t="s">
        <v>31</v>
      </c>
      <c r="B42" s="48" t="s">
        <v>19</v>
      </c>
      <c r="C42" s="48" t="s">
        <v>24</v>
      </c>
      <c r="D42" s="15" t="s">
        <v>25</v>
      </c>
      <c r="E42" s="15">
        <v>11</v>
      </c>
      <c r="F42" s="15">
        <v>25</v>
      </c>
      <c r="G42" s="14">
        <f t="shared" si="1"/>
        <v>36</v>
      </c>
      <c r="H42" s="15">
        <v>11</v>
      </c>
      <c r="I42" s="15">
        <v>37</v>
      </c>
      <c r="J42" s="14">
        <f>H42+I42</f>
        <v>48</v>
      </c>
      <c r="K42" s="15"/>
      <c r="L42" s="15"/>
      <c r="M42" s="22">
        <f>E42/(F42+E42)</f>
        <v>0.30555555555555558</v>
      </c>
      <c r="N42" s="19">
        <f t="shared" si="11"/>
        <v>0.22916666666666666</v>
      </c>
      <c r="O42" s="18">
        <f>G42/G43</f>
        <v>2.5714285714285716</v>
      </c>
      <c r="P42" s="18">
        <f>J42/J43</f>
        <v>2.1818181818181817</v>
      </c>
    </row>
    <row r="43" spans="1:16" ht="17" thickBot="1" x14ac:dyDescent="0.25">
      <c r="A43" s="47"/>
      <c r="B43" s="49"/>
      <c r="C43" s="49"/>
      <c r="D43" s="14" t="s">
        <v>26</v>
      </c>
      <c r="E43" s="14">
        <v>3</v>
      </c>
      <c r="F43" s="14">
        <v>11</v>
      </c>
      <c r="G43" s="14">
        <f t="shared" si="1"/>
        <v>14</v>
      </c>
      <c r="H43" s="17">
        <v>3</v>
      </c>
      <c r="I43" s="17">
        <v>19</v>
      </c>
      <c r="J43" s="14">
        <f t="shared" si="2"/>
        <v>22</v>
      </c>
      <c r="K43" s="14"/>
      <c r="L43" s="14"/>
      <c r="M43" s="22" t="s">
        <v>32</v>
      </c>
      <c r="N43" s="19" t="s">
        <v>32</v>
      </c>
      <c r="O43" s="18"/>
      <c r="P43" s="18"/>
    </row>
    <row r="44" spans="1:16" ht="17" thickBot="1" x14ac:dyDescent="0.25">
      <c r="A44" s="47"/>
      <c r="B44" s="49"/>
      <c r="C44" s="50"/>
      <c r="D44" s="15" t="s">
        <v>27</v>
      </c>
      <c r="E44" s="15">
        <f>E43+E42</f>
        <v>14</v>
      </c>
      <c r="F44" s="15">
        <f>F43+F42</f>
        <v>36</v>
      </c>
      <c r="G44" s="17">
        <f t="shared" ref="G44" si="12">E44+F44</f>
        <v>50</v>
      </c>
      <c r="H44" s="15">
        <f>H43+H42</f>
        <v>14</v>
      </c>
      <c r="I44" s="15">
        <f>I43+I42</f>
        <v>56</v>
      </c>
      <c r="J44" s="17">
        <f t="shared" si="2"/>
        <v>70</v>
      </c>
      <c r="K44" s="15"/>
      <c r="L44" s="15"/>
      <c r="M44" s="22">
        <f t="shared" si="3"/>
        <v>0.28000000000000003</v>
      </c>
      <c r="N44" s="19">
        <f t="shared" si="11"/>
        <v>0.2</v>
      </c>
      <c r="O44" s="18"/>
      <c r="P44" s="18"/>
    </row>
    <row r="45" spans="1:16" ht="17" thickBot="1" x14ac:dyDescent="0.25">
      <c r="A45" s="47"/>
      <c r="B45" s="49"/>
      <c r="C45" s="48" t="s">
        <v>28</v>
      </c>
      <c r="D45" s="14" t="s">
        <v>25</v>
      </c>
      <c r="E45" s="14">
        <v>8</v>
      </c>
      <c r="F45" s="14">
        <v>18</v>
      </c>
      <c r="G45" s="17">
        <f t="shared" si="1"/>
        <v>26</v>
      </c>
      <c r="H45" s="15">
        <v>11</v>
      </c>
      <c r="I45" s="15">
        <v>37</v>
      </c>
      <c r="J45" s="17">
        <f t="shared" si="2"/>
        <v>48</v>
      </c>
      <c r="K45" s="14"/>
      <c r="L45" s="14"/>
      <c r="M45" s="22">
        <f t="shared" si="3"/>
        <v>0.30769230769230771</v>
      </c>
      <c r="N45" s="19">
        <f t="shared" si="11"/>
        <v>0.22916666666666666</v>
      </c>
      <c r="O45" s="18">
        <f>G45/G46</f>
        <v>2</v>
      </c>
      <c r="P45" s="18">
        <f>J45/J46</f>
        <v>2.1818181818181817</v>
      </c>
    </row>
    <row r="46" spans="1:16" ht="17" thickBot="1" x14ac:dyDescent="0.25">
      <c r="A46" s="47"/>
      <c r="B46" s="49"/>
      <c r="C46" s="49"/>
      <c r="D46" s="15" t="s">
        <v>26</v>
      </c>
      <c r="E46" s="15">
        <v>1</v>
      </c>
      <c r="F46" s="15">
        <v>12</v>
      </c>
      <c r="G46" s="17">
        <f t="shared" si="1"/>
        <v>13</v>
      </c>
      <c r="H46" s="17">
        <v>3</v>
      </c>
      <c r="I46" s="17">
        <v>19</v>
      </c>
      <c r="J46" s="17">
        <f t="shared" si="2"/>
        <v>22</v>
      </c>
      <c r="K46" s="15"/>
      <c r="L46" s="15"/>
      <c r="M46" s="22" t="s">
        <v>32</v>
      </c>
      <c r="N46" s="19" t="s">
        <v>32</v>
      </c>
      <c r="O46" s="18"/>
      <c r="P46" s="18"/>
    </row>
    <row r="47" spans="1:16" ht="17" thickBot="1" x14ac:dyDescent="0.25">
      <c r="A47" s="47"/>
      <c r="B47" s="49"/>
      <c r="C47" s="50"/>
      <c r="D47" s="14" t="s">
        <v>27</v>
      </c>
      <c r="E47" s="14">
        <f>SUM(E45:E46)</f>
        <v>9</v>
      </c>
      <c r="F47" s="17">
        <f>SUM(F45:F46)</f>
        <v>30</v>
      </c>
      <c r="G47" s="17">
        <f t="shared" si="1"/>
        <v>39</v>
      </c>
      <c r="H47" s="17">
        <f>SUM(H45:H46)</f>
        <v>14</v>
      </c>
      <c r="I47" s="17">
        <f>SUM(I45:I46)</f>
        <v>56</v>
      </c>
      <c r="J47" s="17">
        <f t="shared" si="2"/>
        <v>70</v>
      </c>
      <c r="K47" s="14"/>
      <c r="L47" s="14"/>
      <c r="M47" s="22">
        <f t="shared" si="3"/>
        <v>0.23076923076923078</v>
      </c>
      <c r="N47" s="19">
        <f t="shared" si="11"/>
        <v>0.2</v>
      </c>
      <c r="O47" s="18"/>
      <c r="P47" s="18"/>
    </row>
    <row r="48" spans="1:16" ht="17" thickBot="1" x14ac:dyDescent="0.25">
      <c r="A48" s="47"/>
      <c r="B48" s="49"/>
      <c r="C48" s="48" t="s">
        <v>43</v>
      </c>
      <c r="D48" s="15" t="s">
        <v>25</v>
      </c>
      <c r="E48" s="15">
        <v>15</v>
      </c>
      <c r="F48" s="15">
        <v>34</v>
      </c>
      <c r="G48" s="17">
        <f t="shared" si="1"/>
        <v>49</v>
      </c>
      <c r="H48" s="15">
        <v>11</v>
      </c>
      <c r="I48" s="15">
        <v>37</v>
      </c>
      <c r="J48" s="17">
        <f t="shared" si="2"/>
        <v>48</v>
      </c>
      <c r="K48" s="15"/>
      <c r="L48" s="15"/>
      <c r="M48" s="22">
        <f t="shared" si="3"/>
        <v>0.30612244897959184</v>
      </c>
      <c r="N48" s="19">
        <f t="shared" si="11"/>
        <v>0.22916666666666666</v>
      </c>
      <c r="O48" s="18">
        <f>G48/G49</f>
        <v>2.1304347826086958</v>
      </c>
      <c r="P48" s="18">
        <f>J48/J49</f>
        <v>2.1818181818181817</v>
      </c>
    </row>
    <row r="49" spans="1:16" ht="17" thickBot="1" x14ac:dyDescent="0.25">
      <c r="A49" s="47"/>
      <c r="B49" s="49"/>
      <c r="C49" s="49"/>
      <c r="D49" s="14" t="s">
        <v>26</v>
      </c>
      <c r="E49" s="14">
        <v>4</v>
      </c>
      <c r="F49" s="14">
        <v>19</v>
      </c>
      <c r="G49" s="17">
        <f t="shared" si="1"/>
        <v>23</v>
      </c>
      <c r="H49" s="17">
        <v>3</v>
      </c>
      <c r="I49" s="17">
        <v>19</v>
      </c>
      <c r="J49" s="17">
        <f t="shared" si="2"/>
        <v>22</v>
      </c>
      <c r="K49" s="14"/>
      <c r="L49" s="14"/>
      <c r="M49" s="22" t="s">
        <v>32</v>
      </c>
      <c r="N49" s="19" t="s">
        <v>32</v>
      </c>
      <c r="O49" s="18"/>
      <c r="P49" s="18"/>
    </row>
    <row r="50" spans="1:16" ht="17" thickBot="1" x14ac:dyDescent="0.25">
      <c r="A50" s="45"/>
      <c r="B50" s="50"/>
      <c r="C50" s="50"/>
      <c r="D50" s="15" t="s">
        <v>27</v>
      </c>
      <c r="E50" s="17">
        <f>SUM(E48:E49)</f>
        <v>19</v>
      </c>
      <c r="F50" s="17">
        <f>SUM(F48:F49)</f>
        <v>53</v>
      </c>
      <c r="G50" s="17">
        <f t="shared" si="1"/>
        <v>72</v>
      </c>
      <c r="H50" s="17">
        <f>SUM(H48:H49)</f>
        <v>14</v>
      </c>
      <c r="I50" s="17">
        <f>SUM(I48:I49)</f>
        <v>56</v>
      </c>
      <c r="J50" s="17">
        <f t="shared" si="2"/>
        <v>70</v>
      </c>
      <c r="K50" s="15"/>
      <c r="L50" s="15"/>
      <c r="M50" s="22">
        <f>E50/G50</f>
        <v>0.2638888888888889</v>
      </c>
      <c r="N50" s="19">
        <f>H50/J50</f>
        <v>0.2</v>
      </c>
      <c r="O50" s="18"/>
      <c r="P50" s="18"/>
    </row>
    <row r="51" spans="1:16" x14ac:dyDescent="0.2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19"/>
      <c r="O51" s="18"/>
      <c r="P51" s="18"/>
    </row>
    <row r="52" spans="1:1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 x14ac:dyDescent="0.2">
      <c r="A53" s="18"/>
      <c r="B53" s="18"/>
      <c r="C53" s="18" t="s">
        <v>54</v>
      </c>
      <c r="D53" s="18">
        <f>SUM(G11,G14,G17,G20,G29,G32,G35,G38,G41,G50)</f>
        <v>2462</v>
      </c>
      <c r="E53" s="18"/>
      <c r="F53" s="18" t="s">
        <v>59</v>
      </c>
      <c r="G53" s="18">
        <f>SUM(G5,G17,G23,G35,G38,G41,G44)</f>
        <v>1478</v>
      </c>
      <c r="H53" s="18"/>
      <c r="I53" s="18" t="s">
        <v>62</v>
      </c>
      <c r="J53" s="18">
        <f>G53-G17-G35</f>
        <v>967</v>
      </c>
      <c r="K53" s="18"/>
      <c r="L53" s="18"/>
      <c r="M53" s="18"/>
      <c r="N53" s="18"/>
      <c r="O53" s="18"/>
      <c r="P53" s="18"/>
    </row>
    <row r="54" spans="1:16" x14ac:dyDescent="0.2">
      <c r="A54" s="18"/>
      <c r="B54" s="18"/>
      <c r="C54" s="18" t="s">
        <v>55</v>
      </c>
      <c r="D54" s="18">
        <f>SUM(J11,J14,J17,J20,J29,J38,J50)</f>
        <v>4564</v>
      </c>
      <c r="E54" s="18"/>
      <c r="F54" s="18" t="s">
        <v>60</v>
      </c>
      <c r="G54" s="18">
        <f>SUM(G8,G14,G20,G26,G32,G47)</f>
        <v>1072</v>
      </c>
      <c r="H54" s="18"/>
      <c r="I54" s="18"/>
      <c r="J54" s="18"/>
      <c r="K54" s="18"/>
      <c r="L54" s="18"/>
      <c r="M54" s="18"/>
      <c r="N54" s="18"/>
      <c r="O54" s="18"/>
      <c r="P54" s="18"/>
    </row>
    <row r="55" spans="1:16" x14ac:dyDescent="0.2">
      <c r="C55" t="s">
        <v>56</v>
      </c>
      <c r="D55">
        <f>D54+D53</f>
        <v>7026</v>
      </c>
    </row>
    <row r="56" spans="1:16" x14ac:dyDescent="0.2">
      <c r="C56" s="18" t="s">
        <v>57</v>
      </c>
      <c r="D56">
        <f>D55-G17-J17-G35</f>
        <v>5465</v>
      </c>
    </row>
    <row r="57" spans="1:16" x14ac:dyDescent="0.2">
      <c r="C57" s="18" t="s">
        <v>58</v>
      </c>
      <c r="D57" s="18">
        <f>D53-G17-G35</f>
        <v>1951</v>
      </c>
    </row>
    <row r="58" spans="1:16" x14ac:dyDescent="0.2">
      <c r="C58" s="18" t="s">
        <v>63</v>
      </c>
      <c r="D58">
        <f>D54-J17</f>
        <v>3514</v>
      </c>
    </row>
    <row r="59" spans="1:16" x14ac:dyDescent="0.2">
      <c r="C59" s="18" t="s">
        <v>64</v>
      </c>
      <c r="D59">
        <f>D57+D58</f>
        <v>5465</v>
      </c>
    </row>
  </sheetData>
  <mergeCells count="43">
    <mergeCell ref="A42:A50"/>
    <mergeCell ref="B42:B50"/>
    <mergeCell ref="C42:C44"/>
    <mergeCell ref="C45:C47"/>
    <mergeCell ref="C48:C50"/>
    <mergeCell ref="A36:A38"/>
    <mergeCell ref="B36:B38"/>
    <mergeCell ref="C36:C38"/>
    <mergeCell ref="A39:A41"/>
    <mergeCell ref="B39:B41"/>
    <mergeCell ref="C39:C41"/>
    <mergeCell ref="A30:A32"/>
    <mergeCell ref="B30:B32"/>
    <mergeCell ref="C30:C32"/>
    <mergeCell ref="A33:A35"/>
    <mergeCell ref="B33:B35"/>
    <mergeCell ref="C33:C35"/>
    <mergeCell ref="A18:A20"/>
    <mergeCell ref="B18:B20"/>
    <mergeCell ref="C18:C20"/>
    <mergeCell ref="A21:A29"/>
    <mergeCell ref="B21:B29"/>
    <mergeCell ref="C21:C23"/>
    <mergeCell ref="C24:C26"/>
    <mergeCell ref="C27:C29"/>
    <mergeCell ref="A12:A14"/>
    <mergeCell ref="B12:B14"/>
    <mergeCell ref="C12:C14"/>
    <mergeCell ref="A15:A17"/>
    <mergeCell ref="B15:B17"/>
    <mergeCell ref="C15:C17"/>
    <mergeCell ref="K1:L1"/>
    <mergeCell ref="A3:A11"/>
    <mergeCell ref="B3:B11"/>
    <mergeCell ref="C3:C5"/>
    <mergeCell ref="C6:C8"/>
    <mergeCell ref="C9:C11"/>
    <mergeCell ref="A1:A2"/>
    <mergeCell ref="B1:B2"/>
    <mergeCell ref="C1:C2"/>
    <mergeCell ref="D1:D2"/>
    <mergeCell ref="E1:F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8A0-AE3B-164A-826D-BCBAEC3E436B}">
  <dimension ref="A1:E7"/>
  <sheetViews>
    <sheetView workbookViewId="0">
      <selection activeCell="E8" sqref="E8"/>
    </sheetView>
  </sheetViews>
  <sheetFormatPr baseColWidth="10" defaultRowHeight="16" x14ac:dyDescent="0.2"/>
  <cols>
    <col min="1" max="1" width="11" bestFit="1" customWidth="1"/>
    <col min="2" max="2" width="16.83203125" bestFit="1" customWidth="1"/>
    <col min="3" max="3" width="12" bestFit="1" customWidth="1"/>
    <col min="4" max="4" width="15.1640625" bestFit="1" customWidth="1"/>
    <col min="5" max="5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</row>
    <row r="3" spans="1:5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</row>
    <row r="4" spans="1:5" x14ac:dyDescent="0.2">
      <c r="A4" t="s">
        <v>12</v>
      </c>
      <c r="B4" s="5">
        <f>'All data'!E8</f>
        <v>29</v>
      </c>
      <c r="C4" s="5">
        <f>'All data'!G8</f>
        <v>254</v>
      </c>
      <c r="D4" s="5">
        <f>'All data'!$H$11</f>
        <v>169</v>
      </c>
      <c r="E4" s="5">
        <f>'All data'!$J$11</f>
        <v>1375</v>
      </c>
    </row>
    <row r="5" spans="1:5" x14ac:dyDescent="0.2">
      <c r="A5" t="s">
        <v>11</v>
      </c>
      <c r="B5">
        <v>33</v>
      </c>
      <c r="C5">
        <f>33+190</f>
        <v>223</v>
      </c>
      <c r="D5">
        <f>70+50</f>
        <v>120</v>
      </c>
      <c r="E5">
        <f>526+382</f>
        <v>908</v>
      </c>
    </row>
    <row r="6" spans="1:5" x14ac:dyDescent="0.2">
      <c r="A6" s="6" t="s">
        <v>14</v>
      </c>
      <c r="B6" s="6">
        <f>'All data'!E47</f>
        <v>9</v>
      </c>
      <c r="C6" s="6">
        <f>'All data'!G47</f>
        <v>39</v>
      </c>
      <c r="D6" s="9">
        <f>'All data'!H47</f>
        <v>14</v>
      </c>
      <c r="E6" s="9">
        <f>'All data'!J47</f>
        <v>70</v>
      </c>
    </row>
    <row r="7" spans="1:5" x14ac:dyDescent="0.2">
      <c r="A7" t="s">
        <v>15</v>
      </c>
      <c r="B7">
        <v>45</v>
      </c>
      <c r="C7">
        <f>45+150</f>
        <v>195</v>
      </c>
      <c r="D7" s="5">
        <f>'All data'!H32</f>
        <v>135</v>
      </c>
      <c r="E7" s="5">
        <f>'All data'!J32</f>
        <v>1026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3FEF-7270-914F-9008-FD5984BFD23F}">
  <dimension ref="A1:E6"/>
  <sheetViews>
    <sheetView workbookViewId="0">
      <selection activeCell="D5" sqref="D5"/>
    </sheetView>
  </sheetViews>
  <sheetFormatPr baseColWidth="10" defaultRowHeight="16" x14ac:dyDescent="0.2"/>
  <cols>
    <col min="2" max="2" width="15.1640625" bestFit="1" customWidth="1"/>
    <col min="3" max="3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data'!E7</f>
        <v>12</v>
      </c>
      <c r="C4" s="5">
        <f>'All data'!G7</f>
        <v>104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data'!$H$31</f>
        <v>29</v>
      </c>
      <c r="E6" s="5">
        <f>'All data'!$J$31</f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7F40-3DCB-9F42-8DBE-43E3A4FFD2E1}">
  <dimension ref="A1:E6"/>
  <sheetViews>
    <sheetView workbookViewId="0">
      <selection activeCell="B4" sqref="B4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data'!E6</f>
        <v>17</v>
      </c>
      <c r="C4" s="5">
        <f>'All data'!G6</f>
        <v>150</v>
      </c>
      <c r="D4" s="5">
        <f>'All data'!$H$9</f>
        <v>106</v>
      </c>
      <c r="E4" s="5">
        <f>'All data'!$J$9</f>
        <v>784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data'!$H$30</f>
        <v>106</v>
      </c>
      <c r="E6" s="5">
        <f>'All data'!$J$30</f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sexmatch_strict_all_split</vt:lpstr>
      <vt:lpstr>sexmatch_strict_all_split_0s</vt:lpstr>
      <vt:lpstr>Combined2</vt:lpstr>
      <vt:lpstr>Combined-Female2</vt:lpstr>
      <vt:lpstr>Combined-Male2</vt:lpstr>
      <vt:lpstr>All data</vt:lpstr>
      <vt:lpstr>SLI-All</vt:lpstr>
      <vt:lpstr>SLI-Female</vt:lpstr>
      <vt:lpstr>SLI-Male</vt:lpstr>
      <vt:lpstr>RD-All</vt:lpstr>
      <vt:lpstr>RD-Female</vt:lpstr>
      <vt:lpstr>RD-Male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Filippo Abbondanza</cp:lastModifiedBy>
  <dcterms:created xsi:type="dcterms:W3CDTF">2020-07-10T11:56:48Z</dcterms:created>
  <dcterms:modified xsi:type="dcterms:W3CDTF">2021-09-07T10:40:44Z</dcterms:modified>
</cp:coreProperties>
</file>