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versityofstandrews907-my.sharepoint.com/personal/sp58_st-andrews_ac_uk/Documents/gen_lang_hand_meta/Old/"/>
    </mc:Choice>
  </mc:AlternateContent>
  <xr:revisionPtr revIDLastSave="225" documentId="13_ncr:1_{0B6902DA-2242-D64D-8D8C-45B1C2605456}" xr6:coauthVersionLast="47" xr6:coauthVersionMax="47" xr10:uidLastSave="{600D1BA0-91BC-8845-BF71-AC6D272CFA5E}"/>
  <bookViews>
    <workbookView xWindow="0" yWindow="500" windowWidth="28800" windowHeight="17500" activeTab="9" xr2:uid="{A6332151-AACC-E14E-B3DF-3D4980E70093}"/>
  </bookViews>
  <sheets>
    <sheet name="Combined2" sheetId="12" r:id="rId1"/>
    <sheet name="Combined-Female2" sheetId="14" r:id="rId2"/>
    <sheet name="Combined-Male2" sheetId="13" r:id="rId3"/>
    <sheet name="SLI-All" sheetId="1" r:id="rId4"/>
    <sheet name="SLI-Female" sheetId="5" r:id="rId5"/>
    <sheet name="SLI-Male" sheetId="6" r:id="rId6"/>
    <sheet name="RD-All" sheetId="3" r:id="rId7"/>
    <sheet name="RD-Female" sheetId="10" r:id="rId8"/>
    <sheet name="RD-Male" sheetId="9" r:id="rId9"/>
    <sheet name="Check_16052021" sheetId="23" r:id="rId10"/>
    <sheet name="Peters - Filippo" sheetId="20" r:id="rId11"/>
    <sheet name="Peters - Silvia" sheetId="21" r:id="rId12"/>
    <sheet name="Peters_all" sheetId="22" r:id="rId13"/>
    <sheet name="Combined-Male3" sheetId="17" r:id="rId14"/>
    <sheet name="Combined-Male" sheetId="11" r:id="rId15"/>
    <sheet name="Combined-Female3" sheetId="18" r:id="rId16"/>
    <sheet name="Combined-Female" sheetId="8" r:id="rId17"/>
    <sheet name="RD-Male2" sheetId="19" r:id="rId18"/>
    <sheet name="google data" sheetId="7" r:id="rId1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5" i="23" l="1"/>
  <c r="D54" i="23"/>
  <c r="D53" i="23"/>
  <c r="M50" i="23"/>
  <c r="N11" i="23"/>
  <c r="M11" i="23"/>
  <c r="N10" i="23"/>
  <c r="M10" i="23"/>
  <c r="M9" i="23"/>
  <c r="P24" i="23"/>
  <c r="O24" i="23"/>
  <c r="P9" i="23"/>
  <c r="N44" i="23"/>
  <c r="I44" i="23"/>
  <c r="H44" i="23"/>
  <c r="I47" i="23"/>
  <c r="H47" i="23"/>
  <c r="C4" i="14"/>
  <c r="E11" i="23"/>
  <c r="M48" i="23"/>
  <c r="I50" i="23"/>
  <c r="H50" i="23"/>
  <c r="O48" i="23"/>
  <c r="O45" i="23"/>
  <c r="O42" i="23"/>
  <c r="J45" i="23"/>
  <c r="N45" i="23" s="1"/>
  <c r="J46" i="23"/>
  <c r="P45" i="23" s="1"/>
  <c r="J48" i="23"/>
  <c r="N48" i="23" s="1"/>
  <c r="J49" i="23"/>
  <c r="G44" i="23"/>
  <c r="G45" i="23"/>
  <c r="G46" i="23"/>
  <c r="G47" i="23"/>
  <c r="G48" i="23"/>
  <c r="G49" i="23"/>
  <c r="J43" i="23"/>
  <c r="J42" i="23"/>
  <c r="N42" i="23" s="1"/>
  <c r="F50" i="23"/>
  <c r="E50" i="23"/>
  <c r="F44" i="23"/>
  <c r="E44" i="23"/>
  <c r="G43" i="23"/>
  <c r="G42" i="23"/>
  <c r="F47" i="23"/>
  <c r="E47" i="23"/>
  <c r="E4" i="5"/>
  <c r="D4" i="5"/>
  <c r="C4" i="5"/>
  <c r="D4" i="10"/>
  <c r="C4" i="10"/>
  <c r="C4" i="9"/>
  <c r="M45" i="23"/>
  <c r="M44" i="23"/>
  <c r="M42" i="23"/>
  <c r="M41" i="23"/>
  <c r="M40" i="23"/>
  <c r="M39" i="23"/>
  <c r="M38" i="23"/>
  <c r="M37" i="23"/>
  <c r="M36" i="23"/>
  <c r="M35" i="23"/>
  <c r="M34" i="23"/>
  <c r="M33" i="23"/>
  <c r="M32" i="23"/>
  <c r="M31" i="23"/>
  <c r="M30" i="23"/>
  <c r="M29" i="23"/>
  <c r="M28" i="23"/>
  <c r="M27" i="23"/>
  <c r="M26" i="23"/>
  <c r="M25" i="23"/>
  <c r="M24" i="23"/>
  <c r="M23" i="23"/>
  <c r="M22" i="23"/>
  <c r="M21" i="23"/>
  <c r="M20" i="23"/>
  <c r="M19" i="23"/>
  <c r="M18" i="23"/>
  <c r="M17" i="23"/>
  <c r="M16" i="23"/>
  <c r="M15" i="23"/>
  <c r="M14" i="23"/>
  <c r="M13" i="23"/>
  <c r="M12" i="23"/>
  <c r="M8" i="23"/>
  <c r="M7" i="23"/>
  <c r="M6" i="23"/>
  <c r="M5" i="23"/>
  <c r="M4" i="23"/>
  <c r="M3" i="23"/>
  <c r="G10" i="23"/>
  <c r="F11" i="23"/>
  <c r="G9" i="23"/>
  <c r="I5" i="23"/>
  <c r="H5" i="23"/>
  <c r="G17" i="23"/>
  <c r="E6" i="12"/>
  <c r="J4" i="23"/>
  <c r="J6" i="23"/>
  <c r="J7" i="23"/>
  <c r="J8" i="23"/>
  <c r="J9" i="23"/>
  <c r="J10" i="23"/>
  <c r="J11" i="23"/>
  <c r="J12" i="23"/>
  <c r="J13" i="23"/>
  <c r="J14" i="23"/>
  <c r="J15" i="23"/>
  <c r="J16" i="23"/>
  <c r="J17" i="23"/>
  <c r="J18" i="23"/>
  <c r="J19" i="23"/>
  <c r="J20" i="23"/>
  <c r="J21" i="23"/>
  <c r="J22" i="23"/>
  <c r="J23" i="23"/>
  <c r="J24" i="23"/>
  <c r="J25" i="23"/>
  <c r="J26" i="23"/>
  <c r="J27" i="23"/>
  <c r="J28" i="23"/>
  <c r="J29" i="23"/>
  <c r="J30" i="23"/>
  <c r="J31" i="23"/>
  <c r="J32" i="23"/>
  <c r="J33" i="23"/>
  <c r="J34" i="23"/>
  <c r="J35" i="23"/>
  <c r="J36" i="23"/>
  <c r="J37" i="23"/>
  <c r="J38" i="23"/>
  <c r="J39" i="23"/>
  <c r="J40" i="23"/>
  <c r="J41" i="23"/>
  <c r="J3" i="23"/>
  <c r="G4" i="23"/>
  <c r="G5" i="23"/>
  <c r="G6" i="23"/>
  <c r="G7" i="23"/>
  <c r="G8" i="23"/>
  <c r="G12" i="23"/>
  <c r="G13" i="23"/>
  <c r="G14" i="23"/>
  <c r="G15" i="23"/>
  <c r="G16" i="23"/>
  <c r="G18" i="23"/>
  <c r="G19" i="23"/>
  <c r="G20" i="23"/>
  <c r="G21" i="23"/>
  <c r="G22" i="23"/>
  <c r="G23" i="23"/>
  <c r="G24" i="23"/>
  <c r="G25" i="23"/>
  <c r="G26" i="23"/>
  <c r="G27" i="23"/>
  <c r="G28" i="23"/>
  <c r="G29" i="23"/>
  <c r="G30" i="23"/>
  <c r="G31" i="23"/>
  <c r="G32" i="23"/>
  <c r="G33" i="23"/>
  <c r="G34" i="23"/>
  <c r="G35" i="23"/>
  <c r="G36" i="23"/>
  <c r="G37" i="23"/>
  <c r="G38" i="23"/>
  <c r="G39" i="23"/>
  <c r="G40" i="23"/>
  <c r="G41" i="23"/>
  <c r="G3" i="23"/>
  <c r="C7" i="1"/>
  <c r="L15" i="20"/>
  <c r="B9" i="12"/>
  <c r="C9" i="12" s="1"/>
  <c r="L9" i="20"/>
  <c r="L10" i="20"/>
  <c r="S12" i="20"/>
  <c r="P9" i="20"/>
  <c r="P10" i="20"/>
  <c r="U12" i="20"/>
  <c r="S13" i="20"/>
  <c r="E8" i="14"/>
  <c r="D8" i="14"/>
  <c r="C8" i="14"/>
  <c r="C8" i="13"/>
  <c r="E8" i="13"/>
  <c r="D9" i="12"/>
  <c r="E9" i="12" s="1"/>
  <c r="C26" i="20"/>
  <c r="D26" i="20"/>
  <c r="C27" i="20"/>
  <c r="D27" i="20"/>
  <c r="C28" i="20"/>
  <c r="C36" i="20"/>
  <c r="L16" i="20"/>
  <c r="D36" i="20"/>
  <c r="P15" i="20"/>
  <c r="C37" i="20"/>
  <c r="P16" i="20"/>
  <c r="D37" i="20"/>
  <c r="C38" i="20"/>
  <c r="E5" i="10"/>
  <c r="C5" i="10"/>
  <c r="E5" i="9"/>
  <c r="C5" i="9"/>
  <c r="E6" i="3"/>
  <c r="C6" i="3"/>
  <c r="L21" i="20"/>
  <c r="P21" i="20"/>
  <c r="L22" i="20"/>
  <c r="K19" i="21"/>
  <c r="L19" i="21"/>
  <c r="M19" i="21"/>
  <c r="M21" i="21"/>
  <c r="N19" i="21"/>
  <c r="O19" i="21"/>
  <c r="O21" i="21"/>
  <c r="Q21" i="21"/>
  <c r="K18" i="21"/>
  <c r="L18" i="21"/>
  <c r="M18" i="21"/>
  <c r="M20" i="21"/>
  <c r="N18" i="21"/>
  <c r="O18" i="21"/>
  <c r="O20" i="21"/>
  <c r="Q20" i="21"/>
  <c r="K14" i="21"/>
  <c r="L14" i="21"/>
  <c r="M14" i="21"/>
  <c r="M16" i="21"/>
  <c r="N14" i="21"/>
  <c r="O14" i="21"/>
  <c r="O16" i="21"/>
  <c r="Q16" i="21"/>
  <c r="K13" i="21"/>
  <c r="L13" i="21"/>
  <c r="M13" i="21"/>
  <c r="M15" i="21"/>
  <c r="N13" i="21"/>
  <c r="O13" i="21"/>
  <c r="O15" i="21"/>
  <c r="Q15" i="21"/>
  <c r="C2" i="12"/>
  <c r="E3" i="3"/>
  <c r="E2" i="19"/>
  <c r="E4" i="19"/>
  <c r="D4" i="19"/>
  <c r="C4" i="19"/>
  <c r="B4" i="19"/>
  <c r="E3" i="19"/>
  <c r="D3" i="19"/>
  <c r="C3" i="19"/>
  <c r="B3" i="19"/>
  <c r="C2" i="19"/>
  <c r="B2" i="19"/>
  <c r="E6" i="18"/>
  <c r="C6" i="18"/>
  <c r="E5" i="18"/>
  <c r="C5" i="18"/>
  <c r="E4" i="18"/>
  <c r="C4" i="18"/>
  <c r="E3" i="18"/>
  <c r="C3" i="18"/>
  <c r="E2" i="18"/>
  <c r="C2" i="18"/>
  <c r="E7" i="17"/>
  <c r="E8" i="17"/>
  <c r="C8" i="17"/>
  <c r="C7" i="17"/>
  <c r="E6" i="17"/>
  <c r="C6" i="17"/>
  <c r="E5" i="17"/>
  <c r="C5" i="17"/>
  <c r="E4" i="17"/>
  <c r="C4" i="17"/>
  <c r="E3" i="17"/>
  <c r="C3" i="17"/>
  <c r="E2" i="17"/>
  <c r="C2" i="17"/>
  <c r="E5" i="5"/>
  <c r="C6" i="14"/>
  <c r="E3" i="14"/>
  <c r="E7" i="12"/>
  <c r="E7" i="1"/>
  <c r="C5" i="14"/>
  <c r="E7" i="14"/>
  <c r="C7" i="14"/>
  <c r="E6" i="14"/>
  <c r="E5" i="14"/>
  <c r="E4" i="14"/>
  <c r="C3" i="14"/>
  <c r="E2" i="14"/>
  <c r="C2" i="14"/>
  <c r="C5" i="13"/>
  <c r="E7" i="13"/>
  <c r="C7" i="13"/>
  <c r="E6" i="13"/>
  <c r="C6" i="13"/>
  <c r="E5" i="13"/>
  <c r="E4" i="13"/>
  <c r="E3" i="13"/>
  <c r="C3" i="13"/>
  <c r="E2" i="13"/>
  <c r="C2" i="13"/>
  <c r="E8" i="12"/>
  <c r="C8" i="12"/>
  <c r="C6" i="12"/>
  <c r="E5" i="12"/>
  <c r="D5" i="12"/>
  <c r="C5" i="12"/>
  <c r="E4" i="12"/>
  <c r="C4" i="12"/>
  <c r="E3" i="12"/>
  <c r="C3" i="12"/>
  <c r="E2" i="12"/>
  <c r="C9" i="8"/>
  <c r="C8" i="8"/>
  <c r="E7" i="8"/>
  <c r="C7" i="8"/>
  <c r="E6" i="8"/>
  <c r="E8" i="8"/>
  <c r="E9" i="8"/>
  <c r="C6" i="8"/>
  <c r="E5" i="8"/>
  <c r="C5" i="8"/>
  <c r="E4" i="8"/>
  <c r="C4" i="8"/>
  <c r="E3" i="8"/>
  <c r="C3" i="8"/>
  <c r="E2" i="8"/>
  <c r="C2" i="8"/>
  <c r="C9" i="11"/>
  <c r="E9" i="11"/>
  <c r="E8" i="11"/>
  <c r="C8" i="11"/>
  <c r="C7" i="11"/>
  <c r="E7" i="11"/>
  <c r="E6" i="11"/>
  <c r="C6" i="11"/>
  <c r="E5" i="11"/>
  <c r="C5" i="11"/>
  <c r="E4" i="11"/>
  <c r="C4" i="11"/>
  <c r="E3" i="11"/>
  <c r="C3" i="11"/>
  <c r="E2" i="11"/>
  <c r="C2" i="11"/>
  <c r="E4" i="10"/>
  <c r="E3" i="10"/>
  <c r="D3" i="10"/>
  <c r="C3" i="10"/>
  <c r="B3" i="10"/>
  <c r="E2" i="10"/>
  <c r="D2" i="10"/>
  <c r="C2" i="10"/>
  <c r="B2" i="10"/>
  <c r="E4" i="9"/>
  <c r="D4" i="9"/>
  <c r="E3" i="9"/>
  <c r="D3" i="9"/>
  <c r="C3" i="9"/>
  <c r="B3" i="9"/>
  <c r="E2" i="9"/>
  <c r="D2" i="9"/>
  <c r="C2" i="9"/>
  <c r="B2" i="9"/>
  <c r="B6" i="6"/>
  <c r="C6" i="6"/>
  <c r="D6" i="6"/>
  <c r="E6" i="6"/>
  <c r="E5" i="6"/>
  <c r="D5" i="6"/>
  <c r="C5" i="6"/>
  <c r="B5" i="6"/>
  <c r="E4" i="6"/>
  <c r="C4" i="6"/>
  <c r="D4" i="6"/>
  <c r="B4" i="6"/>
  <c r="B3" i="6"/>
  <c r="C3" i="6"/>
  <c r="D3" i="6"/>
  <c r="E3" i="6"/>
  <c r="E2" i="6"/>
  <c r="D2" i="6"/>
  <c r="C2" i="6"/>
  <c r="B2" i="6"/>
  <c r="E6" i="5"/>
  <c r="D6" i="5"/>
  <c r="C6" i="5"/>
  <c r="B6" i="5"/>
  <c r="D5" i="5"/>
  <c r="C5" i="5"/>
  <c r="B5" i="5"/>
  <c r="B4" i="5"/>
  <c r="E3" i="5"/>
  <c r="D3" i="5"/>
  <c r="C3" i="5"/>
  <c r="B3" i="5"/>
  <c r="E2" i="5"/>
  <c r="D2" i="5"/>
  <c r="C2" i="5"/>
  <c r="B2" i="5"/>
  <c r="E2" i="3"/>
  <c r="E4" i="1"/>
  <c r="E5" i="3"/>
  <c r="C4" i="3"/>
  <c r="C5" i="1"/>
  <c r="E2" i="1"/>
  <c r="C2" i="1"/>
  <c r="E3" i="1"/>
  <c r="C3" i="1"/>
  <c r="C5" i="3"/>
  <c r="C4" i="1"/>
  <c r="D5" i="1"/>
  <c r="E5" i="1"/>
  <c r="E4" i="3"/>
  <c r="D4" i="3"/>
  <c r="C3" i="3"/>
  <c r="O9" i="23" l="1"/>
  <c r="P42" i="23"/>
  <c r="G50" i="23"/>
  <c r="J47" i="23"/>
  <c r="N47" i="23" s="1"/>
  <c r="J50" i="23"/>
  <c r="N50" i="23" s="1"/>
  <c r="P48" i="23"/>
  <c r="J44" i="23"/>
  <c r="M47" i="23"/>
  <c r="J5" i="23"/>
  <c r="G11" i="23" l="1"/>
</calcChain>
</file>

<file path=xl/sharedStrings.xml><?xml version="1.0" encoding="utf-8"?>
<sst xmlns="http://schemas.openxmlformats.org/spreadsheetml/2006/main" count="606" uniqueCount="129">
  <si>
    <t xml:space="preserve">TD Left-Handers </t>
  </si>
  <si>
    <t xml:space="preserve">TD Total N </t>
  </si>
  <si>
    <t xml:space="preserve">SLI Left-Handers </t>
  </si>
  <si>
    <t xml:space="preserve">SLI Total N </t>
  </si>
  <si>
    <t xml:space="preserve">Combined Total N </t>
  </si>
  <si>
    <t xml:space="preserve">Combined Left-Handers </t>
  </si>
  <si>
    <t xml:space="preserve">RD Left-Handers </t>
  </si>
  <si>
    <t xml:space="preserve">RD Total N </t>
  </si>
  <si>
    <t>IOWA</t>
  </si>
  <si>
    <t>Raine</t>
  </si>
  <si>
    <t>Toronto</t>
  </si>
  <si>
    <t>TEDS</t>
  </si>
  <si>
    <t>ALSPAC</t>
  </si>
  <si>
    <t>Study</t>
  </si>
  <si>
    <t>York</t>
  </si>
  <si>
    <t>Manchester</t>
  </si>
  <si>
    <t>UKDYS</t>
  </si>
  <si>
    <t>ALSPAC_SLI</t>
  </si>
  <si>
    <t>TEDS_SLI</t>
  </si>
  <si>
    <t>TEDS_RD</t>
  </si>
  <si>
    <t>ALSPAC_RD</t>
  </si>
  <si>
    <t>Cohort</t>
  </si>
  <si>
    <t>Epidemiological</t>
  </si>
  <si>
    <t>Clinical</t>
  </si>
  <si>
    <t>N cases</t>
  </si>
  <si>
    <t>N controls</t>
  </si>
  <si>
    <t>Age at handedness assessment cases</t>
  </si>
  <si>
    <t>Age at handedness assessment controls</t>
  </si>
  <si>
    <t>Cohort type</t>
  </si>
  <si>
    <t>Right handers</t>
  </si>
  <si>
    <t>Non-right handers</t>
  </si>
  <si>
    <t>% Cases</t>
  </si>
  <si>
    <t>% Control</t>
  </si>
  <si>
    <t>M/F cases</t>
  </si>
  <si>
    <t>M/F controls</t>
  </si>
  <si>
    <t>Age</t>
  </si>
  <si>
    <t>Age range of cohort</t>
  </si>
  <si>
    <t>Median age of cohort</t>
  </si>
  <si>
    <t>Mean age of cohort</t>
  </si>
  <si>
    <t>ALSPAC cohort</t>
  </si>
  <si>
    <t>Reading</t>
  </si>
  <si>
    <t>Male</t>
  </si>
  <si>
    <t>Female</t>
  </si>
  <si>
    <t>Combined</t>
  </si>
  <si>
    <t>Language</t>
  </si>
  <si>
    <t>Reading + Language</t>
  </si>
  <si>
    <t>NTR cohort</t>
  </si>
  <si>
    <t>Raine Study</t>
  </si>
  <si>
    <t>IOWA Cohort</t>
  </si>
  <si>
    <t>check that cases and controls collected in the same way</t>
  </si>
  <si>
    <t>TEDS cohort</t>
  </si>
  <si>
    <t>York cohort</t>
  </si>
  <si>
    <t>#</t>
  </si>
  <si>
    <t>Manchester Study</t>
  </si>
  <si>
    <t>90-106</t>
  </si>
  <si>
    <t>89-105</t>
  </si>
  <si>
    <t>89-106</t>
  </si>
  <si>
    <t>159-187</t>
  </si>
  <si>
    <t>165-182</t>
  </si>
  <si>
    <t>Manchester (together)</t>
  </si>
  <si>
    <t>Multicenter Study Marburg/Würzburg cohort</t>
  </si>
  <si>
    <t>Spelling</t>
  </si>
  <si>
    <t>97-226</t>
  </si>
  <si>
    <t>145,19</t>
  </si>
  <si>
    <t>98-229</t>
  </si>
  <si>
    <t>140,10</t>
  </si>
  <si>
    <t>97-229</t>
  </si>
  <si>
    <t>143,84</t>
  </si>
  <si>
    <t>Toronto Cohort</t>
  </si>
  <si>
    <t>OR for handedness from https://citeseerx.ist.psu.edu/viewdoc/download?doi=10.1.1.954.761&amp;rep=rep1&amp;type=pdf</t>
  </si>
  <si>
    <t>Percentage</t>
  </si>
  <si>
    <t>Dyslexia</t>
  </si>
  <si>
    <t>Average</t>
  </si>
  <si>
    <t>n</t>
  </si>
  <si>
    <t>SUM</t>
  </si>
  <si>
    <r>
      <t>Males (χ</t>
    </r>
    <r>
      <rPr>
        <b/>
        <i/>
        <sz val="11"/>
        <color rgb="FF2E2E2E"/>
        <rFont val="Georgia"/>
        <family val="1"/>
      </rPr>
      <t>2</t>
    </r>
    <r>
      <rPr>
        <b/>
        <sz val="14"/>
        <color rgb="FF2E2E2E"/>
        <rFont val="Georgia"/>
        <family val="1"/>
      </rPr>
      <t> </t>
    </r>
    <r>
      <rPr>
        <b/>
        <i/>
        <sz val="14"/>
        <color rgb="FF2E2E2E"/>
        <rFont val="Georgia"/>
        <family val="1"/>
      </rPr>
      <t>541.2 df 4, p</t>
    </r>
    <r>
      <rPr>
        <b/>
        <sz val="14"/>
        <color rgb="FF2E2E2E"/>
        <rFont val="Georgia"/>
        <family val="1"/>
      </rPr>
      <t> &lt; </t>
    </r>
    <r>
      <rPr>
        <b/>
        <i/>
        <sz val="14"/>
        <color rgb="FF2E2E2E"/>
        <rFont val="Georgia"/>
        <family val="1"/>
      </rPr>
      <t>.0001)</t>
    </r>
  </si>
  <si>
    <t>Yes</t>
  </si>
  <si>
    <t>No</t>
  </si>
  <si>
    <t>Cases NRH</t>
  </si>
  <si>
    <t>Controls NRH</t>
  </si>
  <si>
    <t>Cases RH</t>
  </si>
  <si>
    <t>Controls RH</t>
  </si>
  <si>
    <t>OR cases</t>
  </si>
  <si>
    <t>OR controls</t>
  </si>
  <si>
    <t>OR</t>
  </si>
  <si>
    <r>
      <t>Females (χ</t>
    </r>
    <r>
      <rPr>
        <b/>
        <i/>
        <sz val="11"/>
        <color rgb="FF2E2E2E"/>
        <rFont val="Georgia"/>
        <family val="1"/>
      </rPr>
      <t>2</t>
    </r>
    <r>
      <rPr>
        <b/>
        <sz val="14"/>
        <color rgb="FF2E2E2E"/>
        <rFont val="Georgia"/>
        <family val="1"/>
      </rPr>
      <t> </t>
    </r>
    <r>
      <rPr>
        <b/>
        <i/>
        <sz val="14"/>
        <color rgb="FF2E2E2E"/>
        <rFont val="Georgia"/>
        <family val="1"/>
      </rPr>
      <t>607.9 df 4, p</t>
    </r>
    <r>
      <rPr>
        <b/>
        <sz val="14"/>
        <color rgb="FF2E2E2E"/>
        <rFont val="Georgia"/>
        <family val="1"/>
      </rPr>
      <t> &lt; </t>
    </r>
    <r>
      <rPr>
        <b/>
        <i/>
        <sz val="14"/>
        <color rgb="FF2E2E2E"/>
        <rFont val="Georgia"/>
        <family val="1"/>
      </rPr>
      <t>.0001)</t>
    </r>
  </si>
  <si>
    <r>
      <t>Males (χ</t>
    </r>
    <r>
      <rPr>
        <i/>
        <vertAlign val="superscript"/>
        <sz val="11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541.2 df 4, p</t>
    </r>
    <r>
      <rPr>
        <sz val="12"/>
        <color theme="1"/>
        <rFont val="Calibri"/>
        <family val="2"/>
        <scheme val="minor"/>
      </rPr>
      <t> &lt; </t>
    </r>
    <r>
      <rPr>
        <i/>
        <sz val="11"/>
        <color theme="1"/>
        <rFont val="Calibri"/>
        <family val="2"/>
        <scheme val="minor"/>
      </rPr>
      <t>.0001)</t>
    </r>
  </si>
  <si>
    <t>Males (χ2 541.2 df 4, p &lt; .0001)</t>
  </si>
  <si>
    <t>4.4a</t>
  </si>
  <si>
    <r>
      <t>Females (χ</t>
    </r>
    <r>
      <rPr>
        <i/>
        <vertAlign val="superscript"/>
        <sz val="11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607.9 df 4, p</t>
    </r>
    <r>
      <rPr>
        <sz val="12"/>
        <color theme="1"/>
        <rFont val="Calibri"/>
        <family val="2"/>
        <scheme val="minor"/>
      </rPr>
      <t> &lt; </t>
    </r>
    <r>
      <rPr>
        <i/>
        <sz val="11"/>
        <color theme="1"/>
        <rFont val="Calibri"/>
        <family val="2"/>
        <scheme val="minor"/>
      </rPr>
      <t>.0001)</t>
    </r>
  </si>
  <si>
    <t>Females (χ2 607.9 df 4, p &lt; .0001)</t>
  </si>
  <si>
    <t>left</t>
  </si>
  <si>
    <t>right</t>
  </si>
  <si>
    <t>males</t>
  </si>
  <si>
    <t>cases</t>
  </si>
  <si>
    <t>males L cases</t>
  </si>
  <si>
    <t>controls</t>
  </si>
  <si>
    <t>males L controls</t>
  </si>
  <si>
    <t>females</t>
  </si>
  <si>
    <t xml:space="preserve">cases </t>
  </si>
  <si>
    <t>females left cases</t>
  </si>
  <si>
    <t>female left controls</t>
  </si>
  <si>
    <t>NTR</t>
  </si>
  <si>
    <t>Males</t>
  </si>
  <si>
    <t>Controls</t>
  </si>
  <si>
    <t>Cases</t>
  </si>
  <si>
    <t>NRH</t>
  </si>
  <si>
    <t>RH</t>
  </si>
  <si>
    <t>Peters</t>
  </si>
  <si>
    <t>Females</t>
  </si>
  <si>
    <t xml:space="preserve"> </t>
  </si>
  <si>
    <t>Cohort name</t>
  </si>
  <si>
    <t>Phenotype</t>
  </si>
  <si>
    <t>Sex</t>
  </si>
  <si>
    <t>Reading, Language</t>
  </si>
  <si>
    <t>IOWA cohort</t>
  </si>
  <si>
    <r>
      <t>NTR cohort</t>
    </r>
    <r>
      <rPr>
        <b/>
        <vertAlign val="superscript"/>
        <sz val="10"/>
        <color rgb="FF000000"/>
        <rFont val="Calibri Light"/>
        <family val="2"/>
      </rPr>
      <t>1</t>
    </r>
  </si>
  <si>
    <r>
      <t>Multicenter Study Marburg/Würzburg cohort</t>
    </r>
    <r>
      <rPr>
        <b/>
        <vertAlign val="superscript"/>
        <sz val="10"/>
        <color rgb="FF000000"/>
        <rFont val="Calibri Light"/>
        <family val="2"/>
      </rPr>
      <t>1</t>
    </r>
  </si>
  <si>
    <t>Toronto cohort</t>
  </si>
  <si>
    <t>M:F Cases</t>
  </si>
  <si>
    <t>M:F Controls</t>
  </si>
  <si>
    <t>NRH Cases</t>
  </si>
  <si>
    <t>NRH Controls</t>
  </si>
  <si>
    <r>
      <t>%NRH</t>
    </r>
    <r>
      <rPr>
        <sz val="8"/>
        <color rgb="FF000000"/>
        <rFont val="Times New Roman"/>
        <family val="1"/>
      </rPr>
      <t> </t>
    </r>
  </si>
  <si>
    <t>M:F done on combined group</t>
  </si>
  <si>
    <t>TOTAL</t>
  </si>
  <si>
    <t>Total cases</t>
  </si>
  <si>
    <t>Total controls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</si>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</sst>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sz val="10"/>
      <color theme="1"/>
      <name val="Arial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sz val="12"/>
      <color rgb="FF000000"/>
      <name val="Calibri"/>
      <family val="2"/>
    </font>
    <font>
      <sz val="12"/>
      <color theme="1"/>
      <name val="Arial"/>
      <family val="2"/>
    </font>
    <font>
      <sz val="11"/>
      <color rgb="FF000000"/>
      <name val="Calibri"/>
      <family val="2"/>
      <scheme val="minor"/>
    </font>
    <font>
      <b/>
      <sz val="14"/>
      <color rgb="FF2E2E2E"/>
      <name val="Georgia"/>
      <family val="1"/>
    </font>
    <font>
      <b/>
      <i/>
      <sz val="14"/>
      <color rgb="FF2E2E2E"/>
      <name val="Georgia"/>
      <family val="1"/>
    </font>
    <font>
      <b/>
      <sz val="11"/>
      <color rgb="FF000000"/>
      <name val="Calibri"/>
      <family val="2"/>
      <scheme val="minor"/>
    </font>
    <font>
      <b/>
      <i/>
      <sz val="11"/>
      <color rgb="FF2E2E2E"/>
      <name val="Georgia"/>
      <family val="1"/>
    </font>
    <font>
      <sz val="14"/>
      <color rgb="FF2E2E2E"/>
      <name val="Georgia"/>
      <family val="1"/>
    </font>
    <font>
      <i/>
      <sz val="14"/>
      <color rgb="FF2E2E2E"/>
      <name val="Georgia"/>
      <family val="1"/>
    </font>
    <font>
      <u/>
      <sz val="12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vertAlign val="superscript"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0"/>
      <color rgb="FF000000"/>
      <name val="Calibri Light"/>
      <family val="2"/>
    </font>
    <font>
      <sz val="10"/>
      <color rgb="FF000000"/>
      <name val="Calibri Light"/>
      <family val="2"/>
    </font>
    <font>
      <b/>
      <vertAlign val="superscript"/>
      <sz val="10"/>
      <color rgb="FF000000"/>
      <name val="Calibri Light"/>
      <family val="2"/>
    </font>
    <font>
      <sz val="8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rgb="FF7F7F7F"/>
      </top>
      <bottom style="medium">
        <color rgb="FF7F7F7F"/>
      </bottom>
      <diagonal/>
    </border>
    <border>
      <left/>
      <right style="medium">
        <color indexed="64"/>
      </right>
      <top style="medium">
        <color rgb="FF7F7F7F"/>
      </top>
      <bottom style="medium">
        <color rgb="FF7F7F7F"/>
      </bottom>
      <diagonal/>
    </border>
    <border>
      <left/>
      <right/>
      <top style="medium">
        <color rgb="FF7F7F7F"/>
      </top>
      <bottom/>
      <diagonal/>
    </border>
    <border>
      <left/>
      <right/>
      <top/>
      <bottom style="medium">
        <color rgb="FF7F7F7F"/>
      </bottom>
      <diagonal/>
    </border>
  </borders>
  <cellStyleXfs count="2">
    <xf numFmtId="0" fontId="0" fillId="0" borderId="0"/>
    <xf numFmtId="0" fontId="16" fillId="0" borderId="0" applyNumberFormat="0" applyFill="0" applyBorder="0" applyAlignment="0" applyProtection="0"/>
  </cellStyleXfs>
  <cellXfs count="9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2" borderId="0" xfId="0" applyFill="1"/>
    <xf numFmtId="0" fontId="0" fillId="0" borderId="0" xfId="0" applyFill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4" fillId="0" borderId="0" xfId="0" applyFont="1"/>
    <xf numFmtId="0" fontId="16" fillId="0" borderId="0" xfId="1"/>
    <xf numFmtId="1" fontId="0" fillId="0" borderId="0" xfId="0" applyNumberFormat="1"/>
    <xf numFmtId="1" fontId="9" fillId="0" borderId="0" xfId="0" applyNumberFormat="1" applyFont="1"/>
    <xf numFmtId="3" fontId="14" fillId="0" borderId="0" xfId="0" applyNumberFormat="1" applyFont="1"/>
    <xf numFmtId="0" fontId="15" fillId="0" borderId="0" xfId="0" applyFont="1"/>
    <xf numFmtId="0" fontId="17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6" fillId="0" borderId="0" xfId="1" applyAlignment="1">
      <alignment vertical="center" wrapText="1"/>
    </xf>
    <xf numFmtId="3" fontId="0" fillId="0" borderId="0" xfId="0" applyNumberFormat="1" applyAlignment="1">
      <alignment vertical="center" wrapText="1"/>
    </xf>
    <xf numFmtId="0" fontId="19" fillId="0" borderId="0" xfId="0" applyFont="1" applyAlignment="1">
      <alignment vertical="center" wrapText="1"/>
    </xf>
    <xf numFmtId="0" fontId="17" fillId="0" borderId="0" xfId="0" applyFont="1"/>
    <xf numFmtId="0" fontId="17" fillId="0" borderId="1" xfId="0" applyFont="1" applyBorder="1"/>
    <xf numFmtId="0" fontId="17" fillId="0" borderId="2" xfId="0" applyFont="1" applyBorder="1"/>
    <xf numFmtId="0" fontId="0" fillId="0" borderId="2" xfId="0" applyBorder="1"/>
    <xf numFmtId="0" fontId="0" fillId="0" borderId="3" xfId="0" applyBorder="1"/>
    <xf numFmtId="0" fontId="17" fillId="0" borderId="4" xfId="0" applyFont="1" applyBorder="1"/>
    <xf numFmtId="0" fontId="0" fillId="0" borderId="5" xfId="0" applyBorder="1"/>
    <xf numFmtId="0" fontId="0" fillId="0" borderId="1" xfId="0" applyBorder="1"/>
    <xf numFmtId="0" fontId="17" fillId="0" borderId="5" xfId="0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7" fillId="0" borderId="6" xfId="0" applyFont="1" applyBorder="1"/>
    <xf numFmtId="0" fontId="17" fillId="0" borderId="7" xfId="0" applyFont="1" applyBorder="1"/>
    <xf numFmtId="0" fontId="17" fillId="0" borderId="8" xfId="0" applyFont="1" applyBorder="1"/>
    <xf numFmtId="0" fontId="17" fillId="0" borderId="3" xfId="0" applyFont="1" applyBorder="1"/>
    <xf numFmtId="2" fontId="0" fillId="0" borderId="0" xfId="0" applyNumberFormat="1"/>
    <xf numFmtId="3" fontId="0" fillId="0" borderId="0" xfId="0" applyNumberFormat="1"/>
    <xf numFmtId="3" fontId="1" fillId="0" borderId="9" xfId="0" applyNumberFormat="1" applyFont="1" applyBorder="1" applyAlignment="1">
      <alignment vertical="center" wrapText="1"/>
    </xf>
    <xf numFmtId="3" fontId="21" fillId="0" borderId="0" xfId="0" applyNumberFormat="1" applyFont="1"/>
    <xf numFmtId="3" fontId="1" fillId="0" borderId="10" xfId="0" applyNumberFormat="1" applyFont="1" applyBorder="1" applyAlignment="1">
      <alignment vertical="center" wrapText="1"/>
    </xf>
    <xf numFmtId="3" fontId="1" fillId="0" borderId="7" xfId="0" applyNumberFormat="1" applyFont="1" applyBorder="1" applyAlignment="1">
      <alignment vertical="center" wrapText="1"/>
    </xf>
    <xf numFmtId="3" fontId="0" fillId="0" borderId="8" xfId="0" applyNumberFormat="1" applyBorder="1" applyAlignment="1">
      <alignment vertical="center" wrapText="1"/>
    </xf>
    <xf numFmtId="0" fontId="0" fillId="3" borderId="0" xfId="0" applyFill="1"/>
    <xf numFmtId="0" fontId="22" fillId="0" borderId="0" xfId="0" applyFont="1" applyAlignment="1">
      <alignment horizontal="center" vertical="center"/>
    </xf>
    <xf numFmtId="0" fontId="22" fillId="0" borderId="9" xfId="0" applyFont="1" applyBorder="1" applyAlignment="1">
      <alignment horizontal="center" vertical="center"/>
    </xf>
    <xf numFmtId="0" fontId="22" fillId="0" borderId="12" xfId="0" applyFont="1" applyBorder="1" applyAlignment="1">
      <alignment horizontal="center" vertical="center"/>
    </xf>
    <xf numFmtId="0" fontId="22" fillId="0" borderId="12" xfId="0" applyFont="1" applyBorder="1" applyAlignment="1">
      <alignment horizontal="center" vertical="center" wrapText="1"/>
    </xf>
    <xf numFmtId="0" fontId="23" fillId="0" borderId="0" xfId="0" applyFont="1" applyAlignment="1">
      <alignment horizontal="center" vertical="center"/>
    </xf>
    <xf numFmtId="0" fontId="23" fillId="0" borderId="9" xfId="0" applyFont="1" applyBorder="1" applyAlignment="1">
      <alignment horizontal="center" vertical="center"/>
    </xf>
    <xf numFmtId="0" fontId="22" fillId="0" borderId="12" xfId="0" applyFont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1" fillId="0" borderId="0" xfId="0" applyFont="1"/>
    <xf numFmtId="2" fontId="21" fillId="0" borderId="0" xfId="0" applyNumberFormat="1" applyFont="1"/>
    <xf numFmtId="0" fontId="25" fillId="0" borderId="0" xfId="0" applyFont="1" applyAlignment="1">
      <alignment vertical="center"/>
    </xf>
    <xf numFmtId="0" fontId="23" fillId="2" borderId="0" xfId="0" applyFont="1" applyFill="1" applyAlignment="1">
      <alignment horizontal="center" vertical="center"/>
    </xf>
    <xf numFmtId="2" fontId="21" fillId="2" borderId="0" xfId="0" applyNumberFormat="1" applyFont="1" applyFill="1"/>
    <xf numFmtId="0" fontId="21" fillId="2" borderId="0" xfId="0" applyFont="1" applyFill="1"/>
    <xf numFmtId="0" fontId="23" fillId="2" borderId="9" xfId="0" applyFont="1" applyFill="1" applyBorder="1" applyAlignment="1">
      <alignment horizontal="center" vertical="center"/>
    </xf>
    <xf numFmtId="0" fontId="23" fillId="0" borderId="9" xfId="0" applyFont="1" applyFill="1" applyBorder="1" applyAlignment="1">
      <alignment horizontal="center" vertical="center"/>
    </xf>
    <xf numFmtId="0" fontId="23" fillId="0" borderId="0" xfId="0" applyFont="1" applyFill="1" applyAlignment="1">
      <alignment horizontal="center" vertical="center"/>
    </xf>
    <xf numFmtId="2" fontId="21" fillId="0" borderId="0" xfId="0" applyNumberFormat="1" applyFont="1" applyFill="1"/>
    <xf numFmtId="0" fontId="21" fillId="0" borderId="0" xfId="0" applyFont="1" applyFill="1"/>
    <xf numFmtId="0" fontId="22" fillId="0" borderId="11" xfId="0" applyFont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2" fillId="0" borderId="12" xfId="0" applyFont="1" applyBorder="1" applyAlignment="1">
      <alignment horizontal="center" vertical="center"/>
    </xf>
    <xf numFmtId="0" fontId="23" fillId="0" borderId="11" xfId="0" applyFont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3" fillId="0" borderId="12" xfId="0" applyFont="1" applyBorder="1" applyAlignment="1">
      <alignment horizontal="center" vertical="center"/>
    </xf>
    <xf numFmtId="0" fontId="22" fillId="0" borderId="11" xfId="0" applyFont="1" applyFill="1" applyBorder="1" applyAlignment="1">
      <alignment horizontal="center" vertical="center"/>
    </xf>
    <xf numFmtId="0" fontId="22" fillId="0" borderId="0" xfId="0" applyFont="1" applyFill="1" applyAlignment="1">
      <alignment horizontal="center" vertical="center"/>
    </xf>
    <xf numFmtId="0" fontId="22" fillId="0" borderId="12" xfId="0" applyFont="1" applyFill="1" applyBorder="1" applyAlignment="1">
      <alignment horizontal="center" vertical="center"/>
    </xf>
    <xf numFmtId="0" fontId="23" fillId="0" borderId="11" xfId="0" applyFont="1" applyFill="1" applyBorder="1" applyAlignment="1">
      <alignment horizontal="center" vertical="center"/>
    </xf>
    <xf numFmtId="0" fontId="23" fillId="0" borderId="0" xfId="0" applyFont="1" applyFill="1" applyAlignment="1">
      <alignment horizontal="center" vertical="center"/>
    </xf>
    <xf numFmtId="0" fontId="23" fillId="0" borderId="12" xfId="0" applyFont="1" applyFill="1" applyBorder="1" applyAlignment="1">
      <alignment horizontal="center" vertical="center"/>
    </xf>
    <xf numFmtId="0" fontId="22" fillId="0" borderId="9" xfId="0" applyFont="1" applyBorder="1" applyAlignment="1">
      <alignment vertical="center"/>
    </xf>
    <xf numFmtId="0" fontId="22" fillId="2" borderId="11" xfId="0" applyFont="1" applyFill="1" applyBorder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22" fillId="2" borderId="12" xfId="0" applyFont="1" applyFill="1" applyBorder="1" applyAlignment="1">
      <alignment horizontal="center" vertical="center"/>
    </xf>
    <xf numFmtId="0" fontId="23" fillId="2" borderId="11" xfId="0" applyFont="1" applyFill="1" applyBorder="1" applyAlignment="1">
      <alignment horizontal="center" vertical="center"/>
    </xf>
    <xf numFmtId="0" fontId="23" fillId="2" borderId="0" xfId="0" applyFont="1" applyFill="1" applyAlignment="1">
      <alignment horizontal="center" vertical="center"/>
    </xf>
    <xf numFmtId="0" fontId="23" fillId="2" borderId="12" xfId="0" applyFont="1" applyFill="1" applyBorder="1" applyAlignment="1">
      <alignment horizontal="center" vertical="center"/>
    </xf>
    <xf numFmtId="0" fontId="22" fillId="0" borderId="9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9" fillId="0" borderId="0" xfId="0" applyFont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iencedirect.com/science/article/pii/S0278262606000820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iencedirect.com/science/article/pii/S0278262606000820?via%3Dihub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C49C6-505E-DC43-883F-74098BEBDD3C}">
  <dimension ref="A1:F11"/>
  <sheetViews>
    <sheetView workbookViewId="0">
      <selection activeCell="D10" sqref="D10:E10"/>
    </sheetView>
  </sheetViews>
  <sheetFormatPr baseColWidth="10" defaultRowHeight="16" x14ac:dyDescent="0.2"/>
  <cols>
    <col min="2" max="2" width="21.1640625" bestFit="1" customWidth="1"/>
    <col min="3" max="3" width="16.5" bestFit="1" customWidth="1"/>
    <col min="4" max="4" width="15.1640625" bestFit="1" customWidth="1"/>
    <col min="5" max="5" width="10.5" bestFit="1" customWidth="1"/>
    <col min="6" max="6" width="15.83203125" bestFit="1" customWidth="1"/>
    <col min="12" max="12" width="14.6640625" bestFit="1" customWidth="1"/>
  </cols>
  <sheetData>
    <row r="1" spans="1:6" x14ac:dyDescent="0.2">
      <c r="A1" s="1" t="s">
        <v>13</v>
      </c>
      <c r="B1" s="1" t="s">
        <v>5</v>
      </c>
      <c r="C1" s="1" t="s">
        <v>4</v>
      </c>
      <c r="D1" s="1" t="s">
        <v>0</v>
      </c>
      <c r="E1" s="1" t="s">
        <v>1</v>
      </c>
      <c r="F1" s="1" t="s">
        <v>21</v>
      </c>
    </row>
    <row r="2" spans="1:6" x14ac:dyDescent="0.2">
      <c r="A2" t="s">
        <v>8</v>
      </c>
      <c r="B2">
        <v>22</v>
      </c>
      <c r="C2">
        <f>22+182</f>
        <v>204</v>
      </c>
      <c r="D2">
        <v>56</v>
      </c>
      <c r="E2">
        <f>56+610</f>
        <v>666</v>
      </c>
      <c r="F2" s="2" t="s">
        <v>22</v>
      </c>
    </row>
    <row r="3" spans="1:6" x14ac:dyDescent="0.2">
      <c r="A3" t="s">
        <v>9</v>
      </c>
      <c r="B3">
        <v>21</v>
      </c>
      <c r="C3">
        <f>21+136</f>
        <v>157</v>
      </c>
      <c r="D3">
        <v>49</v>
      </c>
      <c r="E3">
        <f>389+49</f>
        <v>438</v>
      </c>
      <c r="F3" s="2" t="s">
        <v>22</v>
      </c>
    </row>
    <row r="4" spans="1:6" x14ac:dyDescent="0.2">
      <c r="A4" t="s">
        <v>12</v>
      </c>
      <c r="B4">
        <v>45</v>
      </c>
      <c r="C4">
        <f>45+323</f>
        <v>368</v>
      </c>
      <c r="D4">
        <v>354</v>
      </c>
      <c r="E4">
        <f>354+2604</f>
        <v>2958</v>
      </c>
      <c r="F4" s="2" t="s">
        <v>22</v>
      </c>
    </row>
    <row r="5" spans="1:6" x14ac:dyDescent="0.2">
      <c r="A5" t="s">
        <v>11</v>
      </c>
      <c r="B5">
        <v>62</v>
      </c>
      <c r="C5">
        <f>62+356</f>
        <v>418</v>
      </c>
      <c r="D5">
        <f>70+50</f>
        <v>120</v>
      </c>
      <c r="E5">
        <f>526+382</f>
        <v>908</v>
      </c>
      <c r="F5" s="2" t="s">
        <v>22</v>
      </c>
    </row>
    <row r="6" spans="1:6" x14ac:dyDescent="0.2">
      <c r="A6" t="s">
        <v>15</v>
      </c>
      <c r="B6">
        <v>45</v>
      </c>
      <c r="C6">
        <f>45+150</f>
        <v>195</v>
      </c>
      <c r="D6" s="5">
        <v>272</v>
      </c>
      <c r="E6" s="5">
        <f>1938+D6</f>
        <v>2210</v>
      </c>
      <c r="F6" s="2" t="s">
        <v>23</v>
      </c>
    </row>
    <row r="7" spans="1:6" x14ac:dyDescent="0.2">
      <c r="A7" t="s">
        <v>16</v>
      </c>
      <c r="B7">
        <v>40</v>
      </c>
      <c r="C7">
        <v>302</v>
      </c>
      <c r="D7" s="5">
        <v>297</v>
      </c>
      <c r="E7" s="5">
        <f>297+2192</f>
        <v>2489</v>
      </c>
      <c r="F7" s="2" t="s">
        <v>23</v>
      </c>
    </row>
    <row r="8" spans="1:6" x14ac:dyDescent="0.2">
      <c r="A8" t="s">
        <v>10</v>
      </c>
      <c r="B8">
        <v>28</v>
      </c>
      <c r="C8">
        <f>28+70+137</f>
        <v>235</v>
      </c>
      <c r="D8">
        <v>7</v>
      </c>
      <c r="E8">
        <f>7+33+17</f>
        <v>57</v>
      </c>
      <c r="F8" s="2" t="s">
        <v>23</v>
      </c>
    </row>
    <row r="9" spans="1:6" x14ac:dyDescent="0.2">
      <c r="A9" t="s">
        <v>108</v>
      </c>
      <c r="B9">
        <f>745+533</f>
        <v>1278</v>
      </c>
      <c r="C9">
        <f>B9+3437+408</f>
        <v>5123</v>
      </c>
      <c r="D9">
        <f>14359+11227</f>
        <v>25586</v>
      </c>
      <c r="E9">
        <f>D9+93249+87449</f>
        <v>206284</v>
      </c>
      <c r="F9" s="2" t="s">
        <v>22</v>
      </c>
    </row>
    <row r="10" spans="1:6" x14ac:dyDescent="0.2">
      <c r="A10" t="s">
        <v>14</v>
      </c>
      <c r="B10">
        <v>19</v>
      </c>
      <c r="C10">
        <v>72</v>
      </c>
      <c r="D10" s="50">
        <v>9</v>
      </c>
      <c r="E10" s="50">
        <v>56</v>
      </c>
      <c r="F10" s="2" t="s">
        <v>23</v>
      </c>
    </row>
    <row r="11" spans="1:6" x14ac:dyDescent="0.2">
      <c r="B11" t="s">
        <v>110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079C8-A45F-5648-B92F-F547C22F48B1}">
  <dimension ref="A1:Q55"/>
  <sheetViews>
    <sheetView tabSelected="1" workbookViewId="0">
      <pane ySplit="1" topLeftCell="A22" activePane="bottomLeft" state="frozen"/>
      <selection pane="bottomLeft" activeCell="E48" sqref="E48:G50"/>
    </sheetView>
  </sheetViews>
  <sheetFormatPr baseColWidth="10" defaultRowHeight="16" x14ac:dyDescent="0.2"/>
  <cols>
    <col min="1" max="1" width="32.83203125" bestFit="1" customWidth="1"/>
    <col min="2" max="2" width="11.5" bestFit="1" customWidth="1"/>
    <col min="3" max="3" width="13.6640625" bestFit="1" customWidth="1"/>
  </cols>
  <sheetData>
    <row r="1" spans="1:17" ht="17" thickBot="1" x14ac:dyDescent="0.25">
      <c r="A1" s="70" t="s">
        <v>111</v>
      </c>
      <c r="B1" s="70" t="s">
        <v>28</v>
      </c>
      <c r="C1" s="70" t="s">
        <v>112</v>
      </c>
      <c r="D1" s="70" t="s">
        <v>113</v>
      </c>
      <c r="E1" s="89" t="s">
        <v>24</v>
      </c>
      <c r="F1" s="89"/>
      <c r="G1" s="52"/>
      <c r="H1" s="89" t="s">
        <v>25</v>
      </c>
      <c r="I1" s="89"/>
      <c r="J1" s="52"/>
      <c r="K1" s="82" t="s">
        <v>123</v>
      </c>
      <c r="L1" s="82"/>
      <c r="M1" s="59"/>
      <c r="N1" s="59"/>
      <c r="O1" s="59"/>
      <c r="P1" s="59"/>
    </row>
    <row r="2" spans="1:17" ht="17" thickBot="1" x14ac:dyDescent="0.25">
      <c r="A2" s="72"/>
      <c r="B2" s="72"/>
      <c r="C2" s="72"/>
      <c r="D2" s="72"/>
      <c r="E2" s="57" t="s">
        <v>106</v>
      </c>
      <c r="F2" s="57" t="s">
        <v>107</v>
      </c>
      <c r="G2" s="53" t="s">
        <v>125</v>
      </c>
      <c r="H2" s="53" t="s">
        <v>106</v>
      </c>
      <c r="I2" s="53" t="s">
        <v>107</v>
      </c>
      <c r="J2" s="53" t="s">
        <v>125</v>
      </c>
      <c r="K2" s="54" t="s">
        <v>105</v>
      </c>
      <c r="L2" s="54" t="s">
        <v>104</v>
      </c>
      <c r="M2" s="51" t="s">
        <v>121</v>
      </c>
      <c r="N2" s="51" t="s">
        <v>122</v>
      </c>
      <c r="O2" s="59" t="s">
        <v>119</v>
      </c>
      <c r="P2" s="59" t="s">
        <v>120</v>
      </c>
    </row>
    <row r="3" spans="1:17" s="5" customFormat="1" ht="17" thickBot="1" x14ac:dyDescent="0.25">
      <c r="A3" s="83" t="s">
        <v>39</v>
      </c>
      <c r="B3" s="86" t="s">
        <v>22</v>
      </c>
      <c r="C3" s="86" t="s">
        <v>40</v>
      </c>
      <c r="D3" s="62" t="s">
        <v>41</v>
      </c>
      <c r="E3" s="62">
        <v>6</v>
      </c>
      <c r="F3" s="62">
        <v>48</v>
      </c>
      <c r="G3" s="62">
        <f>E3+F3</f>
        <v>54</v>
      </c>
      <c r="H3" s="62">
        <v>218</v>
      </c>
      <c r="I3" s="62">
        <v>1468</v>
      </c>
      <c r="J3" s="62">
        <f>H3+I3</f>
        <v>1686</v>
      </c>
      <c r="K3" s="62">
        <v>0.17</v>
      </c>
      <c r="L3" s="62">
        <v>0.13</v>
      </c>
      <c r="M3" s="63">
        <f>E3/(F3+E3)</f>
        <v>0.1111111111111111</v>
      </c>
      <c r="N3" s="63">
        <v>0.13</v>
      </c>
      <c r="O3" s="64">
        <v>1.11111111</v>
      </c>
      <c r="P3" s="64">
        <v>1.3254717</v>
      </c>
    </row>
    <row r="4" spans="1:17" s="5" customFormat="1" ht="17" thickBot="1" x14ac:dyDescent="0.25">
      <c r="A4" s="84"/>
      <c r="B4" s="87"/>
      <c r="C4" s="87"/>
      <c r="D4" s="65" t="s">
        <v>42</v>
      </c>
      <c r="E4" s="65">
        <v>10</v>
      </c>
      <c r="F4" s="65">
        <v>50</v>
      </c>
      <c r="G4" s="62">
        <f t="shared" ref="G4:G50" si="0">E4+F4</f>
        <v>60</v>
      </c>
      <c r="H4" s="65">
        <v>136</v>
      </c>
      <c r="I4" s="65">
        <v>1136</v>
      </c>
      <c r="J4" s="62">
        <f t="shared" ref="J4:J50" si="1">H4+I4</f>
        <v>1272</v>
      </c>
      <c r="K4" s="65">
        <v>0.11</v>
      </c>
      <c r="L4" s="65">
        <v>0.11</v>
      </c>
      <c r="M4" s="63">
        <f t="shared" ref="M4:M50" si="2">E4/(F4+E4)</f>
        <v>0.16666666666666666</v>
      </c>
      <c r="N4" s="63">
        <v>0.11</v>
      </c>
      <c r="O4" s="64">
        <v>0.47368420999999999</v>
      </c>
      <c r="P4" s="64">
        <v>0.43002027999999998</v>
      </c>
    </row>
    <row r="5" spans="1:17" s="5" customFormat="1" ht="17" thickBot="1" x14ac:dyDescent="0.25">
      <c r="A5" s="84"/>
      <c r="B5" s="87"/>
      <c r="C5" s="88"/>
      <c r="D5" s="62" t="s">
        <v>43</v>
      </c>
      <c r="E5" s="62">
        <v>16</v>
      </c>
      <c r="F5" s="62">
        <v>98</v>
      </c>
      <c r="G5" s="62">
        <f t="shared" si="0"/>
        <v>114</v>
      </c>
      <c r="H5" s="62">
        <f>H3+H4</f>
        <v>354</v>
      </c>
      <c r="I5" s="62">
        <f>I3+I4</f>
        <v>2604</v>
      </c>
      <c r="J5" s="62">
        <f t="shared" si="1"/>
        <v>2958</v>
      </c>
      <c r="K5" s="62">
        <v>0.14000000000000001</v>
      </c>
      <c r="L5" s="62">
        <v>0.12</v>
      </c>
      <c r="M5" s="63">
        <f t="shared" si="2"/>
        <v>0.14035087719298245</v>
      </c>
      <c r="N5" s="63">
        <v>0.12</v>
      </c>
      <c r="O5" s="64"/>
      <c r="P5" s="64"/>
    </row>
    <row r="6" spans="1:17" s="5" customFormat="1" ht="17" thickBot="1" x14ac:dyDescent="0.25">
      <c r="A6" s="84"/>
      <c r="B6" s="87"/>
      <c r="C6" s="86" t="s">
        <v>44</v>
      </c>
      <c r="D6" s="65" t="s">
        <v>41</v>
      </c>
      <c r="E6" s="65">
        <v>17</v>
      </c>
      <c r="F6" s="65">
        <v>133</v>
      </c>
      <c r="G6" s="62">
        <f t="shared" si="0"/>
        <v>150</v>
      </c>
      <c r="H6" s="65">
        <v>218</v>
      </c>
      <c r="I6" s="65">
        <v>1468</v>
      </c>
      <c r="J6" s="62">
        <f t="shared" si="1"/>
        <v>1686</v>
      </c>
      <c r="K6" s="65">
        <v>0.11</v>
      </c>
      <c r="L6" s="65">
        <v>0.13</v>
      </c>
      <c r="M6" s="63">
        <f t="shared" si="2"/>
        <v>0.11333333333333333</v>
      </c>
      <c r="N6" s="63">
        <v>0.13</v>
      </c>
      <c r="O6" s="64">
        <v>1.44230769</v>
      </c>
      <c r="P6" s="64">
        <v>1.3254717</v>
      </c>
    </row>
    <row r="7" spans="1:17" s="5" customFormat="1" ht="17" thickBot="1" x14ac:dyDescent="0.25">
      <c r="A7" s="84"/>
      <c r="B7" s="87"/>
      <c r="C7" s="87"/>
      <c r="D7" s="62" t="s">
        <v>42</v>
      </c>
      <c r="E7" s="62">
        <v>12</v>
      </c>
      <c r="F7" s="62">
        <v>92</v>
      </c>
      <c r="G7" s="62">
        <f t="shared" si="0"/>
        <v>104</v>
      </c>
      <c r="H7" s="62">
        <v>136</v>
      </c>
      <c r="I7" s="62">
        <v>1136</v>
      </c>
      <c r="J7" s="62">
        <f t="shared" si="1"/>
        <v>1272</v>
      </c>
      <c r="K7" s="62">
        <v>0.12</v>
      </c>
      <c r="L7" s="62">
        <v>0.11</v>
      </c>
      <c r="M7" s="63">
        <f t="shared" si="2"/>
        <v>0.11538461538461539</v>
      </c>
      <c r="N7" s="63">
        <v>0.11</v>
      </c>
      <c r="O7" s="64">
        <v>0.40944881999999999</v>
      </c>
      <c r="P7" s="64">
        <v>0.43002027999999998</v>
      </c>
    </row>
    <row r="8" spans="1:17" s="5" customFormat="1" ht="18" customHeight="1" thickBot="1" x14ac:dyDescent="0.25">
      <c r="A8" s="84"/>
      <c r="B8" s="87"/>
      <c r="C8" s="88"/>
      <c r="D8" s="65" t="s">
        <v>43</v>
      </c>
      <c r="E8" s="65">
        <v>29</v>
      </c>
      <c r="F8" s="65">
        <v>225</v>
      </c>
      <c r="G8" s="62">
        <f t="shared" si="0"/>
        <v>254</v>
      </c>
      <c r="H8" s="65">
        <v>354</v>
      </c>
      <c r="I8" s="65">
        <v>2604</v>
      </c>
      <c r="J8" s="62">
        <f t="shared" si="1"/>
        <v>2958</v>
      </c>
      <c r="K8" s="65">
        <v>0.11</v>
      </c>
      <c r="L8" s="65">
        <v>0.12</v>
      </c>
      <c r="M8" s="63">
        <f t="shared" si="2"/>
        <v>0.1141732283464567</v>
      </c>
      <c r="N8" s="63">
        <v>0.12</v>
      </c>
      <c r="O8" s="64"/>
      <c r="P8" s="64"/>
    </row>
    <row r="9" spans="1:17" s="5" customFormat="1" ht="17" thickBot="1" x14ac:dyDescent="0.25">
      <c r="A9" s="84"/>
      <c r="B9" s="87"/>
      <c r="C9" s="86" t="s">
        <v>114</v>
      </c>
      <c r="D9" s="62" t="s">
        <v>41</v>
      </c>
      <c r="E9" s="62">
        <v>27</v>
      </c>
      <c r="F9" s="62">
        <v>183</v>
      </c>
      <c r="G9" s="62">
        <f t="shared" si="0"/>
        <v>210</v>
      </c>
      <c r="H9" s="62">
        <v>218</v>
      </c>
      <c r="I9" s="62">
        <v>1468</v>
      </c>
      <c r="J9" s="62">
        <f t="shared" si="1"/>
        <v>1686</v>
      </c>
      <c r="K9" s="62">
        <v>0.13</v>
      </c>
      <c r="L9" s="62">
        <v>0.13</v>
      </c>
      <c r="M9" s="63">
        <f>E9/G9</f>
        <v>0.12857142857142856</v>
      </c>
      <c r="N9" s="63">
        <v>0.13</v>
      </c>
      <c r="O9" s="64">
        <f>G9/G10</f>
        <v>1.3291139240506329</v>
      </c>
      <c r="P9" s="64">
        <f>J9/J10</f>
        <v>1.3254716981132075</v>
      </c>
      <c r="Q9" s="5" t="s">
        <v>124</v>
      </c>
    </row>
    <row r="10" spans="1:17" s="5" customFormat="1" ht="17" thickBot="1" x14ac:dyDescent="0.25">
      <c r="A10" s="84"/>
      <c r="B10" s="87"/>
      <c r="C10" s="87"/>
      <c r="D10" s="65" t="s">
        <v>42</v>
      </c>
      <c r="E10" s="62">
        <v>18</v>
      </c>
      <c r="F10" s="62">
        <v>140</v>
      </c>
      <c r="G10" s="62">
        <f t="shared" si="0"/>
        <v>158</v>
      </c>
      <c r="H10" s="65">
        <v>136</v>
      </c>
      <c r="I10" s="65">
        <v>1136</v>
      </c>
      <c r="J10" s="62">
        <f t="shared" si="1"/>
        <v>1272</v>
      </c>
      <c r="K10" s="65">
        <v>0.11</v>
      </c>
      <c r="L10" s="65">
        <v>0.11</v>
      </c>
      <c r="M10" s="63">
        <f>E10/G10</f>
        <v>0.11392405063291139</v>
      </c>
      <c r="N10" s="63">
        <f>H10/J10</f>
        <v>0.1069182389937107</v>
      </c>
      <c r="P10" s="64"/>
    </row>
    <row r="11" spans="1:17" s="5" customFormat="1" ht="17" thickBot="1" x14ac:dyDescent="0.25">
      <c r="A11" s="85"/>
      <c r="B11" s="88"/>
      <c r="C11" s="88"/>
      <c r="D11" s="62" t="s">
        <v>43</v>
      </c>
      <c r="E11" s="62">
        <f>E9+E10</f>
        <v>45</v>
      </c>
      <c r="F11" s="62">
        <f>F9+F10</f>
        <v>323</v>
      </c>
      <c r="G11" s="62">
        <f t="shared" si="0"/>
        <v>368</v>
      </c>
      <c r="H11" s="62">
        <v>354</v>
      </c>
      <c r="I11" s="62">
        <v>2604</v>
      </c>
      <c r="J11" s="62">
        <f t="shared" si="1"/>
        <v>2958</v>
      </c>
      <c r="K11" s="62">
        <v>0.12</v>
      </c>
      <c r="L11" s="62">
        <v>0.12</v>
      </c>
      <c r="M11" s="63">
        <f t="shared" ref="M11" si="3">E11/G11</f>
        <v>0.12228260869565218</v>
      </c>
      <c r="N11" s="63">
        <f t="shared" ref="N11" si="4">H11/J11</f>
        <v>0.11967545638945233</v>
      </c>
      <c r="O11" s="64"/>
      <c r="P11" s="64"/>
    </row>
    <row r="12" spans="1:17" ht="17" thickBot="1" x14ac:dyDescent="0.25">
      <c r="A12" s="70" t="s">
        <v>115</v>
      </c>
      <c r="B12" s="73" t="s">
        <v>22</v>
      </c>
      <c r="C12" s="73" t="s">
        <v>44</v>
      </c>
      <c r="D12" s="56" t="s">
        <v>41</v>
      </c>
      <c r="E12" s="56">
        <v>16</v>
      </c>
      <c r="F12" s="56">
        <v>105</v>
      </c>
      <c r="G12" s="55">
        <f t="shared" si="0"/>
        <v>121</v>
      </c>
      <c r="H12" s="56">
        <v>35</v>
      </c>
      <c r="I12" s="56">
        <v>360</v>
      </c>
      <c r="J12" s="55">
        <f t="shared" si="1"/>
        <v>395</v>
      </c>
      <c r="K12" s="56">
        <v>0.13</v>
      </c>
      <c r="L12" s="56">
        <v>0.09</v>
      </c>
      <c r="M12" s="63">
        <f t="shared" si="2"/>
        <v>0.13223140495867769</v>
      </c>
      <c r="N12" s="60">
        <v>0.09</v>
      </c>
      <c r="O12" s="59">
        <v>1.4578313300000001</v>
      </c>
      <c r="P12" s="59">
        <v>1.4575645800000001</v>
      </c>
    </row>
    <row r="13" spans="1:17" ht="17" thickBot="1" x14ac:dyDescent="0.25">
      <c r="A13" s="71"/>
      <c r="B13" s="74"/>
      <c r="C13" s="74"/>
      <c r="D13" s="55" t="s">
        <v>42</v>
      </c>
      <c r="E13" s="55">
        <v>6</v>
      </c>
      <c r="F13" s="55">
        <v>77</v>
      </c>
      <c r="G13" s="55">
        <f t="shared" si="0"/>
        <v>83</v>
      </c>
      <c r="H13" s="55">
        <v>21</v>
      </c>
      <c r="I13" s="55">
        <v>250</v>
      </c>
      <c r="J13" s="55">
        <f t="shared" si="1"/>
        <v>271</v>
      </c>
      <c r="K13" s="55">
        <v>7.0000000000000007E-2</v>
      </c>
      <c r="L13" s="55">
        <v>0.08</v>
      </c>
      <c r="M13" s="63">
        <f t="shared" si="2"/>
        <v>7.2289156626506021E-2</v>
      </c>
      <c r="N13" s="60">
        <v>0.08</v>
      </c>
      <c r="O13" s="59">
        <v>0.40686275</v>
      </c>
      <c r="P13" s="59">
        <v>0.40690691000000001</v>
      </c>
    </row>
    <row r="14" spans="1:17" ht="17" thickBot="1" x14ac:dyDescent="0.25">
      <c r="A14" s="72"/>
      <c r="B14" s="75"/>
      <c r="C14" s="75"/>
      <c r="D14" s="56" t="s">
        <v>43</v>
      </c>
      <c r="E14" s="56">
        <v>22</v>
      </c>
      <c r="F14" s="56">
        <v>182</v>
      </c>
      <c r="G14" s="55">
        <f t="shared" si="0"/>
        <v>204</v>
      </c>
      <c r="H14" s="56">
        <v>56</v>
      </c>
      <c r="I14" s="56">
        <v>610</v>
      </c>
      <c r="J14" s="55">
        <f t="shared" si="1"/>
        <v>666</v>
      </c>
      <c r="K14" s="56">
        <v>0.11</v>
      </c>
      <c r="L14" s="56">
        <v>0.08</v>
      </c>
      <c r="M14" s="63">
        <f t="shared" si="2"/>
        <v>0.10784313725490197</v>
      </c>
      <c r="N14" s="60">
        <v>0.08</v>
      </c>
      <c r="O14" s="59"/>
      <c r="P14" s="59"/>
    </row>
    <row r="15" spans="1:17" s="6" customFormat="1" ht="17" thickBot="1" x14ac:dyDescent="0.25">
      <c r="A15" s="76" t="s">
        <v>116</v>
      </c>
      <c r="B15" s="79" t="s">
        <v>22</v>
      </c>
      <c r="C15" s="79" t="s">
        <v>40</v>
      </c>
      <c r="D15" s="67" t="s">
        <v>41</v>
      </c>
      <c r="E15" s="67">
        <v>18</v>
      </c>
      <c r="F15" s="67">
        <v>97</v>
      </c>
      <c r="G15" s="67">
        <f t="shared" si="0"/>
        <v>115</v>
      </c>
      <c r="H15" s="67">
        <v>66</v>
      </c>
      <c r="I15" s="67">
        <v>450</v>
      </c>
      <c r="J15" s="67">
        <f t="shared" si="1"/>
        <v>516</v>
      </c>
      <c r="K15" s="67">
        <v>0.16</v>
      </c>
      <c r="L15" s="67">
        <v>0.13</v>
      </c>
      <c r="M15" s="63">
        <f t="shared" si="2"/>
        <v>0.15652173913043479</v>
      </c>
      <c r="N15" s="68">
        <v>0.13</v>
      </c>
      <c r="O15" s="69">
        <v>0.96638654999999996</v>
      </c>
      <c r="P15" s="69">
        <v>0.96629213000000003</v>
      </c>
    </row>
    <row r="16" spans="1:17" s="6" customFormat="1" ht="17" thickBot="1" x14ac:dyDescent="0.25">
      <c r="A16" s="77"/>
      <c r="B16" s="80"/>
      <c r="C16" s="80"/>
      <c r="D16" s="66" t="s">
        <v>42</v>
      </c>
      <c r="E16" s="66">
        <v>13</v>
      </c>
      <c r="F16" s="66">
        <v>106</v>
      </c>
      <c r="G16" s="67">
        <f t="shared" si="0"/>
        <v>119</v>
      </c>
      <c r="H16" s="66">
        <v>70</v>
      </c>
      <c r="I16" s="66">
        <v>464</v>
      </c>
      <c r="J16" s="67">
        <f t="shared" si="1"/>
        <v>534</v>
      </c>
      <c r="K16" s="66">
        <v>0.11</v>
      </c>
      <c r="L16" s="66">
        <v>0.13</v>
      </c>
      <c r="M16" s="63">
        <f t="shared" si="2"/>
        <v>0.1092436974789916</v>
      </c>
      <c r="N16" s="68">
        <v>0.13</v>
      </c>
      <c r="O16" s="69">
        <v>0.50854701000000002</v>
      </c>
      <c r="P16" s="69">
        <v>0.50857143000000005</v>
      </c>
    </row>
    <row r="17" spans="1:17" s="6" customFormat="1" ht="17" thickBot="1" x14ac:dyDescent="0.25">
      <c r="A17" s="78"/>
      <c r="B17" s="81"/>
      <c r="C17" s="81"/>
      <c r="D17" s="67" t="s">
        <v>43</v>
      </c>
      <c r="E17" s="67">
        <v>31</v>
      </c>
      <c r="F17" s="67">
        <v>203</v>
      </c>
      <c r="G17" s="67">
        <f>E17+F17</f>
        <v>234</v>
      </c>
      <c r="H17" s="67">
        <v>136</v>
      </c>
      <c r="I17" s="67">
        <v>914</v>
      </c>
      <c r="J17" s="67">
        <f t="shared" si="1"/>
        <v>1050</v>
      </c>
      <c r="K17" s="67">
        <v>0.13</v>
      </c>
      <c r="L17" s="67">
        <v>0.13</v>
      </c>
      <c r="M17" s="63">
        <f t="shared" si="2"/>
        <v>0.13247863247863248</v>
      </c>
      <c r="N17" s="68">
        <v>0.13</v>
      </c>
      <c r="O17" s="69"/>
      <c r="P17" s="69"/>
    </row>
    <row r="18" spans="1:17" ht="17" thickBot="1" x14ac:dyDescent="0.25">
      <c r="A18" s="70" t="s">
        <v>47</v>
      </c>
      <c r="B18" s="73" t="s">
        <v>22</v>
      </c>
      <c r="C18" s="73" t="s">
        <v>44</v>
      </c>
      <c r="D18" s="56" t="s">
        <v>41</v>
      </c>
      <c r="E18" s="56">
        <v>15</v>
      </c>
      <c r="F18" s="56">
        <v>87</v>
      </c>
      <c r="G18" s="55">
        <f t="shared" si="0"/>
        <v>102</v>
      </c>
      <c r="H18" s="56">
        <v>37</v>
      </c>
      <c r="I18" s="56">
        <v>248</v>
      </c>
      <c r="J18" s="55">
        <f t="shared" si="1"/>
        <v>285</v>
      </c>
      <c r="K18" s="56">
        <v>0.15</v>
      </c>
      <c r="L18" s="56">
        <v>0.13</v>
      </c>
      <c r="M18" s="63">
        <f t="shared" si="2"/>
        <v>0.14705882352941177</v>
      </c>
      <c r="N18" s="60">
        <v>0.13</v>
      </c>
      <c r="O18" s="59">
        <v>1.85454545</v>
      </c>
      <c r="P18" s="59">
        <v>1.8627450999999999</v>
      </c>
    </row>
    <row r="19" spans="1:17" ht="17" thickBot="1" x14ac:dyDescent="0.25">
      <c r="A19" s="71"/>
      <c r="B19" s="74"/>
      <c r="C19" s="74"/>
      <c r="D19" s="55" t="s">
        <v>42</v>
      </c>
      <c r="E19" s="55">
        <v>6</v>
      </c>
      <c r="F19" s="55">
        <v>49</v>
      </c>
      <c r="G19" s="55">
        <f t="shared" si="0"/>
        <v>55</v>
      </c>
      <c r="H19" s="55">
        <v>12</v>
      </c>
      <c r="I19" s="55">
        <v>141</v>
      </c>
      <c r="J19" s="55">
        <f t="shared" si="1"/>
        <v>153</v>
      </c>
      <c r="K19" s="55">
        <v>0.11</v>
      </c>
      <c r="L19" s="55">
        <v>0.08</v>
      </c>
      <c r="M19" s="63">
        <f t="shared" si="2"/>
        <v>0.10909090909090909</v>
      </c>
      <c r="N19" s="60">
        <v>0.08</v>
      </c>
      <c r="O19" s="59">
        <v>0.35031846999999999</v>
      </c>
      <c r="P19" s="59">
        <v>0.34931507000000001</v>
      </c>
    </row>
    <row r="20" spans="1:17" ht="17" thickBot="1" x14ac:dyDescent="0.25">
      <c r="A20" s="72"/>
      <c r="B20" s="75"/>
      <c r="C20" s="75"/>
      <c r="D20" s="56" t="s">
        <v>43</v>
      </c>
      <c r="E20" s="56">
        <v>21</v>
      </c>
      <c r="F20" s="56">
        <v>136</v>
      </c>
      <c r="G20" s="55">
        <f t="shared" si="0"/>
        <v>157</v>
      </c>
      <c r="H20" s="56">
        <v>49</v>
      </c>
      <c r="I20" s="56">
        <v>389</v>
      </c>
      <c r="J20" s="55">
        <f t="shared" si="1"/>
        <v>438</v>
      </c>
      <c r="K20" s="56">
        <v>0.13</v>
      </c>
      <c r="L20" s="56">
        <v>0.11</v>
      </c>
      <c r="M20" s="63">
        <f t="shared" si="2"/>
        <v>0.13375796178343949</v>
      </c>
      <c r="N20" s="60">
        <v>0.11</v>
      </c>
      <c r="O20" s="59"/>
      <c r="P20" s="59"/>
    </row>
    <row r="21" spans="1:17" ht="17" thickBot="1" x14ac:dyDescent="0.25">
      <c r="A21" s="70" t="s">
        <v>50</v>
      </c>
      <c r="B21" s="73" t="s">
        <v>22</v>
      </c>
      <c r="C21" s="73" t="s">
        <v>40</v>
      </c>
      <c r="D21" s="55" t="s">
        <v>41</v>
      </c>
      <c r="E21" s="55">
        <v>13</v>
      </c>
      <c r="F21" s="55">
        <v>110</v>
      </c>
      <c r="G21" s="55">
        <f t="shared" si="0"/>
        <v>123</v>
      </c>
      <c r="H21" s="55">
        <v>51</v>
      </c>
      <c r="I21" s="55">
        <v>331</v>
      </c>
      <c r="J21" s="55">
        <f t="shared" si="1"/>
        <v>382</v>
      </c>
      <c r="K21" s="55">
        <v>0.11</v>
      </c>
      <c r="L21" s="55">
        <v>0.13</v>
      </c>
      <c r="M21" s="63">
        <f t="shared" si="2"/>
        <v>0.10569105691056911</v>
      </c>
      <c r="N21" s="60">
        <v>0.13</v>
      </c>
      <c r="O21" s="59">
        <v>0.86013985999999998</v>
      </c>
      <c r="P21" s="59">
        <v>0.72623574000000002</v>
      </c>
    </row>
    <row r="22" spans="1:17" ht="17" thickBot="1" x14ac:dyDescent="0.25">
      <c r="A22" s="71"/>
      <c r="B22" s="74"/>
      <c r="C22" s="74"/>
      <c r="D22" s="56" t="s">
        <v>42</v>
      </c>
      <c r="E22" s="56">
        <v>30</v>
      </c>
      <c r="F22" s="56">
        <v>113</v>
      </c>
      <c r="G22" s="55">
        <f t="shared" si="0"/>
        <v>143</v>
      </c>
      <c r="H22" s="56">
        <v>69</v>
      </c>
      <c r="I22" s="56">
        <v>457</v>
      </c>
      <c r="J22" s="55">
        <f t="shared" si="1"/>
        <v>526</v>
      </c>
      <c r="K22" s="56">
        <v>0.21</v>
      </c>
      <c r="L22" s="56">
        <v>0.13</v>
      </c>
      <c r="M22" s="63">
        <f t="shared" si="2"/>
        <v>0.20979020979020979</v>
      </c>
      <c r="N22" s="60">
        <v>0.13</v>
      </c>
      <c r="O22" s="59">
        <v>0.53759398000000003</v>
      </c>
      <c r="P22" s="59">
        <v>0.57929514999999998</v>
      </c>
    </row>
    <row r="23" spans="1:17" ht="17" thickBot="1" x14ac:dyDescent="0.25">
      <c r="A23" s="71"/>
      <c r="B23" s="74"/>
      <c r="C23" s="75"/>
      <c r="D23" s="55" t="s">
        <v>43</v>
      </c>
      <c r="E23" s="55">
        <v>43</v>
      </c>
      <c r="F23" s="55">
        <v>223</v>
      </c>
      <c r="G23" s="55">
        <f t="shared" si="0"/>
        <v>266</v>
      </c>
      <c r="H23" s="55">
        <v>120</v>
      </c>
      <c r="I23" s="55">
        <v>788</v>
      </c>
      <c r="J23" s="55">
        <f t="shared" si="1"/>
        <v>908</v>
      </c>
      <c r="K23" s="55">
        <v>0.16</v>
      </c>
      <c r="L23" s="55">
        <v>0.13</v>
      </c>
      <c r="M23" s="63">
        <f t="shared" si="2"/>
        <v>0.16165413533834586</v>
      </c>
      <c r="N23" s="60">
        <v>0.13</v>
      </c>
      <c r="O23" s="59"/>
      <c r="P23" s="59"/>
    </row>
    <row r="24" spans="1:17" ht="17" thickBot="1" x14ac:dyDescent="0.25">
      <c r="A24" s="71"/>
      <c r="B24" s="74"/>
      <c r="C24" s="73" t="s">
        <v>44</v>
      </c>
      <c r="D24" s="56" t="s">
        <v>41</v>
      </c>
      <c r="E24" s="56">
        <v>13</v>
      </c>
      <c r="F24" s="56">
        <v>73</v>
      </c>
      <c r="G24" s="55">
        <f t="shared" si="0"/>
        <v>86</v>
      </c>
      <c r="H24" s="56">
        <v>51</v>
      </c>
      <c r="I24" s="56">
        <v>331</v>
      </c>
      <c r="J24" s="55">
        <f t="shared" si="1"/>
        <v>382</v>
      </c>
      <c r="K24" s="56">
        <v>0.15</v>
      </c>
      <c r="L24" s="56">
        <v>0.13</v>
      </c>
      <c r="M24" s="63">
        <f t="shared" si="2"/>
        <v>0.15116279069767441</v>
      </c>
      <c r="N24" s="60">
        <v>0.13</v>
      </c>
      <c r="O24" s="59">
        <f>G24/G25</f>
        <v>0.62773722627737227</v>
      </c>
      <c r="P24" s="59">
        <f>J24/J25</f>
        <v>0.72623574144486691</v>
      </c>
    </row>
    <row r="25" spans="1:17" ht="17" thickBot="1" x14ac:dyDescent="0.25">
      <c r="A25" s="71"/>
      <c r="B25" s="74"/>
      <c r="C25" s="74"/>
      <c r="D25" s="55" t="s">
        <v>42</v>
      </c>
      <c r="E25" s="55">
        <v>20</v>
      </c>
      <c r="F25" s="55">
        <v>117</v>
      </c>
      <c r="G25" s="55">
        <f t="shared" si="0"/>
        <v>137</v>
      </c>
      <c r="H25" s="55">
        <v>69</v>
      </c>
      <c r="I25" s="55">
        <v>457</v>
      </c>
      <c r="J25" s="55">
        <f t="shared" si="1"/>
        <v>526</v>
      </c>
      <c r="K25" s="55">
        <v>0.15</v>
      </c>
      <c r="L25" s="55">
        <v>0.13</v>
      </c>
      <c r="M25" s="63">
        <f t="shared" si="2"/>
        <v>0.145985401459854</v>
      </c>
      <c r="N25" s="60">
        <v>0.13</v>
      </c>
      <c r="O25" s="59">
        <v>0.61434977999999996</v>
      </c>
      <c r="P25" s="59">
        <v>0.57929514999999998</v>
      </c>
    </row>
    <row r="26" spans="1:17" ht="17" thickBot="1" x14ac:dyDescent="0.25">
      <c r="A26" s="71"/>
      <c r="B26" s="74"/>
      <c r="C26" s="75"/>
      <c r="D26" s="56" t="s">
        <v>43</v>
      </c>
      <c r="E26" s="56">
        <v>33</v>
      </c>
      <c r="F26" s="56">
        <v>190</v>
      </c>
      <c r="G26" s="55">
        <f t="shared" si="0"/>
        <v>223</v>
      </c>
      <c r="H26" s="56">
        <v>120</v>
      </c>
      <c r="I26" s="56">
        <v>788</v>
      </c>
      <c r="J26" s="55">
        <f t="shared" si="1"/>
        <v>908</v>
      </c>
      <c r="K26" s="56">
        <v>0.15</v>
      </c>
      <c r="L26" s="56">
        <v>0.13</v>
      </c>
      <c r="M26" s="63">
        <f t="shared" si="2"/>
        <v>0.14798206278026907</v>
      </c>
      <c r="N26" s="60">
        <v>0.13</v>
      </c>
      <c r="O26" s="59"/>
      <c r="P26" s="59"/>
    </row>
    <row r="27" spans="1:17" ht="17" thickBot="1" x14ac:dyDescent="0.25">
      <c r="A27" s="71"/>
      <c r="B27" s="74"/>
      <c r="C27" s="73" t="s">
        <v>114</v>
      </c>
      <c r="D27" s="55" t="s">
        <v>41</v>
      </c>
      <c r="E27" s="55">
        <v>19</v>
      </c>
      <c r="F27" s="55">
        <v>158</v>
      </c>
      <c r="G27" s="55">
        <f t="shared" si="0"/>
        <v>177</v>
      </c>
      <c r="H27" s="55">
        <v>51</v>
      </c>
      <c r="I27" s="55">
        <v>331</v>
      </c>
      <c r="J27" s="55">
        <f t="shared" si="1"/>
        <v>382</v>
      </c>
      <c r="K27" s="55">
        <v>0.11</v>
      </c>
      <c r="L27" s="55">
        <v>0.13</v>
      </c>
      <c r="M27" s="63">
        <f t="shared" si="2"/>
        <v>0.10734463276836158</v>
      </c>
      <c r="N27" s="60">
        <v>0.13</v>
      </c>
      <c r="O27" s="59">
        <v>0.73443983000000002</v>
      </c>
      <c r="P27" s="59">
        <v>0.72623574000000002</v>
      </c>
    </row>
    <row r="28" spans="1:17" ht="17" thickBot="1" x14ac:dyDescent="0.25">
      <c r="A28" s="71"/>
      <c r="B28" s="74"/>
      <c r="C28" s="74"/>
      <c r="D28" s="56" t="s">
        <v>42</v>
      </c>
      <c r="E28" s="56">
        <v>43</v>
      </c>
      <c r="F28" s="56">
        <v>198</v>
      </c>
      <c r="G28" s="55">
        <f t="shared" si="0"/>
        <v>241</v>
      </c>
      <c r="H28" s="56">
        <v>69</v>
      </c>
      <c r="I28" s="56">
        <v>457</v>
      </c>
      <c r="J28" s="55">
        <f t="shared" si="1"/>
        <v>526</v>
      </c>
      <c r="K28" s="56">
        <v>0.18</v>
      </c>
      <c r="L28" s="56">
        <v>0.13</v>
      </c>
      <c r="M28" s="63">
        <f t="shared" si="2"/>
        <v>0.17842323651452283</v>
      </c>
      <c r="N28" s="60">
        <v>0.13</v>
      </c>
      <c r="O28" s="59"/>
      <c r="P28" s="59"/>
      <c r="Q28" t="s">
        <v>124</v>
      </c>
    </row>
    <row r="29" spans="1:17" ht="17" thickBot="1" x14ac:dyDescent="0.25">
      <c r="A29" s="72"/>
      <c r="B29" s="75"/>
      <c r="C29" s="75"/>
      <c r="D29" s="55" t="s">
        <v>43</v>
      </c>
      <c r="E29" s="55">
        <v>62</v>
      </c>
      <c r="F29" s="55">
        <v>356</v>
      </c>
      <c r="G29" s="55">
        <f t="shared" si="0"/>
        <v>418</v>
      </c>
      <c r="H29" s="55">
        <v>120</v>
      </c>
      <c r="I29" s="55">
        <v>788</v>
      </c>
      <c r="J29" s="55">
        <f t="shared" si="1"/>
        <v>908</v>
      </c>
      <c r="K29" s="55">
        <v>0.15</v>
      </c>
      <c r="L29" s="55">
        <v>0.13</v>
      </c>
      <c r="M29" s="63">
        <f t="shared" si="2"/>
        <v>0.14832535885167464</v>
      </c>
      <c r="N29" s="60">
        <v>0.13</v>
      </c>
      <c r="O29" s="59"/>
      <c r="P29" s="59"/>
    </row>
    <row r="30" spans="1:17" s="6" customFormat="1" ht="17" thickBot="1" x14ac:dyDescent="0.25">
      <c r="A30" s="76" t="s">
        <v>15</v>
      </c>
      <c r="B30" s="79" t="s">
        <v>23</v>
      </c>
      <c r="C30" s="79" t="s">
        <v>44</v>
      </c>
      <c r="D30" s="66" t="s">
        <v>41</v>
      </c>
      <c r="E30" s="66">
        <v>37</v>
      </c>
      <c r="F30" s="66">
        <v>112</v>
      </c>
      <c r="G30" s="67">
        <f t="shared" si="0"/>
        <v>149</v>
      </c>
      <c r="H30" s="66">
        <v>218</v>
      </c>
      <c r="I30" s="66">
        <v>1468</v>
      </c>
      <c r="J30" s="67">
        <f t="shared" si="1"/>
        <v>1686</v>
      </c>
      <c r="K30" s="66">
        <v>0.25</v>
      </c>
      <c r="L30" s="66">
        <v>0.13</v>
      </c>
      <c r="M30" s="63">
        <f t="shared" si="2"/>
        <v>0.24832214765100671</v>
      </c>
      <c r="N30" s="68">
        <v>0.13</v>
      </c>
      <c r="O30" s="69">
        <v>3.2391304299999999</v>
      </c>
      <c r="P30" s="69">
        <v>3.21755725</v>
      </c>
    </row>
    <row r="31" spans="1:17" s="6" customFormat="1" ht="17" thickBot="1" x14ac:dyDescent="0.25">
      <c r="A31" s="77"/>
      <c r="B31" s="80"/>
      <c r="C31" s="80"/>
      <c r="D31" s="67" t="s">
        <v>42</v>
      </c>
      <c r="E31" s="67">
        <v>8</v>
      </c>
      <c r="F31" s="67">
        <v>38</v>
      </c>
      <c r="G31" s="67">
        <f t="shared" si="0"/>
        <v>46</v>
      </c>
      <c r="H31" s="67">
        <v>54</v>
      </c>
      <c r="I31" s="67">
        <v>470</v>
      </c>
      <c r="J31" s="67">
        <f t="shared" si="1"/>
        <v>524</v>
      </c>
      <c r="K31" s="67">
        <v>0.17</v>
      </c>
      <c r="L31" s="67">
        <v>0.1</v>
      </c>
      <c r="M31" s="63">
        <f t="shared" si="2"/>
        <v>0.17391304347826086</v>
      </c>
      <c r="N31" s="68">
        <v>0.1</v>
      </c>
      <c r="O31" s="69"/>
      <c r="P31" s="69"/>
    </row>
    <row r="32" spans="1:17" s="6" customFormat="1" ht="17" thickBot="1" x14ac:dyDescent="0.25">
      <c r="A32" s="78"/>
      <c r="B32" s="81"/>
      <c r="C32" s="81"/>
      <c r="D32" s="66" t="s">
        <v>43</v>
      </c>
      <c r="E32" s="66">
        <v>45</v>
      </c>
      <c r="F32" s="66">
        <v>150</v>
      </c>
      <c r="G32" s="67">
        <f t="shared" si="0"/>
        <v>195</v>
      </c>
      <c r="H32" s="66">
        <v>272</v>
      </c>
      <c r="I32" s="66">
        <v>1938</v>
      </c>
      <c r="J32" s="67">
        <f t="shared" si="1"/>
        <v>2210</v>
      </c>
      <c r="K32" s="66">
        <v>0.23</v>
      </c>
      <c r="L32" s="66">
        <v>0.12</v>
      </c>
      <c r="M32" s="63">
        <f t="shared" si="2"/>
        <v>0.23076923076923078</v>
      </c>
      <c r="N32" s="68">
        <v>0.12</v>
      </c>
      <c r="O32" s="69"/>
      <c r="P32" s="69"/>
    </row>
    <row r="33" spans="1:16" s="6" customFormat="1" ht="17" thickBot="1" x14ac:dyDescent="0.25">
      <c r="A33" s="76" t="s">
        <v>117</v>
      </c>
      <c r="B33" s="79" t="s">
        <v>23</v>
      </c>
      <c r="C33" s="79" t="s">
        <v>40</v>
      </c>
      <c r="D33" s="67" t="s">
        <v>41</v>
      </c>
      <c r="E33" s="67">
        <v>19</v>
      </c>
      <c r="F33" s="67">
        <v>189</v>
      </c>
      <c r="G33" s="67">
        <f t="shared" si="0"/>
        <v>208</v>
      </c>
      <c r="H33" s="67" t="s">
        <v>52</v>
      </c>
      <c r="I33" s="67" t="s">
        <v>52</v>
      </c>
      <c r="J33" s="67" t="e">
        <f t="shared" si="1"/>
        <v>#VALUE!</v>
      </c>
      <c r="K33" s="67">
        <v>0.09</v>
      </c>
      <c r="L33" s="67" t="s">
        <v>52</v>
      </c>
      <c r="M33" s="63">
        <f t="shared" si="2"/>
        <v>9.1346153846153841E-2</v>
      </c>
      <c r="N33" s="68" t="e">
        <v>#VALUE!</v>
      </c>
      <c r="O33" s="69">
        <v>3.0144927500000001</v>
      </c>
      <c r="P33" s="69" t="e">
        <v>#VALUE!</v>
      </c>
    </row>
    <row r="34" spans="1:16" s="6" customFormat="1" ht="17" thickBot="1" x14ac:dyDescent="0.25">
      <c r="A34" s="77"/>
      <c r="B34" s="80"/>
      <c r="C34" s="80"/>
      <c r="D34" s="66" t="s">
        <v>42</v>
      </c>
      <c r="E34" s="66">
        <v>3</v>
      </c>
      <c r="F34" s="66">
        <v>66</v>
      </c>
      <c r="G34" s="67">
        <f t="shared" si="0"/>
        <v>69</v>
      </c>
      <c r="H34" s="66" t="s">
        <v>52</v>
      </c>
      <c r="I34" s="66" t="s">
        <v>52</v>
      </c>
      <c r="J34" s="67" t="e">
        <f t="shared" si="1"/>
        <v>#VALUE!</v>
      </c>
      <c r="K34" s="66" t="s">
        <v>52</v>
      </c>
      <c r="L34" s="66" t="s">
        <v>52</v>
      </c>
      <c r="M34" s="63">
        <f t="shared" si="2"/>
        <v>4.3478260869565216E-2</v>
      </c>
      <c r="N34" s="68" t="e">
        <v>#VALUE!</v>
      </c>
      <c r="O34" s="69"/>
      <c r="P34" s="69"/>
    </row>
    <row r="35" spans="1:16" s="6" customFormat="1" ht="17" thickBot="1" x14ac:dyDescent="0.25">
      <c r="A35" s="78"/>
      <c r="B35" s="81"/>
      <c r="C35" s="81"/>
      <c r="D35" s="67" t="s">
        <v>43</v>
      </c>
      <c r="E35" s="67">
        <v>22</v>
      </c>
      <c r="F35" s="67">
        <v>255</v>
      </c>
      <c r="G35" s="67">
        <f t="shared" si="0"/>
        <v>277</v>
      </c>
      <c r="H35" s="67" t="s">
        <v>52</v>
      </c>
      <c r="I35" s="67" t="s">
        <v>52</v>
      </c>
      <c r="J35" s="67" t="e">
        <f t="shared" si="1"/>
        <v>#VALUE!</v>
      </c>
      <c r="K35" s="67">
        <v>0.08</v>
      </c>
      <c r="L35" s="67" t="s">
        <v>52</v>
      </c>
      <c r="M35" s="63">
        <f t="shared" si="2"/>
        <v>7.9422382671480149E-2</v>
      </c>
      <c r="N35" s="68" t="e">
        <v>#VALUE!</v>
      </c>
      <c r="O35" s="69"/>
      <c r="P35" s="69"/>
    </row>
    <row r="36" spans="1:16" ht="17" thickBot="1" x14ac:dyDescent="0.25">
      <c r="A36" s="70" t="s">
        <v>118</v>
      </c>
      <c r="B36" s="73" t="s">
        <v>23</v>
      </c>
      <c r="C36" s="73" t="s">
        <v>40</v>
      </c>
      <c r="D36" s="56" t="s">
        <v>41</v>
      </c>
      <c r="E36" s="56">
        <v>16</v>
      </c>
      <c r="F36" s="56">
        <v>137</v>
      </c>
      <c r="G36" s="55">
        <f t="shared" si="0"/>
        <v>153</v>
      </c>
      <c r="H36" s="56">
        <v>4</v>
      </c>
      <c r="I36" s="56">
        <v>33</v>
      </c>
      <c r="J36" s="55">
        <f t="shared" si="1"/>
        <v>37</v>
      </c>
      <c r="K36" s="56">
        <v>0.1</v>
      </c>
      <c r="L36" s="56" t="s">
        <v>52</v>
      </c>
      <c r="M36" s="63">
        <f t="shared" si="2"/>
        <v>0.10457516339869281</v>
      </c>
      <c r="N36" s="60">
        <v>0.11</v>
      </c>
      <c r="O36" s="59">
        <v>1.86585366</v>
      </c>
      <c r="P36" s="59">
        <v>1.85</v>
      </c>
    </row>
    <row r="37" spans="1:16" ht="17" thickBot="1" x14ac:dyDescent="0.25">
      <c r="A37" s="71"/>
      <c r="B37" s="74"/>
      <c r="C37" s="74"/>
      <c r="D37" s="55" t="s">
        <v>42</v>
      </c>
      <c r="E37" s="55">
        <v>12</v>
      </c>
      <c r="F37" s="55">
        <v>70</v>
      </c>
      <c r="G37" s="55">
        <f t="shared" si="0"/>
        <v>82</v>
      </c>
      <c r="H37" s="55">
        <v>3</v>
      </c>
      <c r="I37" s="55">
        <v>17</v>
      </c>
      <c r="J37" s="55">
        <f t="shared" si="1"/>
        <v>20</v>
      </c>
      <c r="K37" s="55">
        <v>0.15</v>
      </c>
      <c r="L37" s="55" t="s">
        <v>52</v>
      </c>
      <c r="M37" s="63">
        <f t="shared" si="2"/>
        <v>0.14634146341463414</v>
      </c>
      <c r="N37" s="60">
        <v>0.15</v>
      </c>
      <c r="O37" s="59"/>
      <c r="P37" s="59"/>
    </row>
    <row r="38" spans="1:16" ht="17" thickBot="1" x14ac:dyDescent="0.25">
      <c r="A38" s="72"/>
      <c r="B38" s="75"/>
      <c r="C38" s="75"/>
      <c r="D38" s="56" t="s">
        <v>43</v>
      </c>
      <c r="E38" s="56">
        <v>28</v>
      </c>
      <c r="F38" s="56">
        <v>207</v>
      </c>
      <c r="G38" s="55">
        <f t="shared" si="0"/>
        <v>235</v>
      </c>
      <c r="H38" s="56">
        <v>7</v>
      </c>
      <c r="I38" s="56">
        <v>50</v>
      </c>
      <c r="J38" s="55">
        <f t="shared" si="1"/>
        <v>57</v>
      </c>
      <c r="K38" s="56">
        <v>0.12</v>
      </c>
      <c r="L38" s="56">
        <v>0.12</v>
      </c>
      <c r="M38" s="63">
        <f t="shared" si="2"/>
        <v>0.11914893617021277</v>
      </c>
      <c r="N38" s="60">
        <v>0.12</v>
      </c>
      <c r="O38" s="59"/>
      <c r="P38" s="59"/>
    </row>
    <row r="39" spans="1:16" ht="17" thickBot="1" x14ac:dyDescent="0.25">
      <c r="A39" s="70" t="s">
        <v>16</v>
      </c>
      <c r="B39" s="73" t="s">
        <v>23</v>
      </c>
      <c r="C39" s="73" t="s">
        <v>40</v>
      </c>
      <c r="D39" s="55" t="s">
        <v>41</v>
      </c>
      <c r="E39" s="55">
        <v>24</v>
      </c>
      <c r="F39" s="55">
        <v>181</v>
      </c>
      <c r="G39" s="55">
        <f t="shared" si="0"/>
        <v>205</v>
      </c>
      <c r="H39" s="55">
        <v>218</v>
      </c>
      <c r="I39" s="55">
        <v>1468</v>
      </c>
      <c r="J39" s="55">
        <f t="shared" si="1"/>
        <v>1686</v>
      </c>
      <c r="K39" s="55">
        <v>0.12</v>
      </c>
      <c r="L39" s="55">
        <v>0.13</v>
      </c>
      <c r="M39" s="63">
        <f t="shared" si="2"/>
        <v>0.11707317073170732</v>
      </c>
      <c r="N39" s="60">
        <v>0.13</v>
      </c>
      <c r="O39" s="59">
        <v>2.1134020599999999</v>
      </c>
      <c r="P39" s="59">
        <v>2.0996264</v>
      </c>
    </row>
    <row r="40" spans="1:16" ht="17" thickBot="1" x14ac:dyDescent="0.25">
      <c r="A40" s="71"/>
      <c r="B40" s="74"/>
      <c r="C40" s="74"/>
      <c r="D40" s="56" t="s">
        <v>42</v>
      </c>
      <c r="E40" s="56">
        <v>16</v>
      </c>
      <c r="F40" s="56">
        <v>81</v>
      </c>
      <c r="G40" s="55">
        <f t="shared" si="0"/>
        <v>97</v>
      </c>
      <c r="H40" s="56">
        <v>79</v>
      </c>
      <c r="I40" s="56">
        <v>724</v>
      </c>
      <c r="J40" s="55">
        <f t="shared" si="1"/>
        <v>803</v>
      </c>
      <c r="K40" s="56">
        <v>0.16</v>
      </c>
      <c r="L40" s="56">
        <v>0.1</v>
      </c>
      <c r="M40" s="63">
        <f t="shared" si="2"/>
        <v>0.16494845360824742</v>
      </c>
      <c r="N40" s="60">
        <v>0.1</v>
      </c>
      <c r="O40" s="59"/>
      <c r="P40" s="59"/>
    </row>
    <row r="41" spans="1:16" ht="17" thickBot="1" x14ac:dyDescent="0.25">
      <c r="A41" s="72"/>
      <c r="B41" s="75"/>
      <c r="C41" s="75"/>
      <c r="D41" s="55" t="s">
        <v>43</v>
      </c>
      <c r="E41" s="55">
        <v>40</v>
      </c>
      <c r="F41" s="55">
        <v>262</v>
      </c>
      <c r="G41" s="55">
        <f t="shared" si="0"/>
        <v>302</v>
      </c>
      <c r="H41" s="55">
        <v>297</v>
      </c>
      <c r="I41" s="55">
        <v>2192</v>
      </c>
      <c r="J41" s="55">
        <f t="shared" si="1"/>
        <v>2489</v>
      </c>
      <c r="K41" s="55">
        <v>0.13</v>
      </c>
      <c r="L41" s="55">
        <v>0.12</v>
      </c>
      <c r="M41" s="63">
        <f t="shared" si="2"/>
        <v>0.13245033112582782</v>
      </c>
      <c r="N41" s="60">
        <v>0.12</v>
      </c>
      <c r="O41" s="59"/>
      <c r="P41" s="59"/>
    </row>
    <row r="42" spans="1:16" ht="17" thickBot="1" x14ac:dyDescent="0.25">
      <c r="A42" s="70" t="s">
        <v>51</v>
      </c>
      <c r="B42" s="73" t="s">
        <v>23</v>
      </c>
      <c r="C42" s="73" t="s">
        <v>40</v>
      </c>
      <c r="D42" s="56" t="s">
        <v>41</v>
      </c>
      <c r="E42" s="56">
        <v>11</v>
      </c>
      <c r="F42" s="56">
        <v>25</v>
      </c>
      <c r="G42" s="55">
        <f t="shared" si="0"/>
        <v>36</v>
      </c>
      <c r="H42" s="56">
        <v>8</v>
      </c>
      <c r="I42" s="56">
        <v>30</v>
      </c>
      <c r="J42" s="55">
        <f t="shared" si="1"/>
        <v>38</v>
      </c>
      <c r="K42" s="56"/>
      <c r="L42" s="56"/>
      <c r="M42" s="63">
        <f t="shared" si="2"/>
        <v>0.30555555555555558</v>
      </c>
      <c r="N42" s="60">
        <f>H42/J42</f>
        <v>0.21052631578947367</v>
      </c>
      <c r="O42" s="59">
        <f>G42/G43</f>
        <v>2.5714285714285716</v>
      </c>
      <c r="P42" s="59">
        <f>J42/J43</f>
        <v>2.1111111111111112</v>
      </c>
    </row>
    <row r="43" spans="1:16" ht="17" thickBot="1" x14ac:dyDescent="0.25">
      <c r="A43" s="71"/>
      <c r="B43" s="74"/>
      <c r="C43" s="74"/>
      <c r="D43" s="55" t="s">
        <v>42</v>
      </c>
      <c r="E43" s="55">
        <v>3</v>
      </c>
      <c r="F43" s="55">
        <v>11</v>
      </c>
      <c r="G43" s="55">
        <f t="shared" si="0"/>
        <v>14</v>
      </c>
      <c r="H43" s="58">
        <v>1</v>
      </c>
      <c r="I43" s="58">
        <v>17</v>
      </c>
      <c r="J43" s="55">
        <f t="shared" si="1"/>
        <v>18</v>
      </c>
      <c r="K43" s="55"/>
      <c r="L43" s="55"/>
      <c r="M43" s="63" t="s">
        <v>52</v>
      </c>
      <c r="N43" s="60" t="s">
        <v>52</v>
      </c>
      <c r="O43" s="59"/>
      <c r="P43" s="59"/>
    </row>
    <row r="44" spans="1:16" ht="17" thickBot="1" x14ac:dyDescent="0.25">
      <c r="A44" s="71"/>
      <c r="B44" s="74"/>
      <c r="C44" s="75"/>
      <c r="D44" s="56" t="s">
        <v>43</v>
      </c>
      <c r="E44" s="58">
        <f>SUM(E42:E43)</f>
        <v>14</v>
      </c>
      <c r="F44" s="58">
        <f>SUM(F42:F43)</f>
        <v>36</v>
      </c>
      <c r="G44" s="58">
        <f t="shared" si="0"/>
        <v>50</v>
      </c>
      <c r="H44" s="58">
        <f>SUM(H42:H43)</f>
        <v>9</v>
      </c>
      <c r="I44" s="58">
        <f>SUM(I42:I43)</f>
        <v>47</v>
      </c>
      <c r="J44" s="58">
        <f t="shared" si="1"/>
        <v>56</v>
      </c>
      <c r="K44" s="56"/>
      <c r="L44" s="56"/>
      <c r="M44" s="63">
        <f t="shared" si="2"/>
        <v>0.28000000000000003</v>
      </c>
      <c r="N44" s="60">
        <f>H44/J44</f>
        <v>0.16071428571428573</v>
      </c>
      <c r="O44" s="59"/>
      <c r="P44" s="59"/>
    </row>
    <row r="45" spans="1:16" ht="17" thickBot="1" x14ac:dyDescent="0.25">
      <c r="A45" s="71"/>
      <c r="B45" s="74"/>
      <c r="C45" s="73" t="s">
        <v>44</v>
      </c>
      <c r="D45" s="55" t="s">
        <v>41</v>
      </c>
      <c r="E45" s="55">
        <v>8</v>
      </c>
      <c r="F45" s="55">
        <v>18</v>
      </c>
      <c r="G45" s="58">
        <f t="shared" si="0"/>
        <v>26</v>
      </c>
      <c r="H45" s="56">
        <v>8</v>
      </c>
      <c r="I45" s="56">
        <v>30</v>
      </c>
      <c r="J45" s="58">
        <f t="shared" si="1"/>
        <v>38</v>
      </c>
      <c r="K45" s="55"/>
      <c r="L45" s="55"/>
      <c r="M45" s="63">
        <f t="shared" si="2"/>
        <v>0.30769230769230771</v>
      </c>
      <c r="N45" s="60">
        <f t="shared" ref="N43:N50" si="5">H45/J45</f>
        <v>0.21052631578947367</v>
      </c>
      <c r="O45" s="59">
        <f>G45/G46</f>
        <v>2</v>
      </c>
      <c r="P45" s="59">
        <f>J45/J46</f>
        <v>2.1111111111111112</v>
      </c>
    </row>
    <row r="46" spans="1:16" ht="17" thickBot="1" x14ac:dyDescent="0.25">
      <c r="A46" s="71"/>
      <c r="B46" s="74"/>
      <c r="C46" s="74"/>
      <c r="D46" s="56" t="s">
        <v>42</v>
      </c>
      <c r="E46" s="56">
        <v>1</v>
      </c>
      <c r="F46" s="56">
        <v>12</v>
      </c>
      <c r="G46" s="58">
        <f t="shared" si="0"/>
        <v>13</v>
      </c>
      <c r="H46" s="58">
        <v>1</v>
      </c>
      <c r="I46" s="58">
        <v>17</v>
      </c>
      <c r="J46" s="58">
        <f t="shared" si="1"/>
        <v>18</v>
      </c>
      <c r="K46" s="56"/>
      <c r="L46" s="56"/>
      <c r="M46" s="63" t="s">
        <v>52</v>
      </c>
      <c r="N46" s="60" t="s">
        <v>52</v>
      </c>
      <c r="O46" s="59"/>
      <c r="P46" s="59"/>
    </row>
    <row r="47" spans="1:16" ht="17" thickBot="1" x14ac:dyDescent="0.25">
      <c r="A47" s="71"/>
      <c r="B47" s="74"/>
      <c r="C47" s="75"/>
      <c r="D47" s="55" t="s">
        <v>43</v>
      </c>
      <c r="E47" s="55">
        <f>SUM(E45:E46)</f>
        <v>9</v>
      </c>
      <c r="F47" s="58">
        <f>SUM(F45:F46)</f>
        <v>30</v>
      </c>
      <c r="G47" s="58">
        <f t="shared" si="0"/>
        <v>39</v>
      </c>
      <c r="H47" s="58">
        <f>SUM(H45:H46)</f>
        <v>9</v>
      </c>
      <c r="I47" s="58">
        <f>SUM(I45:I46)</f>
        <v>47</v>
      </c>
      <c r="J47" s="58">
        <f t="shared" si="1"/>
        <v>56</v>
      </c>
      <c r="K47" s="55"/>
      <c r="L47" s="55"/>
      <c r="M47" s="63">
        <f t="shared" si="2"/>
        <v>0.23076923076923078</v>
      </c>
      <c r="N47" s="60">
        <f t="shared" si="5"/>
        <v>0.16071428571428573</v>
      </c>
      <c r="O47" s="59"/>
      <c r="P47" s="59"/>
    </row>
    <row r="48" spans="1:16" ht="17" thickBot="1" x14ac:dyDescent="0.25">
      <c r="A48" s="71"/>
      <c r="B48" s="74"/>
      <c r="C48" s="73" t="s">
        <v>114</v>
      </c>
      <c r="D48" s="56" t="s">
        <v>41</v>
      </c>
      <c r="E48" s="56">
        <v>15</v>
      </c>
      <c r="F48" s="56">
        <v>34</v>
      </c>
      <c r="G48" s="58">
        <f t="shared" si="0"/>
        <v>49</v>
      </c>
      <c r="H48" s="56">
        <v>8</v>
      </c>
      <c r="I48" s="56">
        <v>30</v>
      </c>
      <c r="J48" s="58">
        <f t="shared" si="1"/>
        <v>38</v>
      </c>
      <c r="K48" s="56"/>
      <c r="L48" s="56"/>
      <c r="M48" s="63">
        <f t="shared" si="2"/>
        <v>0.30612244897959184</v>
      </c>
      <c r="N48" s="60">
        <f t="shared" si="5"/>
        <v>0.21052631578947367</v>
      </c>
      <c r="O48" s="59">
        <f>G48/G49</f>
        <v>2.1304347826086958</v>
      </c>
      <c r="P48" s="59">
        <f>J48/J49</f>
        <v>2.1111111111111112</v>
      </c>
    </row>
    <row r="49" spans="1:16" ht="17" thickBot="1" x14ac:dyDescent="0.25">
      <c r="A49" s="71"/>
      <c r="B49" s="74"/>
      <c r="C49" s="74"/>
      <c r="D49" s="55" t="s">
        <v>42</v>
      </c>
      <c r="E49" s="55">
        <v>4</v>
      </c>
      <c r="F49" s="55">
        <v>19</v>
      </c>
      <c r="G49" s="58">
        <f t="shared" si="0"/>
        <v>23</v>
      </c>
      <c r="H49" s="58">
        <v>1</v>
      </c>
      <c r="I49" s="58">
        <v>17</v>
      </c>
      <c r="J49" s="58">
        <f t="shared" si="1"/>
        <v>18</v>
      </c>
      <c r="K49" s="55"/>
      <c r="L49" s="55"/>
      <c r="M49" s="63" t="s">
        <v>52</v>
      </c>
      <c r="N49" s="60" t="s">
        <v>52</v>
      </c>
      <c r="O49" s="59"/>
      <c r="P49" s="59"/>
    </row>
    <row r="50" spans="1:16" ht="17" thickBot="1" x14ac:dyDescent="0.25">
      <c r="A50" s="72"/>
      <c r="B50" s="75"/>
      <c r="C50" s="75"/>
      <c r="D50" s="56" t="s">
        <v>43</v>
      </c>
      <c r="E50" s="58">
        <f>SUM(E48:E49)</f>
        <v>19</v>
      </c>
      <c r="F50" s="58">
        <f>SUM(F48:F49)</f>
        <v>53</v>
      </c>
      <c r="G50" s="58">
        <f t="shared" si="0"/>
        <v>72</v>
      </c>
      <c r="H50" s="58">
        <f>SUM(H48:H49)</f>
        <v>9</v>
      </c>
      <c r="I50" s="58">
        <f>SUM(I48:I49)</f>
        <v>47</v>
      </c>
      <c r="J50" s="58">
        <f t="shared" si="1"/>
        <v>56</v>
      </c>
      <c r="K50" s="56"/>
      <c r="L50" s="56"/>
      <c r="M50" s="63">
        <f>E50/G50</f>
        <v>0.2638888888888889</v>
      </c>
      <c r="N50" s="60">
        <f t="shared" si="5"/>
        <v>0.16071428571428573</v>
      </c>
      <c r="O50" s="59"/>
      <c r="P50" s="59"/>
    </row>
    <row r="51" spans="1:16" x14ac:dyDescent="0.2">
      <c r="A51" s="61"/>
      <c r="B51" s="59"/>
      <c r="C51" s="59"/>
      <c r="D51" s="59"/>
      <c r="E51" s="59"/>
      <c r="F51" s="59"/>
      <c r="G51" s="59"/>
      <c r="H51" s="59"/>
      <c r="I51" s="59"/>
      <c r="J51" s="59"/>
      <c r="K51" s="59"/>
      <c r="L51" s="59"/>
      <c r="M51" s="60"/>
      <c r="N51" s="60"/>
      <c r="O51" s="59"/>
      <c r="P51" s="59"/>
    </row>
    <row r="52" spans="1:16" x14ac:dyDescent="0.2">
      <c r="A52" s="59"/>
      <c r="B52" s="59"/>
      <c r="C52" s="59"/>
      <c r="D52" s="59"/>
      <c r="E52" s="59"/>
      <c r="F52" s="59"/>
      <c r="G52" s="59"/>
      <c r="H52" s="59"/>
      <c r="I52" s="59"/>
      <c r="J52" s="59"/>
      <c r="K52" s="59"/>
      <c r="L52" s="59"/>
      <c r="M52" s="59"/>
      <c r="N52" s="59"/>
      <c r="O52" s="59"/>
      <c r="P52" s="59"/>
    </row>
    <row r="53" spans="1:16" x14ac:dyDescent="0.2">
      <c r="A53" s="59"/>
      <c r="B53" s="59"/>
      <c r="C53" s="59" t="s">
        <v>126</v>
      </c>
      <c r="D53" s="59">
        <f>SUM(G11,G14,G17,G20,G29,G32,G35,G38,G41,G50)</f>
        <v>2462</v>
      </c>
      <c r="E53" s="59"/>
      <c r="F53" s="59"/>
      <c r="G53" s="59"/>
      <c r="H53" s="59"/>
      <c r="I53" s="59"/>
      <c r="J53" s="59"/>
      <c r="K53" s="59"/>
      <c r="L53" s="59"/>
      <c r="M53" s="59"/>
      <c r="N53" s="59"/>
      <c r="O53" s="59"/>
      <c r="P53" s="59"/>
    </row>
    <row r="54" spans="1:16" x14ac:dyDescent="0.2">
      <c r="A54" s="59"/>
      <c r="B54" s="59"/>
      <c r="C54" s="59" t="s">
        <v>127</v>
      </c>
      <c r="D54" s="59">
        <f>SUM(J11,J14,J17,J20,J29,J38,J50)</f>
        <v>6133</v>
      </c>
      <c r="E54" s="59"/>
      <c r="F54" s="59"/>
      <c r="G54" s="59"/>
      <c r="H54" s="59"/>
      <c r="I54" s="59"/>
      <c r="J54" s="59"/>
      <c r="K54" s="59"/>
      <c r="L54" s="59"/>
      <c r="M54" s="59"/>
      <c r="N54" s="59"/>
      <c r="O54" s="59"/>
      <c r="P54" s="59"/>
    </row>
    <row r="55" spans="1:16" x14ac:dyDescent="0.2">
      <c r="C55" t="s">
        <v>128</v>
      </c>
      <c r="D55">
        <f>D54+D53</f>
        <v>8595</v>
      </c>
    </row>
  </sheetData>
  <mergeCells count="43">
    <mergeCell ref="K1:L1"/>
    <mergeCell ref="A3:A11"/>
    <mergeCell ref="B3:B11"/>
    <mergeCell ref="C3:C5"/>
    <mergeCell ref="C6:C8"/>
    <mergeCell ref="C9:C11"/>
    <mergeCell ref="A1:A2"/>
    <mergeCell ref="B1:B2"/>
    <mergeCell ref="C1:C2"/>
    <mergeCell ref="D1:D2"/>
    <mergeCell ref="E1:F1"/>
    <mergeCell ref="H1:I1"/>
    <mergeCell ref="A12:A14"/>
    <mergeCell ref="B12:B14"/>
    <mergeCell ref="C12:C14"/>
    <mergeCell ref="A15:A17"/>
    <mergeCell ref="B15:B17"/>
    <mergeCell ref="C15:C17"/>
    <mergeCell ref="A18:A20"/>
    <mergeCell ref="B18:B20"/>
    <mergeCell ref="C18:C20"/>
    <mergeCell ref="A21:A29"/>
    <mergeCell ref="B21:B29"/>
    <mergeCell ref="C21:C23"/>
    <mergeCell ref="C24:C26"/>
    <mergeCell ref="C27:C29"/>
    <mergeCell ref="A30:A32"/>
    <mergeCell ref="B30:B32"/>
    <mergeCell ref="C30:C32"/>
    <mergeCell ref="A33:A35"/>
    <mergeCell ref="B33:B35"/>
    <mergeCell ref="C33:C35"/>
    <mergeCell ref="A36:A38"/>
    <mergeCell ref="B36:B38"/>
    <mergeCell ref="C36:C38"/>
    <mergeCell ref="A39:A41"/>
    <mergeCell ref="B39:B41"/>
    <mergeCell ref="C39:C41"/>
    <mergeCell ref="A42:A50"/>
    <mergeCell ref="B42:B50"/>
    <mergeCell ref="C42:C44"/>
    <mergeCell ref="C45:C47"/>
    <mergeCell ref="C48:C50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FD4EF-D9A0-0343-BCD6-A4E5B7B26028}">
  <dimension ref="A1:U38"/>
  <sheetViews>
    <sheetView workbookViewId="0">
      <selection activeCell="E32" sqref="E32"/>
    </sheetView>
  </sheetViews>
  <sheetFormatPr baseColWidth="10" defaultRowHeight="16" x14ac:dyDescent="0.2"/>
  <sheetData>
    <row r="1" spans="1:21" x14ac:dyDescent="0.2">
      <c r="A1" s="11">
        <v>1.24</v>
      </c>
      <c r="B1" s="11" t="s">
        <v>69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</row>
    <row r="2" spans="1:21" x14ac:dyDescent="0.2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</row>
    <row r="3" spans="1:21" x14ac:dyDescent="0.2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</row>
    <row r="4" spans="1:21" x14ac:dyDescent="0.2">
      <c r="A4" s="11"/>
      <c r="B4" s="11" t="s">
        <v>70</v>
      </c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</row>
    <row r="5" spans="1:21" ht="18" x14ac:dyDescent="0.2">
      <c r="A5" s="11"/>
      <c r="B5" s="12" t="s">
        <v>71</v>
      </c>
      <c r="C5" s="12">
        <v>1</v>
      </c>
      <c r="D5" s="12">
        <v>2</v>
      </c>
      <c r="E5" s="12">
        <v>3</v>
      </c>
      <c r="F5" s="12">
        <v>4</v>
      </c>
      <c r="G5" s="12">
        <v>5</v>
      </c>
      <c r="H5" s="12" t="s">
        <v>72</v>
      </c>
      <c r="I5" s="13" t="s">
        <v>73</v>
      </c>
      <c r="J5" s="11"/>
      <c r="K5" s="11"/>
      <c r="L5" s="90" t="s">
        <v>106</v>
      </c>
      <c r="M5" s="90"/>
      <c r="N5" s="90"/>
      <c r="O5" s="90" t="s">
        <v>107</v>
      </c>
      <c r="P5" s="90"/>
      <c r="Q5" s="11" t="s">
        <v>74</v>
      </c>
    </row>
    <row r="6" spans="1:21" ht="18" x14ac:dyDescent="0.2">
      <c r="A6" s="11"/>
      <c r="B6" s="13" t="s">
        <v>75</v>
      </c>
      <c r="C6" s="13"/>
      <c r="D6" s="13"/>
      <c r="E6" s="13"/>
      <c r="F6" s="11"/>
      <c r="G6" s="11"/>
      <c r="H6" s="11"/>
      <c r="I6" s="11"/>
      <c r="J6" s="11"/>
      <c r="K6" s="14" t="s">
        <v>103</v>
      </c>
      <c r="L6" s="14">
        <v>1</v>
      </c>
      <c r="M6" s="14">
        <v>2</v>
      </c>
      <c r="N6" s="14">
        <v>3</v>
      </c>
      <c r="O6" s="14">
        <v>4</v>
      </c>
      <c r="P6" s="14">
        <v>5</v>
      </c>
      <c r="Q6" s="11"/>
    </row>
    <row r="7" spans="1:21" ht="18" x14ac:dyDescent="0.2">
      <c r="A7" s="11"/>
      <c r="B7" s="15" t="s">
        <v>76</v>
      </c>
      <c r="C7" s="16">
        <v>4.4000000000000004</v>
      </c>
      <c r="D7" s="15">
        <v>6.7</v>
      </c>
      <c r="E7" s="15">
        <v>11.3</v>
      </c>
      <c r="F7" s="15">
        <v>7.6</v>
      </c>
      <c r="G7" s="15">
        <v>3.2</v>
      </c>
      <c r="H7" s="15">
        <v>3.8</v>
      </c>
      <c r="I7" s="15">
        <v>4213</v>
      </c>
      <c r="J7" s="11"/>
      <c r="K7" s="11" t="s">
        <v>71</v>
      </c>
      <c r="L7" s="18">
        <v>579</v>
      </c>
      <c r="M7" s="18">
        <v>78</v>
      </c>
      <c r="N7" s="18">
        <v>88</v>
      </c>
      <c r="O7" s="18">
        <v>582</v>
      </c>
      <c r="P7" s="18">
        <v>2855</v>
      </c>
      <c r="Q7" s="18">
        <v>4181</v>
      </c>
    </row>
    <row r="8" spans="1:21" ht="18" x14ac:dyDescent="0.2">
      <c r="A8" s="11"/>
      <c r="B8" s="15" t="s">
        <v>77</v>
      </c>
      <c r="C8" s="15">
        <v>95.6</v>
      </c>
      <c r="D8" s="15">
        <v>93.3</v>
      </c>
      <c r="E8" s="15">
        <v>88.7</v>
      </c>
      <c r="F8" s="15">
        <v>92.4</v>
      </c>
      <c r="G8" s="15">
        <v>96.6</v>
      </c>
      <c r="H8" s="15">
        <v>96.2</v>
      </c>
      <c r="I8" s="19">
        <v>107755</v>
      </c>
      <c r="J8" s="11"/>
      <c r="K8" s="11" t="s">
        <v>104</v>
      </c>
      <c r="L8" s="18">
        <v>12591</v>
      </c>
      <c r="M8" s="18">
        <v>1079</v>
      </c>
      <c r="N8" s="18">
        <v>689</v>
      </c>
      <c r="O8" s="18">
        <v>7071</v>
      </c>
      <c r="P8" s="18">
        <v>86178</v>
      </c>
      <c r="Q8" s="18">
        <v>107608</v>
      </c>
    </row>
    <row r="9" spans="1:21" ht="18" x14ac:dyDescent="0.2">
      <c r="A9" s="11"/>
      <c r="B9" s="20" t="s">
        <v>73</v>
      </c>
      <c r="C9" s="19">
        <v>13170</v>
      </c>
      <c r="D9" s="15">
        <v>1157</v>
      </c>
      <c r="E9" s="15">
        <v>777</v>
      </c>
      <c r="F9" s="15">
        <v>7653</v>
      </c>
      <c r="G9" s="19">
        <v>89211</v>
      </c>
      <c r="H9" s="15"/>
      <c r="I9" s="19">
        <v>111968</v>
      </c>
      <c r="J9" s="11"/>
      <c r="K9" s="11" t="s">
        <v>78</v>
      </c>
      <c r="L9" s="18">
        <f>SUM(L7:N7)</f>
        <v>745</v>
      </c>
      <c r="M9" s="11"/>
      <c r="N9" s="11"/>
      <c r="O9" s="11" t="s">
        <v>79</v>
      </c>
      <c r="P9" s="18">
        <f>SUM(L8:N8)</f>
        <v>14359</v>
      </c>
      <c r="Q9" s="11"/>
    </row>
    <row r="10" spans="1:21" ht="18" x14ac:dyDescent="0.2">
      <c r="A10" s="11"/>
      <c r="B10" s="20"/>
      <c r="C10" s="19"/>
      <c r="D10" s="15"/>
      <c r="E10" s="15"/>
      <c r="F10" s="15"/>
      <c r="G10" s="19"/>
      <c r="H10" s="15"/>
      <c r="I10" s="19"/>
      <c r="J10" s="11"/>
      <c r="K10" s="11" t="s">
        <v>80</v>
      </c>
      <c r="L10" s="18">
        <f>SUM(O7:P7)</f>
        <v>3437</v>
      </c>
      <c r="M10" s="11"/>
      <c r="N10" s="11"/>
      <c r="O10" s="11" t="s">
        <v>81</v>
      </c>
      <c r="P10" s="18">
        <f>SUM(O8:P8)</f>
        <v>93249</v>
      </c>
      <c r="Q10" s="11"/>
    </row>
    <row r="11" spans="1:21" ht="18" x14ac:dyDescent="0.2">
      <c r="A11" s="11"/>
      <c r="B11" s="13" t="s">
        <v>85</v>
      </c>
      <c r="C11" s="13"/>
      <c r="D11" s="13"/>
      <c r="E11" s="13"/>
      <c r="F11" s="11"/>
      <c r="G11" s="11"/>
      <c r="H11" s="11"/>
      <c r="I11" s="11"/>
      <c r="J11" s="11"/>
      <c r="K11" s="11"/>
      <c r="L11" s="90" t="s">
        <v>106</v>
      </c>
      <c r="M11" s="90"/>
      <c r="N11" s="90"/>
      <c r="O11" s="90" t="s">
        <v>107</v>
      </c>
      <c r="P11" s="90"/>
      <c r="Q11" s="11" t="s">
        <v>74</v>
      </c>
    </row>
    <row r="12" spans="1:21" ht="18" x14ac:dyDescent="0.2">
      <c r="A12" s="11"/>
      <c r="B12" s="15" t="s">
        <v>76</v>
      </c>
      <c r="C12" s="15">
        <v>3.7</v>
      </c>
      <c r="D12" s="15">
        <v>6.4</v>
      </c>
      <c r="E12" s="15">
        <v>11.3</v>
      </c>
      <c r="F12" s="15">
        <v>5.8</v>
      </c>
      <c r="G12" s="15">
        <v>2.4</v>
      </c>
      <c r="H12" s="15">
        <v>2.9</v>
      </c>
      <c r="I12" s="15">
        <v>2955</v>
      </c>
      <c r="J12" s="11"/>
      <c r="K12" s="1" t="s">
        <v>109</v>
      </c>
      <c r="L12" s="14">
        <v>1</v>
      </c>
      <c r="M12" s="14">
        <v>2</v>
      </c>
      <c r="N12" s="14">
        <v>3</v>
      </c>
      <c r="O12" s="14">
        <v>4</v>
      </c>
      <c r="P12" s="14">
        <v>5</v>
      </c>
      <c r="Q12" s="11"/>
      <c r="R12" s="11" t="s">
        <v>82</v>
      </c>
      <c r="S12" s="11">
        <f>L9/L10</f>
        <v>0.21675880128018621</v>
      </c>
      <c r="T12" s="11" t="s">
        <v>83</v>
      </c>
      <c r="U12" s="11">
        <f>P9/P10</f>
        <v>0.15398556552885287</v>
      </c>
    </row>
    <row r="13" spans="1:21" ht="18" x14ac:dyDescent="0.2">
      <c r="A13" s="11"/>
      <c r="B13" s="15" t="s">
        <v>77</v>
      </c>
      <c r="C13" s="15">
        <v>96.3</v>
      </c>
      <c r="D13" s="15">
        <v>93.6</v>
      </c>
      <c r="E13" s="15">
        <v>88.7</v>
      </c>
      <c r="F13" s="15">
        <v>94.2</v>
      </c>
      <c r="G13" s="15">
        <v>97.6</v>
      </c>
      <c r="H13" s="15">
        <v>97.1</v>
      </c>
      <c r="I13" s="19">
        <v>98662</v>
      </c>
      <c r="J13" s="11"/>
      <c r="K13" s="11" t="s">
        <v>71</v>
      </c>
      <c r="L13" s="18">
        <v>366</v>
      </c>
      <c r="M13" s="18">
        <v>55</v>
      </c>
      <c r="N13" s="18">
        <v>112</v>
      </c>
      <c r="O13" s="18">
        <v>429</v>
      </c>
      <c r="P13" s="18">
        <v>1979</v>
      </c>
      <c r="Q13" s="18">
        <v>2942</v>
      </c>
      <c r="R13" s="11" t="s">
        <v>84</v>
      </c>
      <c r="S13" s="11">
        <f>S12/U12</f>
        <v>1.4076566237604347</v>
      </c>
      <c r="T13" s="11"/>
      <c r="U13" s="11"/>
    </row>
    <row r="14" spans="1:21" ht="18" x14ac:dyDescent="0.2">
      <c r="A14" s="11"/>
      <c r="B14" s="20" t="s">
        <v>73</v>
      </c>
      <c r="C14" s="15">
        <v>9905</v>
      </c>
      <c r="D14" s="15">
        <v>864</v>
      </c>
      <c r="E14" s="15">
        <v>991</v>
      </c>
      <c r="F14" s="15">
        <v>7403</v>
      </c>
      <c r="G14" s="19">
        <v>82454</v>
      </c>
      <c r="H14" s="15"/>
      <c r="I14" s="19">
        <v>101617</v>
      </c>
      <c r="J14" s="11"/>
      <c r="K14" s="11" t="s">
        <v>104</v>
      </c>
      <c r="L14" s="18">
        <v>9539</v>
      </c>
      <c r="M14" s="18">
        <v>809</v>
      </c>
      <c r="N14" s="18">
        <v>879</v>
      </c>
      <c r="O14" s="18">
        <v>6974</v>
      </c>
      <c r="P14" s="18">
        <v>80475</v>
      </c>
      <c r="Q14" s="18">
        <v>98675</v>
      </c>
    </row>
    <row r="15" spans="1:21" x14ac:dyDescent="0.2">
      <c r="A15" s="11"/>
      <c r="J15" s="11"/>
      <c r="K15" s="11" t="s">
        <v>78</v>
      </c>
      <c r="L15" s="18">
        <f>SUM(L13:N13)</f>
        <v>533</v>
      </c>
      <c r="M15" s="11"/>
      <c r="N15" s="11"/>
      <c r="O15" s="11" t="s">
        <v>79</v>
      </c>
      <c r="P15" s="18">
        <f>SUM(L14:N14)</f>
        <v>11227</v>
      </c>
      <c r="Q15" s="11"/>
    </row>
    <row r="16" spans="1:21" x14ac:dyDescent="0.2">
      <c r="A16" s="11"/>
      <c r="J16" s="11"/>
      <c r="K16" s="11" t="s">
        <v>80</v>
      </c>
      <c r="L16" s="18">
        <f>SUM(O13:P13)</f>
        <v>2408</v>
      </c>
      <c r="M16" s="11"/>
      <c r="N16" s="11"/>
      <c r="O16" s="11" t="s">
        <v>81</v>
      </c>
      <c r="P16" s="18">
        <f>SUM(O14:P14)</f>
        <v>87449</v>
      </c>
      <c r="Q16" s="11"/>
    </row>
    <row r="17" spans="1:17" x14ac:dyDescent="0.2">
      <c r="A17" s="11"/>
      <c r="J17" s="11"/>
      <c r="K17" s="11"/>
      <c r="L17" s="18"/>
      <c r="M17" s="11"/>
      <c r="N17" s="11"/>
      <c r="O17" s="11"/>
      <c r="P17" s="11"/>
      <c r="Q17" s="11"/>
    </row>
    <row r="18" spans="1:17" x14ac:dyDescent="0.2">
      <c r="A18" s="11"/>
      <c r="J18" s="11"/>
    </row>
    <row r="19" spans="1:17" x14ac:dyDescent="0.2">
      <c r="A19" s="11"/>
      <c r="B19" s="11"/>
      <c r="C19" s="11"/>
      <c r="D19" s="11"/>
      <c r="E19" s="11"/>
      <c r="F19" s="11"/>
      <c r="G19" s="11"/>
      <c r="H19" s="11"/>
      <c r="I19" s="11"/>
      <c r="J19" s="11"/>
    </row>
    <row r="20" spans="1:17" x14ac:dyDescent="0.2">
      <c r="A20" s="11"/>
      <c r="B20" s="11"/>
      <c r="C20" s="11"/>
      <c r="D20" s="11"/>
      <c r="E20" s="11"/>
      <c r="F20" s="11"/>
      <c r="G20" s="11"/>
      <c r="H20" s="11"/>
      <c r="I20" s="11"/>
      <c r="J20" s="11"/>
    </row>
    <row r="21" spans="1:17" x14ac:dyDescent="0.2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 t="s">
        <v>82</v>
      </c>
      <c r="L21" s="11">
        <f>L15/L16</f>
        <v>0.22134551495016611</v>
      </c>
      <c r="M21" s="11"/>
      <c r="N21" s="11"/>
      <c r="O21" s="11" t="s">
        <v>83</v>
      </c>
      <c r="P21" s="11">
        <f>P15/P16</f>
        <v>0.12838340061064163</v>
      </c>
      <c r="Q21" s="11"/>
    </row>
    <row r="22" spans="1:17" x14ac:dyDescent="0.2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 t="s">
        <v>84</v>
      </c>
      <c r="L22" s="11">
        <f>L21/P21</f>
        <v>1.7240976161821568</v>
      </c>
      <c r="M22" s="11"/>
      <c r="N22" s="11"/>
      <c r="O22" s="11"/>
      <c r="P22" s="11"/>
      <c r="Q22" s="11"/>
    </row>
    <row r="23" spans="1:17" x14ac:dyDescent="0.2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</row>
    <row r="24" spans="1:17" x14ac:dyDescent="0.2">
      <c r="A24" s="11"/>
      <c r="B24" s="14" t="s">
        <v>103</v>
      </c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</row>
    <row r="25" spans="1:17" x14ac:dyDescent="0.2">
      <c r="A25" s="11"/>
      <c r="C25" t="s">
        <v>106</v>
      </c>
      <c r="D25" s="11" t="s">
        <v>107</v>
      </c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</row>
    <row r="26" spans="1:17" x14ac:dyDescent="0.2">
      <c r="A26" s="11"/>
      <c r="B26" s="11" t="s">
        <v>105</v>
      </c>
      <c r="C26" s="18">
        <f>L9</f>
        <v>745</v>
      </c>
      <c r="D26" s="18">
        <f>L10</f>
        <v>3437</v>
      </c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</row>
    <row r="27" spans="1:17" x14ac:dyDescent="0.2">
      <c r="B27" t="s">
        <v>104</v>
      </c>
      <c r="C27" s="17">
        <f>P9</f>
        <v>14359</v>
      </c>
      <c r="D27" s="17">
        <f>P10</f>
        <v>93249</v>
      </c>
    </row>
    <row r="28" spans="1:17" x14ac:dyDescent="0.2">
      <c r="C28" s="43">
        <f>(C26/D26)/(C27/D27)</f>
        <v>1.4076566237604347</v>
      </c>
    </row>
    <row r="33" spans="2:5" x14ac:dyDescent="0.2">
      <c r="B33" s="1" t="s">
        <v>42</v>
      </c>
    </row>
    <row r="35" spans="2:5" x14ac:dyDescent="0.2">
      <c r="C35" t="s">
        <v>106</v>
      </c>
      <c r="D35" s="11" t="s">
        <v>107</v>
      </c>
      <c r="E35" s="11"/>
    </row>
    <row r="36" spans="2:5" x14ac:dyDescent="0.2">
      <c r="B36" t="s">
        <v>105</v>
      </c>
      <c r="C36" s="18">
        <f>L15</f>
        <v>533</v>
      </c>
      <c r="D36" s="18">
        <f>L16</f>
        <v>2408</v>
      </c>
    </row>
    <row r="37" spans="2:5" x14ac:dyDescent="0.2">
      <c r="B37" t="s">
        <v>104</v>
      </c>
      <c r="C37" s="17">
        <f>P15</f>
        <v>11227</v>
      </c>
      <c r="D37" s="17">
        <f>P16</f>
        <v>87449</v>
      </c>
    </row>
    <row r="38" spans="2:5" x14ac:dyDescent="0.2">
      <c r="B38" t="s">
        <v>84</v>
      </c>
      <c r="C38" s="43">
        <f>(C36/D36)/(C37/D37)</f>
        <v>1.7240976161821568</v>
      </c>
    </row>
  </sheetData>
  <mergeCells count="4">
    <mergeCell ref="L5:N5"/>
    <mergeCell ref="O5:P5"/>
    <mergeCell ref="L11:N11"/>
    <mergeCell ref="O11:P11"/>
  </mergeCells>
  <hyperlinks>
    <hyperlink ref="C7" r:id="rId1" location="tblfn7" display="https://www.sciencedirect.com/science/article/pii/S0278262606000820 - tblfn7" xr:uid="{4D74B63B-2B86-0849-8ECE-0BFED292A0B9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5F3184-F8C4-4F4C-AC58-C4C50654FB44}">
  <dimension ref="A1:S21"/>
  <sheetViews>
    <sheetView workbookViewId="0">
      <selection activeCell="O15" sqref="O15"/>
    </sheetView>
  </sheetViews>
  <sheetFormatPr baseColWidth="10" defaultColWidth="8.83203125" defaultRowHeight="16" x14ac:dyDescent="0.2"/>
  <sheetData>
    <row r="1" spans="1:19" x14ac:dyDescent="0.2">
      <c r="A1" s="21" t="s">
        <v>71</v>
      </c>
      <c r="B1" s="21">
        <v>1</v>
      </c>
      <c r="C1" s="21">
        <v>2</v>
      </c>
      <c r="D1" s="21">
        <v>3</v>
      </c>
      <c r="E1" s="21">
        <v>4</v>
      </c>
      <c r="F1" s="21">
        <v>5</v>
      </c>
      <c r="G1" s="21" t="s">
        <v>72</v>
      </c>
      <c r="H1" s="22" t="s">
        <v>73</v>
      </c>
      <c r="J1" t="s">
        <v>71</v>
      </c>
      <c r="K1">
        <v>1</v>
      </c>
      <c r="L1">
        <v>2</v>
      </c>
      <c r="M1">
        <v>3</v>
      </c>
      <c r="N1">
        <v>4</v>
      </c>
      <c r="O1">
        <v>5</v>
      </c>
      <c r="Q1" t="s">
        <v>73</v>
      </c>
    </row>
    <row r="2" spans="1:19" ht="16.25" customHeight="1" x14ac:dyDescent="0.2">
      <c r="A2" s="91" t="s">
        <v>86</v>
      </c>
      <c r="B2" s="91"/>
      <c r="C2" s="91"/>
      <c r="D2" s="91"/>
      <c r="E2" s="91"/>
      <c r="F2" s="91"/>
      <c r="G2" s="91"/>
      <c r="H2" s="91"/>
      <c r="J2" t="s">
        <v>87</v>
      </c>
    </row>
    <row r="3" spans="1:19" ht="17" x14ac:dyDescent="0.2">
      <c r="A3" s="23" t="s">
        <v>76</v>
      </c>
      <c r="B3" s="24" t="s">
        <v>88</v>
      </c>
      <c r="C3" s="23">
        <v>6.7</v>
      </c>
      <c r="D3" s="23">
        <v>11.3</v>
      </c>
      <c r="E3" s="23">
        <v>7.6</v>
      </c>
      <c r="F3" s="23">
        <v>3.2</v>
      </c>
      <c r="G3" s="23">
        <v>3.8</v>
      </c>
      <c r="H3" s="23">
        <v>4213</v>
      </c>
      <c r="J3" t="s">
        <v>76</v>
      </c>
      <c r="K3">
        <v>4.4000000000000004</v>
      </c>
      <c r="L3">
        <v>6.7</v>
      </c>
      <c r="M3">
        <v>11.3</v>
      </c>
      <c r="N3">
        <v>7.6</v>
      </c>
      <c r="O3">
        <v>3.2</v>
      </c>
      <c r="Q3">
        <v>4213</v>
      </c>
    </row>
    <row r="4" spans="1:19" ht="17" x14ac:dyDescent="0.2">
      <c r="A4" s="23" t="s">
        <v>77</v>
      </c>
      <c r="B4" s="23">
        <v>95.6</v>
      </c>
      <c r="C4" s="23">
        <v>93.3</v>
      </c>
      <c r="D4" s="23">
        <v>88.7</v>
      </c>
      <c r="E4" s="23">
        <v>92.4</v>
      </c>
      <c r="F4" s="23">
        <v>96.6</v>
      </c>
      <c r="G4" s="23">
        <v>96.2</v>
      </c>
      <c r="H4" s="25">
        <v>107755</v>
      </c>
      <c r="J4" t="s">
        <v>77</v>
      </c>
      <c r="K4">
        <v>95.6</v>
      </c>
      <c r="L4">
        <v>93.3</v>
      </c>
      <c r="M4">
        <v>88.7</v>
      </c>
      <c r="N4">
        <v>92.4</v>
      </c>
      <c r="O4">
        <v>96.6</v>
      </c>
      <c r="Q4">
        <v>107755</v>
      </c>
    </row>
    <row r="5" spans="1:19" x14ac:dyDescent="0.2">
      <c r="A5" s="26" t="s">
        <v>73</v>
      </c>
      <c r="B5" s="25">
        <v>13170</v>
      </c>
      <c r="C5" s="23">
        <v>1157</v>
      </c>
      <c r="D5" s="23">
        <v>777</v>
      </c>
      <c r="E5" s="23">
        <v>7653</v>
      </c>
      <c r="F5" s="25">
        <v>89211</v>
      </c>
      <c r="G5" s="23"/>
      <c r="H5" s="25">
        <v>111968</v>
      </c>
      <c r="J5" t="s">
        <v>73</v>
      </c>
      <c r="K5">
        <v>13170</v>
      </c>
      <c r="L5">
        <v>1157</v>
      </c>
      <c r="M5">
        <v>777</v>
      </c>
      <c r="N5">
        <v>7653</v>
      </c>
      <c r="O5">
        <v>89211</v>
      </c>
      <c r="Q5">
        <v>111968</v>
      </c>
    </row>
    <row r="6" spans="1:19" x14ac:dyDescent="0.2">
      <c r="A6" s="23"/>
      <c r="B6" s="23"/>
      <c r="C6" s="23"/>
      <c r="D6" s="23"/>
      <c r="E6" s="23"/>
      <c r="F6" s="23"/>
      <c r="G6" s="23"/>
      <c r="H6" s="23"/>
    </row>
    <row r="7" spans="1:19" ht="16.25" customHeight="1" x14ac:dyDescent="0.2">
      <c r="A7" s="91" t="s">
        <v>89</v>
      </c>
      <c r="B7" s="91"/>
      <c r="C7" s="91"/>
      <c r="D7" s="91"/>
      <c r="E7" s="91"/>
      <c r="F7" s="91"/>
      <c r="G7" s="91"/>
      <c r="H7" s="91"/>
      <c r="J7" t="s">
        <v>90</v>
      </c>
    </row>
    <row r="8" spans="1:19" ht="17" x14ac:dyDescent="0.2">
      <c r="A8" s="23" t="s">
        <v>76</v>
      </c>
      <c r="B8" s="23">
        <v>3.7</v>
      </c>
      <c r="C8" s="23">
        <v>6.4</v>
      </c>
      <c r="D8" s="23">
        <v>11.3</v>
      </c>
      <c r="E8" s="23">
        <v>5.8</v>
      </c>
      <c r="F8" s="23">
        <v>2.4</v>
      </c>
      <c r="G8" s="23">
        <v>2.9</v>
      </c>
      <c r="H8" s="23">
        <v>2955</v>
      </c>
      <c r="J8" t="s">
        <v>76</v>
      </c>
      <c r="K8">
        <v>3.7</v>
      </c>
      <c r="L8">
        <v>6.4</v>
      </c>
      <c r="M8">
        <v>11.3</v>
      </c>
      <c r="N8">
        <v>5.8</v>
      </c>
      <c r="O8">
        <v>2.4</v>
      </c>
      <c r="Q8">
        <v>2955</v>
      </c>
    </row>
    <row r="9" spans="1:19" ht="17" x14ac:dyDescent="0.2">
      <c r="A9" s="23" t="s">
        <v>77</v>
      </c>
      <c r="B9" s="23">
        <v>96.3</v>
      </c>
      <c r="C9" s="23">
        <v>93.6</v>
      </c>
      <c r="D9" s="23">
        <v>88.7</v>
      </c>
      <c r="E9" s="23">
        <v>94.2</v>
      </c>
      <c r="F9" s="23">
        <v>97.6</v>
      </c>
      <c r="G9" s="23">
        <v>97.1</v>
      </c>
      <c r="H9" s="25">
        <v>98662</v>
      </c>
      <c r="J9" t="s">
        <v>77</v>
      </c>
      <c r="K9">
        <v>96.3</v>
      </c>
      <c r="L9">
        <v>93.6</v>
      </c>
      <c r="M9">
        <v>88.7</v>
      </c>
      <c r="N9">
        <v>94.2</v>
      </c>
      <c r="O9">
        <v>97.6</v>
      </c>
      <c r="Q9">
        <v>98662</v>
      </c>
    </row>
    <row r="10" spans="1:19" x14ac:dyDescent="0.2">
      <c r="A10" s="26" t="s">
        <v>73</v>
      </c>
      <c r="B10" s="23">
        <v>9905</v>
      </c>
      <c r="C10" s="23">
        <v>864</v>
      </c>
      <c r="D10" s="23">
        <v>991</v>
      </c>
      <c r="E10" s="23">
        <v>7403</v>
      </c>
      <c r="F10" s="25">
        <v>82454</v>
      </c>
      <c r="G10" s="23"/>
      <c r="H10" s="25">
        <v>101617</v>
      </c>
      <c r="J10" t="s">
        <v>73</v>
      </c>
      <c r="K10">
        <v>9905</v>
      </c>
      <c r="L10">
        <v>864</v>
      </c>
      <c r="M10">
        <v>991</v>
      </c>
      <c r="N10">
        <v>7403</v>
      </c>
      <c r="O10">
        <v>82454</v>
      </c>
      <c r="Q10">
        <v>101617</v>
      </c>
    </row>
    <row r="12" spans="1:19" ht="17" thickBot="1" x14ac:dyDescent="0.25">
      <c r="L12" s="27"/>
      <c r="M12" s="27" t="s">
        <v>91</v>
      </c>
      <c r="N12" s="27"/>
      <c r="O12" s="27" t="s">
        <v>92</v>
      </c>
    </row>
    <row r="13" spans="1:19" x14ac:dyDescent="0.2">
      <c r="I13" s="28" t="s">
        <v>93</v>
      </c>
      <c r="J13" s="29"/>
      <c r="K13" s="30">
        <f>(K3*K5)/100</f>
        <v>579.48</v>
      </c>
      <c r="L13" s="30">
        <f t="shared" ref="L13:O13" si="0">(L3*L5)/100</f>
        <v>77.519000000000005</v>
      </c>
      <c r="M13" s="30">
        <f t="shared" si="0"/>
        <v>87.801000000000002</v>
      </c>
      <c r="N13" s="30">
        <f t="shared" si="0"/>
        <v>581.62799999999993</v>
      </c>
      <c r="O13" s="30">
        <f t="shared" si="0"/>
        <v>2854.752</v>
      </c>
      <c r="P13" s="30"/>
      <c r="Q13" s="30"/>
      <c r="R13" s="30"/>
      <c r="S13" s="31"/>
    </row>
    <row r="14" spans="1:19" ht="17" thickBot="1" x14ac:dyDescent="0.25">
      <c r="I14" s="32"/>
      <c r="J14" s="27"/>
      <c r="K14">
        <f>(K4*K5)/100</f>
        <v>12590.52</v>
      </c>
      <c r="L14">
        <f t="shared" ref="L14:O14" si="1">(L4*L5)/100</f>
        <v>1079.481</v>
      </c>
      <c r="M14">
        <f t="shared" si="1"/>
        <v>689.19900000000007</v>
      </c>
      <c r="N14">
        <f t="shared" si="1"/>
        <v>7071.3720000000003</v>
      </c>
      <c r="O14">
        <f t="shared" si="1"/>
        <v>86177.826000000001</v>
      </c>
      <c r="S14" s="33"/>
    </row>
    <row r="15" spans="1:19" x14ac:dyDescent="0.2">
      <c r="I15" s="32"/>
      <c r="J15" s="27" t="s">
        <v>94</v>
      </c>
      <c r="M15" s="34">
        <f>SUM(K13:M13)</f>
        <v>744.80000000000007</v>
      </c>
      <c r="N15" s="30"/>
      <c r="O15" s="31">
        <f>SUM(N13:O13)</f>
        <v>3436.38</v>
      </c>
      <c r="Q15">
        <f>M15/O15</f>
        <v>0.21673970864689004</v>
      </c>
      <c r="R15" s="27" t="s">
        <v>95</v>
      </c>
      <c r="S15" s="35"/>
    </row>
    <row r="16" spans="1:19" ht="17" thickBot="1" x14ac:dyDescent="0.25">
      <c r="I16" s="32"/>
      <c r="J16" s="27" t="s">
        <v>96</v>
      </c>
      <c r="M16" s="36">
        <f>SUM(K14:M14)</f>
        <v>14359.2</v>
      </c>
      <c r="N16" s="37"/>
      <c r="O16" s="38">
        <f>SUM(N14:O14)</f>
        <v>93249.198000000004</v>
      </c>
      <c r="Q16">
        <f>M16/O16</f>
        <v>0.15398738335529707</v>
      </c>
      <c r="R16" s="27" t="s">
        <v>97</v>
      </c>
      <c r="S16" s="35"/>
    </row>
    <row r="17" spans="9:19" ht="17" thickBot="1" x14ac:dyDescent="0.25">
      <c r="I17" s="39"/>
      <c r="J17" s="40"/>
      <c r="K17" s="37"/>
      <c r="L17" s="37"/>
      <c r="M17" s="37"/>
      <c r="N17" s="37"/>
      <c r="O17" s="37"/>
      <c r="P17" s="37"/>
      <c r="Q17" s="37"/>
      <c r="R17" s="40"/>
      <c r="S17" s="41"/>
    </row>
    <row r="18" spans="9:19" x14ac:dyDescent="0.2">
      <c r="I18" s="28" t="s">
        <v>98</v>
      </c>
      <c r="J18" s="29"/>
      <c r="K18" s="30">
        <f>(K8*K10)/100</f>
        <v>366.48500000000001</v>
      </c>
      <c r="L18" s="30">
        <f t="shared" ref="L18:O18" si="2">(L8*L10)/100</f>
        <v>55.296000000000006</v>
      </c>
      <c r="M18" s="30">
        <f t="shared" si="2"/>
        <v>111.983</v>
      </c>
      <c r="N18" s="30">
        <f t="shared" si="2"/>
        <v>429.37400000000002</v>
      </c>
      <c r="O18" s="30">
        <f t="shared" si="2"/>
        <v>1978.896</v>
      </c>
      <c r="P18" s="30"/>
      <c r="Q18" s="30"/>
      <c r="R18" s="29"/>
      <c r="S18" s="42"/>
    </row>
    <row r="19" spans="9:19" ht="17" thickBot="1" x14ac:dyDescent="0.25">
      <c r="I19" s="32"/>
      <c r="J19" s="27"/>
      <c r="K19">
        <f>(K9*K10)/100</f>
        <v>9538.5149999999994</v>
      </c>
      <c r="L19">
        <f t="shared" ref="L19:O19" si="3">(L9*L10)/100</f>
        <v>808.70399999999995</v>
      </c>
      <c r="M19">
        <f t="shared" si="3"/>
        <v>879.01699999999994</v>
      </c>
      <c r="N19">
        <f t="shared" si="3"/>
        <v>6973.6260000000002</v>
      </c>
      <c r="O19">
        <f t="shared" si="3"/>
        <v>80475.103999999992</v>
      </c>
      <c r="R19" s="27"/>
      <c r="S19" s="35"/>
    </row>
    <row r="20" spans="9:19" x14ac:dyDescent="0.2">
      <c r="I20" s="32"/>
      <c r="J20" s="27" t="s">
        <v>99</v>
      </c>
      <c r="M20" s="34">
        <f>SUM(K18:M18)</f>
        <v>533.76400000000001</v>
      </c>
      <c r="N20" s="30"/>
      <c r="O20" s="31">
        <f>SUM(N18:O18)</f>
        <v>2408.27</v>
      </c>
      <c r="Q20">
        <f>M20/O20</f>
        <v>0.22163793926760705</v>
      </c>
      <c r="R20" s="27" t="s">
        <v>100</v>
      </c>
      <c r="S20" s="35"/>
    </row>
    <row r="21" spans="9:19" ht="17" thickBot="1" x14ac:dyDescent="0.25">
      <c r="I21" s="39"/>
      <c r="J21" s="40" t="s">
        <v>96</v>
      </c>
      <c r="K21" s="37"/>
      <c r="L21" s="37"/>
      <c r="M21" s="36">
        <f>SUM(K19:M19)</f>
        <v>11226.235999999999</v>
      </c>
      <c r="N21" s="37"/>
      <c r="O21" s="38">
        <f>SUM(N19:O19)</f>
        <v>87448.73</v>
      </c>
      <c r="P21" s="37"/>
      <c r="Q21" s="37">
        <f>M21/O21</f>
        <v>0.12837506044970579</v>
      </c>
      <c r="R21" s="40" t="s">
        <v>101</v>
      </c>
      <c r="S21" s="41"/>
    </row>
  </sheetData>
  <mergeCells count="2">
    <mergeCell ref="A2:H2"/>
    <mergeCell ref="A7:H7"/>
  </mergeCells>
  <hyperlinks>
    <hyperlink ref="B3" r:id="rId1" location="tblfn7" display="https://www.sciencedirect.com/science/article/pii/S0278262606000820?via%3Dihub - tblfn7" xr:uid="{26820CD7-1CDF-6147-85D7-03D825F1E1BA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E9C84-2371-574C-A11E-8FFAD0B22FBD}">
  <dimension ref="A2:D7"/>
  <sheetViews>
    <sheetView workbookViewId="0">
      <selection activeCell="C30" sqref="C30"/>
    </sheetView>
  </sheetViews>
  <sheetFormatPr baseColWidth="10" defaultRowHeight="16" x14ac:dyDescent="0.2"/>
  <cols>
    <col min="1" max="1" width="21.1640625" bestFit="1" customWidth="1"/>
    <col min="2" max="2" width="16.5" bestFit="1" customWidth="1"/>
    <col min="3" max="3" width="15.1640625" bestFit="1" customWidth="1"/>
    <col min="4" max="4" width="10.5" bestFit="1" customWidth="1"/>
  </cols>
  <sheetData>
    <row r="2" spans="1:4" x14ac:dyDescent="0.2">
      <c r="A2" s="1" t="s">
        <v>5</v>
      </c>
      <c r="B2" s="1" t="s">
        <v>4</v>
      </c>
      <c r="C2" s="1" t="s">
        <v>0</v>
      </c>
      <c r="D2" s="1" t="s">
        <v>1</v>
      </c>
    </row>
    <row r="3" spans="1:4" x14ac:dyDescent="0.2">
      <c r="A3" s="46">
        <v>2745</v>
      </c>
      <c r="B3" s="46">
        <v>6182</v>
      </c>
      <c r="C3" s="46">
        <v>14359</v>
      </c>
      <c r="D3" s="46">
        <v>107608</v>
      </c>
    </row>
    <row r="5" spans="1:4" ht="17" thickBot="1" x14ac:dyDescent="0.25"/>
    <row r="6" spans="1:4" ht="17" thickBot="1" x14ac:dyDescent="0.25">
      <c r="A6" t="s">
        <v>105</v>
      </c>
      <c r="B6" s="45">
        <v>2745</v>
      </c>
      <c r="C6" s="47">
        <v>3437</v>
      </c>
    </row>
    <row r="7" spans="1:4" ht="17" thickBot="1" x14ac:dyDescent="0.25">
      <c r="A7" t="s">
        <v>104</v>
      </c>
      <c r="B7" s="48">
        <v>14359</v>
      </c>
      <c r="C7" s="49">
        <v>93249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3A7C26-9B50-AD4C-A948-05AF404D49FB}">
  <dimension ref="A2:F8"/>
  <sheetViews>
    <sheetView workbookViewId="0">
      <selection activeCell="I35" sqref="I35"/>
    </sheetView>
  </sheetViews>
  <sheetFormatPr baseColWidth="10" defaultRowHeight="16" x14ac:dyDescent="0.2"/>
  <cols>
    <col min="2" max="2" width="21.1640625" bestFit="1" customWidth="1"/>
    <col min="3" max="3" width="16.5" bestFit="1" customWidth="1"/>
    <col min="6" max="6" width="15.83203125" bestFit="1" customWidth="1"/>
  </cols>
  <sheetData>
    <row r="2" spans="1:6" x14ac:dyDescent="0.2">
      <c r="A2" t="s">
        <v>8</v>
      </c>
      <c r="B2">
        <v>16</v>
      </c>
      <c r="C2">
        <f>16+105</f>
        <v>121</v>
      </c>
      <c r="D2">
        <v>35</v>
      </c>
      <c r="E2">
        <f>35+360</f>
        <v>395</v>
      </c>
      <c r="F2" s="2" t="s">
        <v>22</v>
      </c>
    </row>
    <row r="3" spans="1:6" x14ac:dyDescent="0.2">
      <c r="A3" t="s">
        <v>9</v>
      </c>
      <c r="B3">
        <v>15</v>
      </c>
      <c r="C3">
        <f>15+87</f>
        <v>102</v>
      </c>
      <c r="D3">
        <v>37</v>
      </c>
      <c r="E3">
        <f>37+248</f>
        <v>285</v>
      </c>
      <c r="F3" s="2" t="s">
        <v>22</v>
      </c>
    </row>
    <row r="4" spans="1:6" x14ac:dyDescent="0.2">
      <c r="A4" t="s">
        <v>12</v>
      </c>
      <c r="B4">
        <v>27</v>
      </c>
      <c r="C4">
        <f>27+183</f>
        <v>210</v>
      </c>
      <c r="D4">
        <v>218</v>
      </c>
      <c r="E4" s="6">
        <f>218+1468</f>
        <v>1686</v>
      </c>
      <c r="F4" s="2" t="s">
        <v>22</v>
      </c>
    </row>
    <row r="5" spans="1:6" x14ac:dyDescent="0.2">
      <c r="A5" t="s">
        <v>11</v>
      </c>
      <c r="B5">
        <v>19</v>
      </c>
      <c r="C5">
        <f>19+158</f>
        <v>177</v>
      </c>
      <c r="D5">
        <v>51</v>
      </c>
      <c r="E5">
        <f>51+331</f>
        <v>382</v>
      </c>
      <c r="F5" s="2" t="s">
        <v>22</v>
      </c>
    </row>
    <row r="6" spans="1:6" x14ac:dyDescent="0.2">
      <c r="A6" t="s">
        <v>15</v>
      </c>
      <c r="B6">
        <v>37</v>
      </c>
      <c r="C6">
        <f>37+112</f>
        <v>149</v>
      </c>
      <c r="D6">
        <v>218</v>
      </c>
      <c r="E6" s="6">
        <f>218+1468</f>
        <v>1686</v>
      </c>
      <c r="F6" s="2" t="s">
        <v>23</v>
      </c>
    </row>
    <row r="7" spans="1:6" ht="15" customHeight="1" x14ac:dyDescent="0.2">
      <c r="A7" t="s">
        <v>16</v>
      </c>
      <c r="B7">
        <v>24</v>
      </c>
      <c r="C7">
        <f>24+181</f>
        <v>205</v>
      </c>
      <c r="D7">
        <v>14</v>
      </c>
      <c r="E7" s="6">
        <f>14+95</f>
        <v>109</v>
      </c>
      <c r="F7" s="2" t="s">
        <v>23</v>
      </c>
    </row>
    <row r="8" spans="1:6" x14ac:dyDescent="0.2">
      <c r="A8" t="s">
        <v>14</v>
      </c>
      <c r="B8">
        <v>5</v>
      </c>
      <c r="C8">
        <f>5+23</f>
        <v>28</v>
      </c>
      <c r="D8">
        <v>8</v>
      </c>
      <c r="E8">
        <f>8+41</f>
        <v>49</v>
      </c>
      <c r="F8" s="2" t="s">
        <v>23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7D6BE-05BE-9E47-87D8-D02BC964712E}">
  <dimension ref="A1:F9"/>
  <sheetViews>
    <sheetView workbookViewId="0">
      <selection activeCell="I35" sqref="I35"/>
    </sheetView>
  </sheetViews>
  <sheetFormatPr baseColWidth="10" defaultRowHeight="16" x14ac:dyDescent="0.2"/>
  <cols>
    <col min="2" max="2" width="21.1640625" bestFit="1" customWidth="1"/>
    <col min="3" max="3" width="16.5" bestFit="1" customWidth="1"/>
    <col min="4" max="4" width="15.1640625" bestFit="1" customWidth="1"/>
    <col min="5" max="5" width="10.5" bestFit="1" customWidth="1"/>
    <col min="6" max="6" width="15.83203125" bestFit="1" customWidth="1"/>
  </cols>
  <sheetData>
    <row r="1" spans="1:6" x14ac:dyDescent="0.2">
      <c r="A1" s="1" t="s">
        <v>13</v>
      </c>
      <c r="B1" s="1" t="s">
        <v>5</v>
      </c>
      <c r="C1" s="1" t="s">
        <v>4</v>
      </c>
      <c r="D1" s="1" t="s">
        <v>0</v>
      </c>
      <c r="E1" s="1" t="s">
        <v>1</v>
      </c>
      <c r="F1" s="1" t="s">
        <v>21</v>
      </c>
    </row>
    <row r="2" spans="1:6" x14ac:dyDescent="0.2">
      <c r="A2" t="s">
        <v>8</v>
      </c>
      <c r="B2">
        <v>16</v>
      </c>
      <c r="C2">
        <f>16+105</f>
        <v>121</v>
      </c>
      <c r="D2">
        <v>35</v>
      </c>
      <c r="E2">
        <f>35+360</f>
        <v>395</v>
      </c>
      <c r="F2" s="2" t="s">
        <v>22</v>
      </c>
    </row>
    <row r="3" spans="1:6" x14ac:dyDescent="0.2">
      <c r="A3" t="s">
        <v>9</v>
      </c>
      <c r="B3">
        <v>15</v>
      </c>
      <c r="C3">
        <f>15+87</f>
        <v>102</v>
      </c>
      <c r="D3">
        <v>37</v>
      </c>
      <c r="E3">
        <f>37+248</f>
        <v>285</v>
      </c>
      <c r="F3" s="2" t="s">
        <v>22</v>
      </c>
    </row>
    <row r="4" spans="1:6" x14ac:dyDescent="0.2">
      <c r="A4" t="s">
        <v>17</v>
      </c>
      <c r="B4">
        <v>17</v>
      </c>
      <c r="C4">
        <f>17+133</f>
        <v>150</v>
      </c>
      <c r="D4">
        <v>218</v>
      </c>
      <c r="E4" s="6">
        <f>218+1468</f>
        <v>1686</v>
      </c>
      <c r="F4" s="2" t="s">
        <v>22</v>
      </c>
    </row>
    <row r="5" spans="1:6" x14ac:dyDescent="0.2">
      <c r="A5" t="s">
        <v>18</v>
      </c>
      <c r="B5">
        <v>13</v>
      </c>
      <c r="C5">
        <f>13+73</f>
        <v>86</v>
      </c>
      <c r="D5">
        <v>51</v>
      </c>
      <c r="E5">
        <f>51+331</f>
        <v>382</v>
      </c>
      <c r="F5" s="2" t="s">
        <v>22</v>
      </c>
    </row>
    <row r="6" spans="1:6" x14ac:dyDescent="0.2">
      <c r="A6" t="s">
        <v>15</v>
      </c>
      <c r="B6">
        <v>37</v>
      </c>
      <c r="C6">
        <f>37+112</f>
        <v>149</v>
      </c>
      <c r="D6">
        <v>218</v>
      </c>
      <c r="E6" s="6">
        <f>218+1468</f>
        <v>1686</v>
      </c>
      <c r="F6" s="2" t="s">
        <v>23</v>
      </c>
    </row>
    <row r="7" spans="1:6" x14ac:dyDescent="0.2">
      <c r="A7" t="s">
        <v>16</v>
      </c>
      <c r="B7">
        <v>24</v>
      </c>
      <c r="C7">
        <f>24+181</f>
        <v>205</v>
      </c>
      <c r="D7">
        <v>218</v>
      </c>
      <c r="E7" s="6">
        <f>218+1468</f>
        <v>1686</v>
      </c>
      <c r="F7" s="2" t="s">
        <v>23</v>
      </c>
    </row>
    <row r="8" spans="1:6" x14ac:dyDescent="0.2">
      <c r="A8" t="s">
        <v>19</v>
      </c>
      <c r="B8">
        <v>13</v>
      </c>
      <c r="C8">
        <f>13+110</f>
        <v>123</v>
      </c>
      <c r="D8">
        <v>51</v>
      </c>
      <c r="E8">
        <f>51+331</f>
        <v>382</v>
      </c>
      <c r="F8" s="2" t="s">
        <v>22</v>
      </c>
    </row>
    <row r="9" spans="1:6" x14ac:dyDescent="0.2">
      <c r="A9" t="s">
        <v>20</v>
      </c>
      <c r="B9">
        <v>10</v>
      </c>
      <c r="C9">
        <f>10+50</f>
        <v>60</v>
      </c>
      <c r="D9">
        <v>218</v>
      </c>
      <c r="E9" s="6">
        <f>218+1468</f>
        <v>1686</v>
      </c>
      <c r="F9" s="2" t="s">
        <v>22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ED4AAC-7EBB-2845-BD04-9344117E7582}">
  <dimension ref="A1:F6"/>
  <sheetViews>
    <sheetView workbookViewId="0">
      <selection activeCell="E12" sqref="E12"/>
    </sheetView>
  </sheetViews>
  <sheetFormatPr baseColWidth="10" defaultRowHeight="16" x14ac:dyDescent="0.2"/>
  <sheetData>
    <row r="1" spans="1:6" x14ac:dyDescent="0.2">
      <c r="A1" s="1" t="s">
        <v>13</v>
      </c>
      <c r="B1" s="1" t="s">
        <v>5</v>
      </c>
      <c r="C1" s="1" t="s">
        <v>4</v>
      </c>
      <c r="D1" s="1" t="s">
        <v>0</v>
      </c>
      <c r="E1" s="1" t="s">
        <v>1</v>
      </c>
      <c r="F1" s="1" t="s">
        <v>21</v>
      </c>
    </row>
    <row r="2" spans="1:6" x14ac:dyDescent="0.2">
      <c r="A2" t="s">
        <v>8</v>
      </c>
      <c r="B2">
        <v>6</v>
      </c>
      <c r="C2">
        <f>6+77</f>
        <v>83</v>
      </c>
      <c r="D2">
        <v>21</v>
      </c>
      <c r="E2">
        <f>21+250</f>
        <v>271</v>
      </c>
      <c r="F2" s="2" t="s">
        <v>22</v>
      </c>
    </row>
    <row r="3" spans="1:6" x14ac:dyDescent="0.2">
      <c r="A3" t="s">
        <v>9</v>
      </c>
      <c r="B3">
        <v>6</v>
      </c>
      <c r="C3">
        <f>6+49</f>
        <v>55</v>
      </c>
      <c r="D3">
        <v>12</v>
      </c>
      <c r="E3">
        <f>12+141</f>
        <v>153</v>
      </c>
      <c r="F3" s="2" t="s">
        <v>22</v>
      </c>
    </row>
    <row r="4" spans="1:6" x14ac:dyDescent="0.2">
      <c r="A4" t="s">
        <v>12</v>
      </c>
      <c r="B4">
        <v>18</v>
      </c>
      <c r="C4">
        <f>18+140</f>
        <v>158</v>
      </c>
      <c r="D4">
        <v>136</v>
      </c>
      <c r="E4" s="6">
        <f>136+1136</f>
        <v>1272</v>
      </c>
      <c r="F4" s="2" t="s">
        <v>22</v>
      </c>
    </row>
    <row r="5" spans="1:6" x14ac:dyDescent="0.2">
      <c r="A5" t="s">
        <v>11</v>
      </c>
      <c r="B5">
        <v>43</v>
      </c>
      <c r="C5">
        <f>43+198</f>
        <v>241</v>
      </c>
      <c r="D5">
        <v>69</v>
      </c>
      <c r="E5">
        <f>69+457</f>
        <v>526</v>
      </c>
      <c r="F5" s="2" t="s">
        <v>22</v>
      </c>
    </row>
    <row r="6" spans="1:6" x14ac:dyDescent="0.2">
      <c r="A6" t="s">
        <v>15</v>
      </c>
      <c r="B6">
        <v>8</v>
      </c>
      <c r="C6">
        <f>8+38</f>
        <v>46</v>
      </c>
      <c r="D6" s="5">
        <v>54</v>
      </c>
      <c r="E6" s="5">
        <f>54+470</f>
        <v>524</v>
      </c>
      <c r="F6" s="2" t="s">
        <v>23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36558-2741-CF40-BCF8-76D19D3ACA21}">
  <dimension ref="A1:F9"/>
  <sheetViews>
    <sheetView workbookViewId="0">
      <selection activeCell="F9" sqref="F9"/>
    </sheetView>
  </sheetViews>
  <sheetFormatPr baseColWidth="10" defaultRowHeight="16" x14ac:dyDescent="0.2"/>
  <cols>
    <col min="5" max="5" width="10.5" bestFit="1" customWidth="1"/>
    <col min="6" max="6" width="15.83203125" bestFit="1" customWidth="1"/>
  </cols>
  <sheetData>
    <row r="1" spans="1:6" x14ac:dyDescent="0.2">
      <c r="A1" s="1" t="s">
        <v>13</v>
      </c>
      <c r="B1" s="1" t="s">
        <v>5</v>
      </c>
      <c r="C1" s="1" t="s">
        <v>4</v>
      </c>
      <c r="D1" s="1" t="s">
        <v>0</v>
      </c>
      <c r="E1" s="1" t="s">
        <v>1</v>
      </c>
      <c r="F1" s="1" t="s">
        <v>21</v>
      </c>
    </row>
    <row r="2" spans="1:6" x14ac:dyDescent="0.2">
      <c r="A2" t="s">
        <v>8</v>
      </c>
      <c r="B2">
        <v>6</v>
      </c>
      <c r="C2">
        <f>6+77</f>
        <v>83</v>
      </c>
      <c r="D2">
        <v>21</v>
      </c>
      <c r="E2">
        <f>21+250</f>
        <v>271</v>
      </c>
      <c r="F2" s="2" t="s">
        <v>22</v>
      </c>
    </row>
    <row r="3" spans="1:6" x14ac:dyDescent="0.2">
      <c r="A3" t="s">
        <v>9</v>
      </c>
      <c r="B3">
        <v>6</v>
      </c>
      <c r="C3">
        <f>6+49</f>
        <v>55</v>
      </c>
      <c r="D3">
        <v>12</v>
      </c>
      <c r="E3">
        <f>12+142</f>
        <v>154</v>
      </c>
      <c r="F3" s="2" t="s">
        <v>22</v>
      </c>
    </row>
    <row r="4" spans="1:6" x14ac:dyDescent="0.2">
      <c r="A4" t="s">
        <v>17</v>
      </c>
      <c r="B4">
        <v>12</v>
      </c>
      <c r="C4">
        <f>12+92</f>
        <v>104</v>
      </c>
      <c r="D4">
        <v>136</v>
      </c>
      <c r="E4" s="6">
        <f>136+1136</f>
        <v>1272</v>
      </c>
      <c r="F4" s="2" t="s">
        <v>22</v>
      </c>
    </row>
    <row r="5" spans="1:6" x14ac:dyDescent="0.2">
      <c r="A5" t="s">
        <v>18</v>
      </c>
      <c r="B5">
        <v>20</v>
      </c>
      <c r="C5">
        <f>20+117</f>
        <v>137</v>
      </c>
      <c r="D5">
        <v>69</v>
      </c>
      <c r="E5">
        <f>69+457</f>
        <v>526</v>
      </c>
      <c r="F5" s="2" t="s">
        <v>22</v>
      </c>
    </row>
    <row r="6" spans="1:6" x14ac:dyDescent="0.2">
      <c r="A6" t="s">
        <v>15</v>
      </c>
      <c r="B6">
        <v>8</v>
      </c>
      <c r="C6">
        <f>8+38</f>
        <v>46</v>
      </c>
      <c r="D6" s="5">
        <v>54</v>
      </c>
      <c r="E6" s="5">
        <f>54+470</f>
        <v>524</v>
      </c>
      <c r="F6" s="2" t="s">
        <v>23</v>
      </c>
    </row>
    <row r="7" spans="1:6" x14ac:dyDescent="0.2">
      <c r="A7" t="s">
        <v>16</v>
      </c>
      <c r="B7">
        <v>16</v>
      </c>
      <c r="C7">
        <f>16+81</f>
        <v>97</v>
      </c>
      <c r="D7" s="5">
        <v>79</v>
      </c>
      <c r="E7" s="5">
        <f>79+724</f>
        <v>803</v>
      </c>
      <c r="F7" s="2" t="s">
        <v>23</v>
      </c>
    </row>
    <row r="8" spans="1:6" x14ac:dyDescent="0.2">
      <c r="A8" t="s">
        <v>19</v>
      </c>
      <c r="B8">
        <v>30</v>
      </c>
      <c r="C8">
        <f>30+113</f>
        <v>143</v>
      </c>
      <c r="D8">
        <v>69</v>
      </c>
      <c r="E8">
        <f>69+457</f>
        <v>526</v>
      </c>
      <c r="F8" s="2" t="s">
        <v>22</v>
      </c>
    </row>
    <row r="9" spans="1:6" x14ac:dyDescent="0.2">
      <c r="A9" t="s">
        <v>20</v>
      </c>
      <c r="B9">
        <v>6</v>
      </c>
      <c r="C9">
        <f>6+48</f>
        <v>54</v>
      </c>
      <c r="D9">
        <v>136</v>
      </c>
      <c r="E9" s="6">
        <f>136+1136</f>
        <v>1272</v>
      </c>
      <c r="F9" s="2" t="s">
        <v>22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09058-EDA2-794D-9976-A5B67BA13623}">
  <dimension ref="A1:E4"/>
  <sheetViews>
    <sheetView workbookViewId="0">
      <selection activeCell="A5" sqref="A5"/>
    </sheetView>
  </sheetViews>
  <sheetFormatPr baseColWidth="10" defaultRowHeight="16" x14ac:dyDescent="0.2"/>
  <sheetData>
    <row r="1" spans="1:5" x14ac:dyDescent="0.2">
      <c r="A1" s="1" t="s">
        <v>13</v>
      </c>
      <c r="B1" s="1" t="s">
        <v>6</v>
      </c>
      <c r="C1" s="1" t="s">
        <v>7</v>
      </c>
      <c r="D1" s="1" t="s">
        <v>0</v>
      </c>
      <c r="E1" s="1" t="s">
        <v>1</v>
      </c>
    </row>
    <row r="2" spans="1:5" x14ac:dyDescent="0.2">
      <c r="A2" t="s">
        <v>16</v>
      </c>
      <c r="B2">
        <f>'google data'!G39</f>
        <v>24</v>
      </c>
      <c r="C2">
        <f>'google data'!G39+'google data'!F39</f>
        <v>205</v>
      </c>
      <c r="D2" s="5">
        <v>14</v>
      </c>
      <c r="E2" s="5">
        <f>14+95</f>
        <v>109</v>
      </c>
    </row>
    <row r="3" spans="1:5" x14ac:dyDescent="0.2">
      <c r="A3" t="s">
        <v>11</v>
      </c>
      <c r="B3">
        <f>'google data'!G21</f>
        <v>13</v>
      </c>
      <c r="C3">
        <f>'google data'!G21+'google data'!F21</f>
        <v>123</v>
      </c>
      <c r="D3">
        <f>'google data'!I21</f>
        <v>51</v>
      </c>
      <c r="E3">
        <f>'google data'!I21+'google data'!H21</f>
        <v>382</v>
      </c>
    </row>
    <row r="4" spans="1:5" x14ac:dyDescent="0.2">
      <c r="A4" t="s">
        <v>12</v>
      </c>
      <c r="B4">
        <f>'google data'!G3</f>
        <v>10</v>
      </c>
      <c r="C4">
        <f>'google data'!G3+'google data'!F3</f>
        <v>60</v>
      </c>
      <c r="D4">
        <f>'google data'!I3</f>
        <v>218</v>
      </c>
      <c r="E4" s="6">
        <f>'google data'!I3+'google data'!H3</f>
        <v>1686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63500-CA4D-E646-BFD5-F3896B495C2F}">
  <dimension ref="A1:V56"/>
  <sheetViews>
    <sheetView topLeftCell="A9" workbookViewId="0">
      <selection activeCell="I48" sqref="H48:I50"/>
    </sheetView>
  </sheetViews>
  <sheetFormatPr baseColWidth="10" defaultRowHeight="16" x14ac:dyDescent="0.2"/>
  <cols>
    <col min="1" max="1" width="37.1640625" customWidth="1"/>
  </cols>
  <sheetData>
    <row r="1" spans="1:22" x14ac:dyDescent="0.2">
      <c r="A1" s="4"/>
      <c r="B1" s="4"/>
      <c r="C1" s="4"/>
      <c r="D1" s="4"/>
      <c r="E1" s="4"/>
      <c r="F1" s="4" t="s">
        <v>24</v>
      </c>
      <c r="G1" s="4" t="s">
        <v>25</v>
      </c>
      <c r="H1" s="4"/>
      <c r="I1" s="4"/>
      <c r="J1" s="4"/>
      <c r="K1" s="4"/>
      <c r="L1" s="4" t="s">
        <v>26</v>
      </c>
      <c r="M1" s="4" t="s">
        <v>27</v>
      </c>
    </row>
    <row r="2" spans="1:22" x14ac:dyDescent="0.2">
      <c r="A2" s="4"/>
      <c r="B2" s="4" t="s">
        <v>28</v>
      </c>
      <c r="C2" s="4"/>
      <c r="D2" s="4"/>
      <c r="E2" s="4"/>
      <c r="F2" s="3" t="s">
        <v>29</v>
      </c>
      <c r="G2" s="3" t="s">
        <v>30</v>
      </c>
      <c r="H2" s="3" t="s">
        <v>29</v>
      </c>
      <c r="I2" s="3" t="s">
        <v>30</v>
      </c>
      <c r="J2" s="3" t="s">
        <v>31</v>
      </c>
      <c r="K2" s="3" t="s">
        <v>32</v>
      </c>
      <c r="L2" s="3" t="s">
        <v>33</v>
      </c>
      <c r="M2" s="3" t="s">
        <v>34</v>
      </c>
      <c r="N2" s="3" t="s">
        <v>35</v>
      </c>
      <c r="O2" s="3" t="s">
        <v>36</v>
      </c>
      <c r="P2" s="3" t="s">
        <v>37</v>
      </c>
      <c r="Q2" s="3" t="s">
        <v>38</v>
      </c>
      <c r="R2" s="3" t="s">
        <v>35</v>
      </c>
      <c r="S2" s="3" t="s">
        <v>36</v>
      </c>
      <c r="T2" s="3" t="s">
        <v>37</v>
      </c>
      <c r="U2" s="3" t="s">
        <v>38</v>
      </c>
      <c r="V2" s="3"/>
    </row>
    <row r="3" spans="1:22" x14ac:dyDescent="0.2">
      <c r="A3" s="2" t="s">
        <v>39</v>
      </c>
      <c r="B3" s="2" t="s">
        <v>22</v>
      </c>
      <c r="C3" s="2"/>
      <c r="D3" s="2" t="s">
        <v>40</v>
      </c>
      <c r="E3" s="2" t="s">
        <v>41</v>
      </c>
      <c r="F3" s="4">
        <v>50</v>
      </c>
      <c r="G3" s="4">
        <v>10</v>
      </c>
      <c r="H3" s="2">
        <v>1468</v>
      </c>
      <c r="I3" s="2">
        <v>218</v>
      </c>
      <c r="J3" s="2">
        <v>0.16666666669999999</v>
      </c>
      <c r="K3" s="2">
        <v>0.12930011860000001</v>
      </c>
      <c r="L3" s="2">
        <v>1.111111111</v>
      </c>
      <c r="M3" s="2">
        <v>1.3254716980000001</v>
      </c>
      <c r="N3" s="4"/>
      <c r="O3" s="2"/>
      <c r="P3" s="2"/>
      <c r="Q3" s="4"/>
      <c r="R3" s="4"/>
      <c r="S3" s="2"/>
      <c r="T3" s="2"/>
      <c r="U3" s="2"/>
      <c r="V3" s="4"/>
    </row>
    <row r="4" spans="1:22" x14ac:dyDescent="0.2">
      <c r="A4" s="4"/>
      <c r="B4" s="4" t="s">
        <v>22</v>
      </c>
      <c r="C4" s="4"/>
      <c r="D4" s="4"/>
      <c r="E4" s="4" t="s">
        <v>42</v>
      </c>
      <c r="F4" s="4">
        <v>48</v>
      </c>
      <c r="G4" s="4">
        <v>6</v>
      </c>
      <c r="H4" s="2">
        <v>1136</v>
      </c>
      <c r="I4" s="2">
        <v>136</v>
      </c>
      <c r="J4" s="2">
        <v>0.11111111110000001</v>
      </c>
      <c r="K4" s="2">
        <v>0.106918239</v>
      </c>
      <c r="L4" s="4"/>
      <c r="M4" s="4"/>
      <c r="N4" s="4"/>
      <c r="O4" s="4"/>
      <c r="P4" s="4"/>
      <c r="Q4" s="4"/>
      <c r="R4" s="4"/>
      <c r="S4" s="4"/>
      <c r="T4" s="4"/>
      <c r="U4" s="4"/>
      <c r="V4" s="4"/>
    </row>
    <row r="5" spans="1:22" x14ac:dyDescent="0.2">
      <c r="A5" s="4"/>
      <c r="B5" s="4" t="s">
        <v>22</v>
      </c>
      <c r="C5" s="4"/>
      <c r="D5" s="4"/>
      <c r="E5" s="4" t="s">
        <v>43</v>
      </c>
      <c r="F5" s="2">
        <v>98</v>
      </c>
      <c r="G5" s="2">
        <v>16</v>
      </c>
      <c r="H5" s="2">
        <v>2604</v>
      </c>
      <c r="I5" s="2">
        <v>354</v>
      </c>
      <c r="J5" s="2">
        <v>0.1403508772</v>
      </c>
      <c r="K5" s="2">
        <v>0.1196754564</v>
      </c>
      <c r="L5" s="4"/>
      <c r="M5" s="4"/>
      <c r="N5" s="4"/>
      <c r="O5" s="4"/>
      <c r="P5" s="4"/>
      <c r="Q5" s="4"/>
      <c r="R5" s="4"/>
      <c r="S5" s="4"/>
      <c r="T5" s="4"/>
      <c r="U5" s="4"/>
      <c r="V5" s="4"/>
    </row>
    <row r="6" spans="1:22" x14ac:dyDescent="0.2">
      <c r="A6" s="4"/>
      <c r="B6" s="4" t="s">
        <v>22</v>
      </c>
      <c r="C6" s="4"/>
      <c r="D6" s="4" t="s">
        <v>44</v>
      </c>
      <c r="E6" s="4" t="s">
        <v>41</v>
      </c>
      <c r="F6" s="4">
        <v>133</v>
      </c>
      <c r="G6" s="4">
        <v>17</v>
      </c>
      <c r="H6" s="2">
        <v>1468</v>
      </c>
      <c r="I6" s="2">
        <v>218</v>
      </c>
      <c r="J6" s="2">
        <v>0.11333333330000001</v>
      </c>
      <c r="K6" s="2">
        <v>0.12930011860000001</v>
      </c>
      <c r="L6" s="2">
        <v>1.442307692</v>
      </c>
      <c r="M6" s="2">
        <v>1.3254716980000001</v>
      </c>
      <c r="N6" s="4"/>
      <c r="O6" s="4"/>
      <c r="P6" s="4"/>
      <c r="Q6" s="4"/>
      <c r="R6" s="4"/>
      <c r="S6" s="4"/>
      <c r="T6" s="4"/>
      <c r="U6" s="4"/>
      <c r="V6" s="4"/>
    </row>
    <row r="7" spans="1:22" x14ac:dyDescent="0.2">
      <c r="A7" s="4"/>
      <c r="B7" s="4" t="s">
        <v>22</v>
      </c>
      <c r="C7" s="4"/>
      <c r="D7" s="4"/>
      <c r="E7" s="4" t="s">
        <v>42</v>
      </c>
      <c r="F7" s="4">
        <v>92</v>
      </c>
      <c r="G7" s="4">
        <v>12</v>
      </c>
      <c r="H7" s="2">
        <v>1136</v>
      </c>
      <c r="I7" s="2">
        <v>136</v>
      </c>
      <c r="J7" s="2">
        <v>0.1153846154</v>
      </c>
      <c r="K7" s="2">
        <v>0.106918239</v>
      </c>
      <c r="L7" s="4"/>
      <c r="M7" s="4"/>
      <c r="N7" s="4"/>
      <c r="O7" s="4"/>
      <c r="P7" s="4"/>
      <c r="Q7" s="4"/>
      <c r="R7" s="4"/>
      <c r="S7" s="4"/>
      <c r="T7" s="4"/>
      <c r="U7" s="4"/>
      <c r="V7" s="4"/>
    </row>
    <row r="8" spans="1:22" x14ac:dyDescent="0.2">
      <c r="A8" s="4"/>
      <c r="B8" s="4" t="s">
        <v>22</v>
      </c>
      <c r="C8" s="4"/>
      <c r="D8" s="4"/>
      <c r="E8" s="4" t="s">
        <v>43</v>
      </c>
      <c r="F8" s="2">
        <v>225</v>
      </c>
      <c r="G8" s="2">
        <v>29</v>
      </c>
      <c r="H8" s="2">
        <v>2604</v>
      </c>
      <c r="I8" s="2">
        <v>354</v>
      </c>
      <c r="J8" s="2">
        <v>0.1141732283</v>
      </c>
      <c r="K8" s="2">
        <v>0.1196754564</v>
      </c>
      <c r="L8" s="4"/>
      <c r="M8" s="4"/>
      <c r="N8" s="4"/>
      <c r="O8" s="4"/>
      <c r="P8" s="4"/>
      <c r="Q8" s="4"/>
      <c r="R8" s="4"/>
      <c r="S8" s="4"/>
      <c r="T8" s="4"/>
      <c r="U8" s="4"/>
      <c r="V8" s="4"/>
    </row>
    <row r="9" spans="1:22" x14ac:dyDescent="0.2">
      <c r="A9" s="4"/>
      <c r="B9" s="4" t="s">
        <v>22</v>
      </c>
      <c r="C9" s="4"/>
      <c r="D9" s="4" t="s">
        <v>45</v>
      </c>
      <c r="E9" s="4" t="s">
        <v>41</v>
      </c>
      <c r="F9" s="2">
        <v>183</v>
      </c>
      <c r="G9" s="2">
        <v>27</v>
      </c>
      <c r="H9" s="2">
        <v>1468</v>
      </c>
      <c r="I9" s="2">
        <v>218</v>
      </c>
      <c r="J9" s="2">
        <v>0.12857142860000001</v>
      </c>
      <c r="K9" s="2">
        <v>0.12930011860000001</v>
      </c>
      <c r="L9" s="2">
        <v>1.3291139240000001</v>
      </c>
      <c r="M9" s="2">
        <v>1.3254716980000001</v>
      </c>
      <c r="N9" s="4"/>
      <c r="O9" s="4"/>
      <c r="P9" s="4"/>
      <c r="Q9" s="4"/>
      <c r="R9" s="4"/>
      <c r="S9" s="4"/>
      <c r="T9" s="4"/>
      <c r="U9" s="4"/>
      <c r="V9" s="4"/>
    </row>
    <row r="10" spans="1:22" x14ac:dyDescent="0.2">
      <c r="A10" s="4"/>
      <c r="B10" s="4" t="s">
        <v>22</v>
      </c>
      <c r="C10" s="4"/>
      <c r="D10" s="4"/>
      <c r="E10" s="4" t="s">
        <v>42</v>
      </c>
      <c r="F10" s="2">
        <v>140</v>
      </c>
      <c r="G10" s="2">
        <v>18</v>
      </c>
      <c r="H10" s="2">
        <v>1136</v>
      </c>
      <c r="I10" s="2">
        <v>136</v>
      </c>
      <c r="J10" s="2">
        <v>0.11392405059999999</v>
      </c>
      <c r="K10" s="2">
        <v>0.106918239</v>
      </c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</row>
    <row r="11" spans="1:22" x14ac:dyDescent="0.2">
      <c r="A11" s="4"/>
      <c r="B11" s="4" t="s">
        <v>22</v>
      </c>
      <c r="C11" s="4"/>
      <c r="D11" s="4"/>
      <c r="E11" s="4" t="s">
        <v>43</v>
      </c>
      <c r="F11" s="2">
        <v>323</v>
      </c>
      <c r="G11" s="2">
        <v>45</v>
      </c>
      <c r="H11" s="2">
        <v>2604</v>
      </c>
      <c r="I11" s="2">
        <v>354</v>
      </c>
      <c r="J11" s="2">
        <v>0.1222826087</v>
      </c>
      <c r="K11" s="2">
        <v>0.1196754564</v>
      </c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</row>
    <row r="12" spans="1:22" x14ac:dyDescent="0.2">
      <c r="A12" s="4" t="s">
        <v>46</v>
      </c>
      <c r="B12" s="2" t="s">
        <v>22</v>
      </c>
      <c r="C12" s="2"/>
      <c r="D12" s="2" t="s">
        <v>40</v>
      </c>
      <c r="E12" s="2" t="s">
        <v>41</v>
      </c>
      <c r="F12" s="4"/>
      <c r="G12" s="4"/>
      <c r="H12" s="2"/>
      <c r="I12" s="4"/>
      <c r="J12" s="4"/>
      <c r="K12" s="2"/>
      <c r="L12" s="2"/>
      <c r="M12" s="2"/>
      <c r="N12" s="4"/>
      <c r="O12" s="2"/>
      <c r="P12" s="2"/>
      <c r="Q12" s="4"/>
      <c r="R12" s="2"/>
      <c r="S12" s="2"/>
      <c r="T12" s="2"/>
      <c r="U12" s="2"/>
      <c r="V12" s="4"/>
    </row>
    <row r="13" spans="1:22" x14ac:dyDescent="0.2">
      <c r="A13" s="4"/>
      <c r="B13" s="4" t="s">
        <v>22</v>
      </c>
      <c r="C13" s="4"/>
      <c r="D13" s="4"/>
      <c r="E13" s="4" t="s">
        <v>42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</row>
    <row r="14" spans="1:22" x14ac:dyDescent="0.2">
      <c r="A14" s="4"/>
      <c r="B14" s="4" t="s">
        <v>22</v>
      </c>
      <c r="C14" s="4"/>
      <c r="D14" s="4"/>
      <c r="E14" s="4" t="s">
        <v>43</v>
      </c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</row>
    <row r="15" spans="1:22" x14ac:dyDescent="0.2">
      <c r="A15" s="2" t="s">
        <v>47</v>
      </c>
      <c r="B15" s="2" t="s">
        <v>22</v>
      </c>
      <c r="C15" s="4"/>
      <c r="D15" s="2" t="s">
        <v>44</v>
      </c>
      <c r="E15" s="2" t="s">
        <v>41</v>
      </c>
      <c r="F15" s="2">
        <v>87</v>
      </c>
      <c r="G15" s="2">
        <v>15</v>
      </c>
      <c r="H15" s="2">
        <v>248</v>
      </c>
      <c r="I15" s="2">
        <v>37</v>
      </c>
      <c r="J15" s="2">
        <v>0.14705882349999999</v>
      </c>
      <c r="K15" s="2">
        <v>0.12982456140000001</v>
      </c>
      <c r="L15" s="2">
        <v>1.854545455</v>
      </c>
      <c r="M15" s="2">
        <v>1.862745098</v>
      </c>
      <c r="N15" s="4"/>
      <c r="O15" s="4"/>
      <c r="P15" s="4"/>
      <c r="Q15" s="4"/>
      <c r="R15" s="4"/>
      <c r="S15" s="4"/>
      <c r="T15" s="4"/>
      <c r="U15" s="4"/>
      <c r="V15" s="4"/>
    </row>
    <row r="16" spans="1:22" x14ac:dyDescent="0.2">
      <c r="A16" s="4"/>
      <c r="B16" s="4" t="s">
        <v>22</v>
      </c>
      <c r="C16" s="4"/>
      <c r="D16" s="4"/>
      <c r="E16" s="4" t="s">
        <v>42</v>
      </c>
      <c r="F16" s="2">
        <v>49</v>
      </c>
      <c r="G16" s="7">
        <v>6</v>
      </c>
      <c r="H16" s="2">
        <v>141</v>
      </c>
      <c r="I16" s="2">
        <v>12</v>
      </c>
      <c r="J16" s="2">
        <v>0.10909090909999999</v>
      </c>
      <c r="K16" s="2">
        <v>7.8431372550000003E-2</v>
      </c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</row>
    <row r="17" spans="1:22" x14ac:dyDescent="0.2">
      <c r="A17" s="4"/>
      <c r="B17" s="4" t="s">
        <v>22</v>
      </c>
      <c r="C17" s="4"/>
      <c r="D17" s="4"/>
      <c r="E17" s="4" t="s">
        <v>43</v>
      </c>
      <c r="F17" s="2">
        <v>136</v>
      </c>
      <c r="G17" s="2">
        <v>21</v>
      </c>
      <c r="H17" s="2">
        <v>389</v>
      </c>
      <c r="I17" s="2">
        <v>49</v>
      </c>
      <c r="J17" s="2">
        <v>0.13375796179999999</v>
      </c>
      <c r="K17" s="2">
        <v>0.1118721461</v>
      </c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</row>
    <row r="18" spans="1:22" x14ac:dyDescent="0.2">
      <c r="A18" s="2" t="s">
        <v>48</v>
      </c>
      <c r="B18" s="2" t="s">
        <v>22</v>
      </c>
      <c r="C18" s="2"/>
      <c r="D18" s="2" t="s">
        <v>44</v>
      </c>
      <c r="E18" s="2" t="s">
        <v>41</v>
      </c>
      <c r="F18" s="2">
        <v>105</v>
      </c>
      <c r="G18" s="2">
        <v>16</v>
      </c>
      <c r="H18" s="2">
        <v>360</v>
      </c>
      <c r="I18" s="2">
        <v>35</v>
      </c>
      <c r="J18" s="2">
        <v>0.132231405</v>
      </c>
      <c r="K18" s="2">
        <v>8.8607594940000006E-2</v>
      </c>
      <c r="L18" s="2">
        <v>1.4578313249999999</v>
      </c>
      <c r="M18" s="2">
        <v>1.457564576</v>
      </c>
      <c r="N18" s="4"/>
      <c r="O18" s="2" t="s">
        <v>49</v>
      </c>
      <c r="P18" s="2"/>
      <c r="Q18" s="4"/>
      <c r="R18" s="2"/>
      <c r="S18" s="2"/>
      <c r="T18" s="2"/>
      <c r="U18" s="2"/>
      <c r="V18" s="4"/>
    </row>
    <row r="19" spans="1:22" x14ac:dyDescent="0.2">
      <c r="A19" s="4"/>
      <c r="B19" s="4" t="s">
        <v>22</v>
      </c>
      <c r="C19" s="4"/>
      <c r="D19" s="4"/>
      <c r="E19" s="4" t="s">
        <v>42</v>
      </c>
      <c r="F19" s="2">
        <v>77</v>
      </c>
      <c r="G19" s="2">
        <v>6</v>
      </c>
      <c r="H19" s="2">
        <v>250</v>
      </c>
      <c r="I19" s="2">
        <v>21</v>
      </c>
      <c r="J19" s="2">
        <v>7.2289156630000004E-2</v>
      </c>
      <c r="K19" s="2">
        <v>7.7490774910000004E-2</v>
      </c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</row>
    <row r="20" spans="1:22" x14ac:dyDescent="0.2">
      <c r="A20" s="4"/>
      <c r="B20" s="4" t="s">
        <v>22</v>
      </c>
      <c r="C20" s="4"/>
      <c r="D20" s="4"/>
      <c r="E20" s="4" t="s">
        <v>43</v>
      </c>
      <c r="F20" s="2">
        <v>182</v>
      </c>
      <c r="G20" s="2">
        <v>22</v>
      </c>
      <c r="H20" s="2">
        <v>610</v>
      </c>
      <c r="I20" s="2">
        <v>56</v>
      </c>
      <c r="J20" s="2">
        <v>0.1078431373</v>
      </c>
      <c r="K20" s="2">
        <v>8.4084084079999996E-2</v>
      </c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</row>
    <row r="21" spans="1:22" x14ac:dyDescent="0.2">
      <c r="A21" s="2" t="s">
        <v>50</v>
      </c>
      <c r="B21" s="2" t="s">
        <v>22</v>
      </c>
      <c r="C21" s="2"/>
      <c r="D21" s="2" t="s">
        <v>40</v>
      </c>
      <c r="E21" s="4" t="s">
        <v>41</v>
      </c>
      <c r="F21" s="2">
        <v>110</v>
      </c>
      <c r="G21" s="2">
        <v>13</v>
      </c>
      <c r="H21" s="4">
        <v>331</v>
      </c>
      <c r="I21" s="2">
        <v>51</v>
      </c>
      <c r="J21" s="2">
        <v>0.1056910569</v>
      </c>
      <c r="K21" s="2">
        <v>0.13350785339999999</v>
      </c>
      <c r="L21" s="2">
        <v>0.86013986009999999</v>
      </c>
      <c r="M21" s="2">
        <v>0.72623574140000002</v>
      </c>
      <c r="N21" s="4"/>
      <c r="O21" s="2"/>
      <c r="P21" s="2"/>
      <c r="Q21" s="4"/>
      <c r="R21" s="2"/>
      <c r="S21" s="2"/>
      <c r="T21" s="2"/>
      <c r="U21" s="2"/>
      <c r="V21" s="4"/>
    </row>
    <row r="22" spans="1:22" x14ac:dyDescent="0.2">
      <c r="A22" s="4"/>
      <c r="B22" s="4" t="s">
        <v>22</v>
      </c>
      <c r="C22" s="4"/>
      <c r="D22" s="4"/>
      <c r="E22" s="4" t="s">
        <v>42</v>
      </c>
      <c r="F22" s="2">
        <v>113</v>
      </c>
      <c r="G22" s="2">
        <v>30</v>
      </c>
      <c r="H22" s="4">
        <v>457</v>
      </c>
      <c r="I22" s="2">
        <v>69</v>
      </c>
      <c r="J22" s="2">
        <v>0.20979020979999999</v>
      </c>
      <c r="K22" s="2">
        <v>0.13117870719999999</v>
      </c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</row>
    <row r="23" spans="1:22" x14ac:dyDescent="0.2">
      <c r="A23" s="4"/>
      <c r="B23" s="4" t="s">
        <v>22</v>
      </c>
      <c r="C23" s="4"/>
      <c r="D23" s="4"/>
      <c r="E23" s="4" t="s">
        <v>43</v>
      </c>
      <c r="F23" s="2">
        <v>223</v>
      </c>
      <c r="G23" s="2">
        <v>43</v>
      </c>
      <c r="H23" s="2">
        <v>788</v>
      </c>
      <c r="I23" s="2">
        <v>120</v>
      </c>
      <c r="J23" s="2">
        <v>0.1616541353</v>
      </c>
      <c r="K23" s="2">
        <v>0.13215859029999999</v>
      </c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</row>
    <row r="24" spans="1:22" x14ac:dyDescent="0.2">
      <c r="A24" s="4"/>
      <c r="B24" s="4" t="s">
        <v>22</v>
      </c>
      <c r="C24" s="4"/>
      <c r="D24" s="4" t="s">
        <v>44</v>
      </c>
      <c r="E24" s="4" t="s">
        <v>41</v>
      </c>
      <c r="F24" s="2">
        <v>73</v>
      </c>
      <c r="G24" s="2">
        <v>13</v>
      </c>
      <c r="H24" s="4">
        <v>331</v>
      </c>
      <c r="I24" s="2">
        <v>51</v>
      </c>
      <c r="J24" s="2">
        <v>0.15116279069999999</v>
      </c>
      <c r="K24" s="2">
        <v>0.13350785339999999</v>
      </c>
      <c r="L24" s="2">
        <v>0.62773722629999995</v>
      </c>
      <c r="M24" s="2">
        <v>0.72623574140000002</v>
      </c>
      <c r="N24" s="4"/>
      <c r="O24" s="4"/>
      <c r="P24" s="4"/>
      <c r="Q24" s="4"/>
      <c r="R24" s="4"/>
      <c r="S24" s="4"/>
      <c r="T24" s="4"/>
      <c r="U24" s="4"/>
      <c r="V24" s="4"/>
    </row>
    <row r="25" spans="1:22" x14ac:dyDescent="0.2">
      <c r="A25" s="4"/>
      <c r="B25" s="4" t="s">
        <v>22</v>
      </c>
      <c r="C25" s="4"/>
      <c r="D25" s="4"/>
      <c r="E25" s="4" t="s">
        <v>42</v>
      </c>
      <c r="F25" s="2">
        <v>117</v>
      </c>
      <c r="G25" s="2">
        <v>20</v>
      </c>
      <c r="H25" s="4">
        <v>457</v>
      </c>
      <c r="I25" s="2">
        <v>69</v>
      </c>
      <c r="J25" s="2">
        <v>0.1459854015</v>
      </c>
      <c r="K25" s="2">
        <v>0.13117870719999999</v>
      </c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</row>
    <row r="26" spans="1:22" x14ac:dyDescent="0.2">
      <c r="A26" s="4"/>
      <c r="B26" s="4" t="s">
        <v>22</v>
      </c>
      <c r="C26" s="4"/>
      <c r="D26" s="4"/>
      <c r="E26" s="4" t="s">
        <v>43</v>
      </c>
      <c r="F26" s="2">
        <v>190</v>
      </c>
      <c r="G26" s="2">
        <v>33</v>
      </c>
      <c r="H26" s="2">
        <v>788</v>
      </c>
      <c r="I26" s="2">
        <v>120</v>
      </c>
      <c r="J26" s="2">
        <v>0.14798206280000001</v>
      </c>
      <c r="K26" s="2">
        <v>0.13215859029999999</v>
      </c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</row>
    <row r="27" spans="1:22" x14ac:dyDescent="0.2">
      <c r="A27" s="4"/>
      <c r="B27" s="4" t="s">
        <v>22</v>
      </c>
      <c r="C27" s="4"/>
      <c r="D27" s="4" t="s">
        <v>45</v>
      </c>
      <c r="E27" s="4" t="s">
        <v>41</v>
      </c>
      <c r="F27" s="2">
        <v>158</v>
      </c>
      <c r="G27" s="2">
        <v>19</v>
      </c>
      <c r="H27" s="4">
        <v>331</v>
      </c>
      <c r="I27" s="2">
        <v>51</v>
      </c>
      <c r="J27" s="2">
        <v>0.10734463280000001</v>
      </c>
      <c r="K27" s="2">
        <v>0.13350785339999999</v>
      </c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</row>
    <row r="28" spans="1:22" x14ac:dyDescent="0.2">
      <c r="A28" s="4"/>
      <c r="B28" s="4" t="s">
        <v>22</v>
      </c>
      <c r="C28" s="4"/>
      <c r="D28" s="4"/>
      <c r="E28" s="4" t="s">
        <v>42</v>
      </c>
      <c r="F28" s="2">
        <v>198</v>
      </c>
      <c r="G28" s="2">
        <v>43</v>
      </c>
      <c r="H28" s="4">
        <v>457</v>
      </c>
      <c r="I28" s="2">
        <v>69</v>
      </c>
      <c r="J28" s="2">
        <v>0.1784232365</v>
      </c>
      <c r="K28" s="2">
        <v>0.13117870719999999</v>
      </c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</row>
    <row r="29" spans="1:22" x14ac:dyDescent="0.2">
      <c r="A29" s="4"/>
      <c r="B29" s="4" t="s">
        <v>22</v>
      </c>
      <c r="C29" s="4"/>
      <c r="D29" s="4"/>
      <c r="E29" s="4" t="s">
        <v>43</v>
      </c>
      <c r="F29" s="2">
        <v>356</v>
      </c>
      <c r="G29" s="2">
        <v>62</v>
      </c>
      <c r="H29" s="2">
        <v>788</v>
      </c>
      <c r="I29" s="2">
        <v>120</v>
      </c>
      <c r="J29" s="2">
        <v>0.14832535890000001</v>
      </c>
      <c r="K29" s="2">
        <v>0.13215859029999999</v>
      </c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</row>
    <row r="30" spans="1:22" x14ac:dyDescent="0.2">
      <c r="A30" s="2" t="s">
        <v>51</v>
      </c>
      <c r="B30" s="2" t="s">
        <v>23</v>
      </c>
      <c r="C30" s="2"/>
      <c r="D30" s="2" t="s">
        <v>40</v>
      </c>
      <c r="E30" s="2" t="s">
        <v>41</v>
      </c>
      <c r="F30" s="8">
        <v>13</v>
      </c>
      <c r="G30" s="8">
        <v>4</v>
      </c>
      <c r="H30" s="2">
        <v>41</v>
      </c>
      <c r="I30" s="2">
        <v>8</v>
      </c>
      <c r="J30" s="4" t="s">
        <v>52</v>
      </c>
      <c r="K30" s="4" t="s">
        <v>52</v>
      </c>
      <c r="L30" s="2"/>
      <c r="M30" s="2"/>
      <c r="N30" s="4"/>
      <c r="O30" s="2"/>
      <c r="P30" s="2"/>
      <c r="Q30" s="4"/>
      <c r="R30" s="4"/>
      <c r="S30" s="2"/>
      <c r="T30" s="2"/>
      <c r="U30" s="2"/>
      <c r="V30" s="4"/>
    </row>
    <row r="31" spans="1:22" x14ac:dyDescent="0.2">
      <c r="A31" s="4"/>
      <c r="B31" s="4" t="s">
        <v>23</v>
      </c>
      <c r="C31" s="4"/>
      <c r="D31" s="4"/>
      <c r="E31" s="4" t="s">
        <v>42</v>
      </c>
      <c r="F31" s="8">
        <v>3</v>
      </c>
      <c r="G31" s="8">
        <v>1</v>
      </c>
      <c r="H31" s="2">
        <v>26</v>
      </c>
      <c r="I31" s="9">
        <v>4</v>
      </c>
      <c r="J31" s="4" t="s">
        <v>52</v>
      </c>
      <c r="K31" s="4" t="s">
        <v>52</v>
      </c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</row>
    <row r="32" spans="1:22" x14ac:dyDescent="0.2">
      <c r="A32" s="4"/>
      <c r="B32" s="4" t="s">
        <v>23</v>
      </c>
      <c r="C32" s="4"/>
      <c r="D32" s="4"/>
      <c r="E32" s="4" t="s">
        <v>43</v>
      </c>
      <c r="F32" s="2">
        <v>16</v>
      </c>
      <c r="G32" s="2">
        <v>5</v>
      </c>
      <c r="H32" s="2">
        <v>67</v>
      </c>
      <c r="I32" s="2">
        <v>12</v>
      </c>
      <c r="J32" s="2">
        <v>0.2380952381</v>
      </c>
      <c r="K32" s="2">
        <v>0.1518987342</v>
      </c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</row>
    <row r="33" spans="1:22" x14ac:dyDescent="0.2">
      <c r="A33" s="4"/>
      <c r="B33" s="4" t="s">
        <v>23</v>
      </c>
      <c r="C33" s="4"/>
      <c r="D33" s="2" t="s">
        <v>44</v>
      </c>
      <c r="E33" s="4" t="s">
        <v>41</v>
      </c>
      <c r="F33" s="8">
        <v>13</v>
      </c>
      <c r="G33" s="8">
        <v>3</v>
      </c>
      <c r="H33" s="2">
        <v>41</v>
      </c>
      <c r="I33" s="2">
        <v>4</v>
      </c>
      <c r="J33" s="4" t="s">
        <v>52</v>
      </c>
      <c r="K33" s="4" t="s">
        <v>52</v>
      </c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</row>
    <row r="34" spans="1:22" x14ac:dyDescent="0.2">
      <c r="A34" s="4"/>
      <c r="B34" s="4" t="s">
        <v>23</v>
      </c>
      <c r="C34" s="4"/>
      <c r="D34" s="4"/>
      <c r="E34" s="4" t="s">
        <v>42</v>
      </c>
      <c r="F34" s="8">
        <v>9</v>
      </c>
      <c r="G34" s="8">
        <v>1</v>
      </c>
      <c r="H34" s="2">
        <v>26</v>
      </c>
      <c r="I34" s="9">
        <v>0</v>
      </c>
      <c r="J34" s="4" t="s">
        <v>52</v>
      </c>
      <c r="K34" s="4" t="s">
        <v>52</v>
      </c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</row>
    <row r="35" spans="1:22" x14ac:dyDescent="0.2">
      <c r="A35" s="4"/>
      <c r="B35" s="4" t="s">
        <v>23</v>
      </c>
      <c r="C35" s="4"/>
      <c r="D35" s="4"/>
      <c r="E35" s="4" t="s">
        <v>43</v>
      </c>
      <c r="F35" s="2">
        <v>22</v>
      </c>
      <c r="G35" s="2">
        <v>4</v>
      </c>
      <c r="H35" s="2">
        <v>67</v>
      </c>
      <c r="I35" s="2">
        <v>4</v>
      </c>
      <c r="J35" s="4" t="s">
        <v>52</v>
      </c>
      <c r="K35" s="4" t="s">
        <v>52</v>
      </c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</row>
    <row r="36" spans="1:22" x14ac:dyDescent="0.2">
      <c r="A36" s="4"/>
      <c r="B36" s="4" t="s">
        <v>23</v>
      </c>
      <c r="C36" s="4"/>
      <c r="D36" s="4" t="s">
        <v>45</v>
      </c>
      <c r="E36" s="4" t="s">
        <v>41</v>
      </c>
      <c r="F36" s="2">
        <v>38</v>
      </c>
      <c r="G36" s="2">
        <v>9</v>
      </c>
      <c r="H36" s="2">
        <v>41</v>
      </c>
      <c r="I36" s="2">
        <v>8</v>
      </c>
      <c r="J36" s="2">
        <v>0.1914893617</v>
      </c>
      <c r="K36" s="2">
        <v>0.16326530610000001</v>
      </c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</row>
    <row r="37" spans="1:22" x14ac:dyDescent="0.2">
      <c r="A37" s="4"/>
      <c r="B37" s="4" t="s">
        <v>23</v>
      </c>
      <c r="C37" s="4"/>
      <c r="D37" s="4"/>
      <c r="E37" s="4" t="s">
        <v>42</v>
      </c>
      <c r="F37" s="2">
        <v>26</v>
      </c>
      <c r="G37" s="2">
        <v>7</v>
      </c>
      <c r="H37" s="2">
        <v>26</v>
      </c>
      <c r="I37" s="9">
        <v>4</v>
      </c>
      <c r="J37" s="4" t="s">
        <v>52</v>
      </c>
      <c r="K37" s="4" t="s">
        <v>52</v>
      </c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</row>
    <row r="38" spans="1:22" x14ac:dyDescent="0.2">
      <c r="A38" s="4"/>
      <c r="B38" s="4" t="s">
        <v>23</v>
      </c>
      <c r="C38" s="4"/>
      <c r="D38" s="4"/>
      <c r="E38" s="4" t="s">
        <v>43</v>
      </c>
      <c r="F38" s="2">
        <v>64</v>
      </c>
      <c r="G38" s="2">
        <v>16</v>
      </c>
      <c r="H38" s="2">
        <v>67</v>
      </c>
      <c r="I38" s="2">
        <v>12</v>
      </c>
      <c r="J38" s="2">
        <v>0.2</v>
      </c>
      <c r="K38" s="2">
        <v>0.1518987342</v>
      </c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</row>
    <row r="39" spans="1:22" x14ac:dyDescent="0.2">
      <c r="A39" s="2" t="s">
        <v>16</v>
      </c>
      <c r="B39" s="2" t="s">
        <v>23</v>
      </c>
      <c r="C39" s="2"/>
      <c r="D39" s="2" t="s">
        <v>40</v>
      </c>
      <c r="E39" s="2" t="s">
        <v>41</v>
      </c>
      <c r="F39" s="2">
        <v>181</v>
      </c>
      <c r="G39" s="2">
        <v>24</v>
      </c>
      <c r="H39" s="2">
        <v>1468</v>
      </c>
      <c r="I39" s="2">
        <v>218</v>
      </c>
      <c r="J39" s="2">
        <v>0.11707317070000001</v>
      </c>
      <c r="K39" s="4"/>
      <c r="L39" s="2">
        <v>2.113402062</v>
      </c>
      <c r="M39" s="2">
        <v>2.0996264010000001</v>
      </c>
      <c r="N39" s="4"/>
      <c r="O39" s="2"/>
      <c r="P39" s="2"/>
      <c r="Q39" s="4"/>
      <c r="R39" s="4"/>
      <c r="S39" s="2"/>
      <c r="T39" s="2"/>
      <c r="U39" s="2"/>
      <c r="V39" s="4"/>
    </row>
    <row r="40" spans="1:22" x14ac:dyDescent="0.2">
      <c r="A40" s="4"/>
      <c r="B40" s="4" t="s">
        <v>23</v>
      </c>
      <c r="C40" s="4"/>
      <c r="D40" s="4"/>
      <c r="E40" s="4" t="s">
        <v>42</v>
      </c>
      <c r="F40" s="2">
        <v>81</v>
      </c>
      <c r="G40" s="2">
        <v>16</v>
      </c>
      <c r="H40" s="2">
        <v>724</v>
      </c>
      <c r="I40" s="2">
        <v>79</v>
      </c>
      <c r="J40" s="2">
        <v>0.16494845359999999</v>
      </c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</row>
    <row r="41" spans="1:22" x14ac:dyDescent="0.2">
      <c r="A41" s="4"/>
      <c r="B41" s="4" t="s">
        <v>23</v>
      </c>
      <c r="C41" s="4"/>
      <c r="D41" s="4"/>
      <c r="E41" s="4" t="s">
        <v>43</v>
      </c>
      <c r="F41" s="2">
        <v>262</v>
      </c>
      <c r="G41" s="2">
        <v>40</v>
      </c>
      <c r="H41" s="2">
        <v>2192</v>
      </c>
      <c r="I41" s="2">
        <v>297</v>
      </c>
      <c r="J41" s="2">
        <v>0.13245033110000001</v>
      </c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</row>
    <row r="42" spans="1:22" ht="18" customHeight="1" x14ac:dyDescent="0.2">
      <c r="A42" s="2" t="s">
        <v>53</v>
      </c>
      <c r="B42" s="2" t="s">
        <v>23</v>
      </c>
      <c r="C42" s="2"/>
      <c r="D42" s="2" t="s">
        <v>44</v>
      </c>
      <c r="E42" s="2" t="s">
        <v>41</v>
      </c>
      <c r="F42" s="2">
        <v>98</v>
      </c>
      <c r="G42" s="2">
        <v>31</v>
      </c>
      <c r="H42" s="4"/>
      <c r="I42" s="4"/>
      <c r="J42" s="2">
        <v>0.2403100775</v>
      </c>
      <c r="K42" s="2"/>
      <c r="L42" s="4"/>
      <c r="M42" s="4"/>
      <c r="N42" s="2">
        <v>96</v>
      </c>
      <c r="O42" s="2" t="s">
        <v>54</v>
      </c>
      <c r="P42" s="2">
        <v>97</v>
      </c>
      <c r="Q42" s="2">
        <v>97</v>
      </c>
      <c r="R42" s="4"/>
      <c r="S42" s="2"/>
      <c r="T42" s="2"/>
      <c r="U42" s="2"/>
      <c r="V42" s="4"/>
    </row>
    <row r="43" spans="1:22" x14ac:dyDescent="0.2">
      <c r="A43" s="4"/>
      <c r="B43" s="4" t="s">
        <v>23</v>
      </c>
      <c r="C43" s="4"/>
      <c r="D43" s="4"/>
      <c r="E43" s="4" t="s">
        <v>42</v>
      </c>
      <c r="F43" s="2">
        <v>33</v>
      </c>
      <c r="G43" s="2">
        <v>6</v>
      </c>
      <c r="H43" s="4"/>
      <c r="I43" s="4"/>
      <c r="J43" s="2">
        <v>0.1538461538</v>
      </c>
      <c r="K43" s="4"/>
      <c r="L43" s="4"/>
      <c r="M43" s="4"/>
      <c r="N43" s="2">
        <v>96</v>
      </c>
      <c r="O43" s="4" t="s">
        <v>55</v>
      </c>
      <c r="P43" s="2">
        <v>97</v>
      </c>
      <c r="Q43" s="2">
        <v>98</v>
      </c>
      <c r="R43" s="4"/>
      <c r="S43" s="4"/>
      <c r="T43" s="4"/>
      <c r="U43" s="4"/>
      <c r="V43" s="4"/>
    </row>
    <row r="44" spans="1:22" x14ac:dyDescent="0.2">
      <c r="A44" s="4"/>
      <c r="B44" s="4" t="s">
        <v>23</v>
      </c>
      <c r="C44" s="4"/>
      <c r="D44" s="4"/>
      <c r="E44" s="4" t="s">
        <v>43</v>
      </c>
      <c r="F44" s="2">
        <v>131</v>
      </c>
      <c r="G44" s="2">
        <v>37</v>
      </c>
      <c r="H44" s="4"/>
      <c r="I44" s="4"/>
      <c r="J44" s="2">
        <v>0.22023809520000001</v>
      </c>
      <c r="K44" s="4"/>
      <c r="L44" s="4"/>
      <c r="M44" s="4"/>
      <c r="N44" s="2">
        <v>96</v>
      </c>
      <c r="O44" s="4" t="s">
        <v>56</v>
      </c>
      <c r="P44" s="2">
        <v>97</v>
      </c>
      <c r="Q44" s="2">
        <v>98</v>
      </c>
      <c r="R44" s="4"/>
      <c r="S44" s="4"/>
      <c r="T44" s="4"/>
      <c r="U44" s="4"/>
      <c r="V44" s="4"/>
    </row>
    <row r="45" spans="1:22" x14ac:dyDescent="0.2">
      <c r="A45" s="4"/>
      <c r="B45" s="4" t="s">
        <v>23</v>
      </c>
      <c r="C45" s="4"/>
      <c r="D45" s="4"/>
      <c r="E45" s="4" t="s">
        <v>41</v>
      </c>
      <c r="F45" s="2">
        <v>14</v>
      </c>
      <c r="G45" s="2">
        <v>6</v>
      </c>
      <c r="H45" s="4"/>
      <c r="I45" s="4"/>
      <c r="J45" s="2">
        <v>0.3</v>
      </c>
      <c r="K45" s="4"/>
      <c r="L45" s="4"/>
      <c r="M45" s="4"/>
      <c r="N45" s="2">
        <v>168</v>
      </c>
      <c r="O45" s="10" t="s">
        <v>57</v>
      </c>
      <c r="P45" s="2">
        <v>171</v>
      </c>
      <c r="Q45" s="2">
        <v>170</v>
      </c>
      <c r="R45" s="4"/>
      <c r="S45" s="4"/>
      <c r="T45" s="4"/>
      <c r="U45" s="4"/>
      <c r="V45" s="4"/>
    </row>
    <row r="46" spans="1:22" x14ac:dyDescent="0.2">
      <c r="A46" s="4"/>
      <c r="B46" s="4" t="s">
        <v>23</v>
      </c>
      <c r="C46" s="4"/>
      <c r="D46" s="4"/>
      <c r="E46" s="4" t="s">
        <v>42</v>
      </c>
      <c r="F46" s="2">
        <v>5</v>
      </c>
      <c r="G46" s="2">
        <v>2</v>
      </c>
      <c r="H46" s="4"/>
      <c r="I46" s="4"/>
      <c r="J46" s="4" t="s">
        <v>52</v>
      </c>
      <c r="K46" s="4"/>
      <c r="L46" s="4"/>
      <c r="M46" s="4"/>
      <c r="N46" s="2">
        <v>168</v>
      </c>
      <c r="O46" s="2" t="s">
        <v>58</v>
      </c>
      <c r="P46" s="2">
        <v>174</v>
      </c>
      <c r="Q46" s="2">
        <v>174</v>
      </c>
      <c r="R46" s="4"/>
      <c r="S46" s="4"/>
      <c r="T46" s="4"/>
      <c r="U46" s="4"/>
      <c r="V46" s="4"/>
    </row>
    <row r="47" spans="1:22" x14ac:dyDescent="0.2">
      <c r="A47" s="4"/>
      <c r="B47" s="4" t="s">
        <v>23</v>
      </c>
      <c r="C47" s="4"/>
      <c r="D47" s="4"/>
      <c r="E47" s="4" t="s">
        <v>43</v>
      </c>
      <c r="F47" s="2">
        <v>19</v>
      </c>
      <c r="G47" s="2">
        <v>8</v>
      </c>
      <c r="H47" s="4"/>
      <c r="I47" s="4"/>
      <c r="J47" s="2">
        <v>0.29629629629999998</v>
      </c>
      <c r="K47" s="4"/>
      <c r="L47" s="4"/>
      <c r="M47" s="4"/>
      <c r="N47" s="2">
        <v>168</v>
      </c>
      <c r="O47" s="4" t="s">
        <v>57</v>
      </c>
      <c r="P47" s="2">
        <v>171</v>
      </c>
      <c r="Q47" s="2">
        <v>171</v>
      </c>
      <c r="R47" s="4"/>
      <c r="S47" s="4"/>
      <c r="T47" s="4"/>
      <c r="U47" s="4"/>
      <c r="V47" s="4"/>
    </row>
    <row r="48" spans="1:22" x14ac:dyDescent="0.2">
      <c r="A48" s="4" t="s">
        <v>59</v>
      </c>
      <c r="B48" s="2" t="s">
        <v>23</v>
      </c>
      <c r="C48" s="4"/>
      <c r="D48" s="2" t="s">
        <v>44</v>
      </c>
      <c r="E48" s="4" t="s">
        <v>41</v>
      </c>
      <c r="F48" s="2">
        <v>112</v>
      </c>
      <c r="G48" s="2">
        <v>37</v>
      </c>
      <c r="H48" s="2">
        <v>1468</v>
      </c>
      <c r="I48" s="2">
        <v>218</v>
      </c>
      <c r="J48" s="2">
        <v>0.2483221477</v>
      </c>
      <c r="K48" s="4"/>
      <c r="L48" s="2">
        <v>3.2391304349999999</v>
      </c>
      <c r="M48" s="2">
        <v>3.2175572520000002</v>
      </c>
      <c r="N48" s="4"/>
      <c r="O48" s="4"/>
      <c r="P48" s="4"/>
      <c r="Q48" s="4"/>
      <c r="R48" s="4"/>
      <c r="S48" s="4"/>
      <c r="T48" s="4"/>
      <c r="U48" s="4"/>
      <c r="V48" s="4"/>
    </row>
    <row r="49" spans="1:22" x14ac:dyDescent="0.2">
      <c r="A49" s="4"/>
      <c r="B49" s="4" t="s">
        <v>23</v>
      </c>
      <c r="C49" s="4"/>
      <c r="D49" s="4"/>
      <c r="E49" s="4" t="s">
        <v>42</v>
      </c>
      <c r="F49" s="2">
        <v>38</v>
      </c>
      <c r="G49" s="2">
        <v>8</v>
      </c>
      <c r="H49" s="2">
        <v>470</v>
      </c>
      <c r="I49" s="2">
        <v>54</v>
      </c>
      <c r="J49" s="2">
        <v>0.1739130435</v>
      </c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</row>
    <row r="50" spans="1:22" x14ac:dyDescent="0.2">
      <c r="A50" s="4"/>
      <c r="B50" s="4" t="s">
        <v>23</v>
      </c>
      <c r="C50" s="4"/>
      <c r="D50" s="4"/>
      <c r="E50" s="4" t="s">
        <v>43</v>
      </c>
      <c r="F50" s="2">
        <v>150</v>
      </c>
      <c r="G50" s="2">
        <v>45</v>
      </c>
      <c r="H50" s="2">
        <v>1938</v>
      </c>
      <c r="I50" s="2">
        <v>272</v>
      </c>
      <c r="J50" s="2">
        <v>0.2307692308</v>
      </c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</row>
    <row r="51" spans="1:22" x14ac:dyDescent="0.2">
      <c r="A51" s="2" t="s">
        <v>60</v>
      </c>
      <c r="B51" s="2" t="s">
        <v>23</v>
      </c>
      <c r="C51" s="2"/>
      <c r="D51" s="2" t="s">
        <v>61</v>
      </c>
      <c r="E51" s="2" t="s">
        <v>41</v>
      </c>
      <c r="F51" s="2">
        <v>259</v>
      </c>
      <c r="G51" s="2">
        <v>31</v>
      </c>
      <c r="H51" s="4"/>
      <c r="I51" s="4"/>
      <c r="J51" s="2">
        <v>0.10689655169999999</v>
      </c>
      <c r="K51" s="4"/>
      <c r="L51" s="4"/>
      <c r="M51" s="4"/>
      <c r="N51" s="4"/>
      <c r="O51" s="2" t="s">
        <v>62</v>
      </c>
      <c r="P51" s="2">
        <v>142</v>
      </c>
      <c r="Q51" s="2" t="s">
        <v>63</v>
      </c>
      <c r="R51" s="4"/>
      <c r="S51" s="2"/>
      <c r="T51" s="2"/>
      <c r="U51" s="2"/>
      <c r="V51" s="4"/>
    </row>
    <row r="52" spans="1:22" x14ac:dyDescent="0.2">
      <c r="A52" s="4"/>
      <c r="B52" s="4" t="s">
        <v>23</v>
      </c>
      <c r="C52" s="4"/>
      <c r="D52" s="4"/>
      <c r="E52" s="4" t="s">
        <v>42</v>
      </c>
      <c r="F52" s="2">
        <v>100</v>
      </c>
      <c r="G52" s="2">
        <v>5</v>
      </c>
      <c r="H52" s="4"/>
      <c r="I52" s="4"/>
      <c r="J52" s="2">
        <v>4.761904762E-2</v>
      </c>
      <c r="K52" s="4"/>
      <c r="L52" s="4"/>
      <c r="M52" s="4"/>
      <c r="N52" s="4"/>
      <c r="O52" s="4" t="s">
        <v>64</v>
      </c>
      <c r="P52" s="2">
        <v>134</v>
      </c>
      <c r="Q52" s="4" t="s">
        <v>65</v>
      </c>
      <c r="R52" s="4"/>
      <c r="S52" s="4"/>
      <c r="T52" s="4"/>
      <c r="U52" s="4"/>
      <c r="V52" s="4"/>
    </row>
    <row r="53" spans="1:22" x14ac:dyDescent="0.2">
      <c r="A53" s="4"/>
      <c r="B53" s="4" t="s">
        <v>23</v>
      </c>
      <c r="C53" s="4"/>
      <c r="D53" s="4"/>
      <c r="E53" s="4" t="s">
        <v>43</v>
      </c>
      <c r="F53" s="2">
        <v>359</v>
      </c>
      <c r="G53" s="2">
        <v>36</v>
      </c>
      <c r="H53" s="4"/>
      <c r="I53" s="4"/>
      <c r="J53" s="2">
        <v>9.1139240509999997E-2</v>
      </c>
      <c r="K53" s="4"/>
      <c r="L53" s="4"/>
      <c r="M53" s="4"/>
      <c r="N53" s="4"/>
      <c r="O53" s="4" t="s">
        <v>66</v>
      </c>
      <c r="P53" s="2">
        <v>140</v>
      </c>
      <c r="Q53" s="2" t="s">
        <v>67</v>
      </c>
      <c r="R53" s="4"/>
      <c r="S53" s="4"/>
      <c r="T53" s="4"/>
      <c r="U53" s="4"/>
      <c r="V53" s="4"/>
    </row>
    <row r="54" spans="1:22" x14ac:dyDescent="0.2">
      <c r="A54" s="2" t="s">
        <v>68</v>
      </c>
      <c r="B54" s="2" t="s">
        <v>23</v>
      </c>
      <c r="C54" s="2"/>
      <c r="D54" s="2" t="s">
        <v>40</v>
      </c>
      <c r="E54" s="2" t="s">
        <v>41</v>
      </c>
      <c r="F54" s="2">
        <v>137</v>
      </c>
      <c r="G54" s="2">
        <v>16</v>
      </c>
      <c r="H54" s="2">
        <v>33</v>
      </c>
      <c r="I54" s="2">
        <v>4</v>
      </c>
      <c r="J54" s="2">
        <v>0.1045751634</v>
      </c>
      <c r="K54" s="2"/>
      <c r="L54" s="2">
        <v>1.8658536590000001</v>
      </c>
      <c r="M54" s="2">
        <v>1.85</v>
      </c>
      <c r="N54" s="4"/>
      <c r="O54" s="2"/>
      <c r="P54" s="4"/>
      <c r="Q54" s="4"/>
      <c r="R54" s="4"/>
      <c r="S54" s="2"/>
      <c r="T54" s="2"/>
      <c r="U54" s="2"/>
      <c r="V54" s="4"/>
    </row>
    <row r="55" spans="1:22" x14ac:dyDescent="0.2">
      <c r="A55" s="4"/>
      <c r="B55" s="4" t="s">
        <v>23</v>
      </c>
      <c r="C55" s="4"/>
      <c r="D55" s="4"/>
      <c r="E55" s="4" t="s">
        <v>42</v>
      </c>
      <c r="F55" s="2">
        <v>70</v>
      </c>
      <c r="G55" s="2">
        <v>12</v>
      </c>
      <c r="H55" s="2">
        <v>17</v>
      </c>
      <c r="I55" s="2">
        <v>3</v>
      </c>
      <c r="J55" s="2">
        <v>0.14634146340000001</v>
      </c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</row>
    <row r="56" spans="1:22" x14ac:dyDescent="0.2">
      <c r="A56" s="4"/>
      <c r="B56" s="4" t="s">
        <v>23</v>
      </c>
      <c r="C56" s="4"/>
      <c r="D56" s="4"/>
      <c r="E56" s="4" t="s">
        <v>43</v>
      </c>
      <c r="F56" s="2">
        <v>207</v>
      </c>
      <c r="G56" s="2">
        <v>28</v>
      </c>
      <c r="H56" s="2">
        <v>50</v>
      </c>
      <c r="I56" s="2">
        <v>7</v>
      </c>
      <c r="J56" s="2">
        <v>0.1191489362</v>
      </c>
      <c r="K56" s="2">
        <v>0.1228070175</v>
      </c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8E827-9226-664E-A5DC-9CAE983779B2}">
  <dimension ref="A1:F8"/>
  <sheetViews>
    <sheetView workbookViewId="0">
      <selection activeCell="E8" sqref="E8"/>
    </sheetView>
  </sheetViews>
  <sheetFormatPr baseColWidth="10" defaultRowHeight="16" x14ac:dyDescent="0.2"/>
  <sheetData>
    <row r="1" spans="1:6" x14ac:dyDescent="0.2">
      <c r="A1" s="1" t="s">
        <v>13</v>
      </c>
      <c r="B1" s="1" t="s">
        <v>5</v>
      </c>
      <c r="C1" s="1" t="s">
        <v>4</v>
      </c>
      <c r="D1" s="1" t="s">
        <v>0</v>
      </c>
      <c r="E1" s="1" t="s">
        <v>1</v>
      </c>
      <c r="F1" s="1" t="s">
        <v>21</v>
      </c>
    </row>
    <row r="2" spans="1:6" x14ac:dyDescent="0.2">
      <c r="A2" t="s">
        <v>8</v>
      </c>
      <c r="B2">
        <v>6</v>
      </c>
      <c r="C2">
        <f>6+77</f>
        <v>83</v>
      </c>
      <c r="D2">
        <v>21</v>
      </c>
      <c r="E2">
        <f>21+250</f>
        <v>271</v>
      </c>
      <c r="F2" s="2" t="s">
        <v>22</v>
      </c>
    </row>
    <row r="3" spans="1:6" x14ac:dyDescent="0.2">
      <c r="A3" t="s">
        <v>9</v>
      </c>
      <c r="B3">
        <v>6</v>
      </c>
      <c r="C3">
        <f>6+49</f>
        <v>55</v>
      </c>
      <c r="D3">
        <v>12</v>
      </c>
      <c r="E3">
        <f>12+141</f>
        <v>153</v>
      </c>
      <c r="F3" s="2" t="s">
        <v>22</v>
      </c>
    </row>
    <row r="4" spans="1:6" x14ac:dyDescent="0.2">
      <c r="A4" t="s">
        <v>12</v>
      </c>
      <c r="B4">
        <v>18</v>
      </c>
      <c r="C4">
        <f>18+158</f>
        <v>176</v>
      </c>
      <c r="D4">
        <v>136</v>
      </c>
      <c r="E4" s="6">
        <f>136+1136</f>
        <v>1272</v>
      </c>
      <c r="F4" s="2" t="s">
        <v>22</v>
      </c>
    </row>
    <row r="5" spans="1:6" x14ac:dyDescent="0.2">
      <c r="A5" t="s">
        <v>11</v>
      </c>
      <c r="B5">
        <v>43</v>
      </c>
      <c r="C5">
        <f>43+198</f>
        <v>241</v>
      </c>
      <c r="D5">
        <v>69</v>
      </c>
      <c r="E5">
        <f>69+457</f>
        <v>526</v>
      </c>
      <c r="F5" s="2" t="s">
        <v>22</v>
      </c>
    </row>
    <row r="6" spans="1:6" x14ac:dyDescent="0.2">
      <c r="A6" t="s">
        <v>15</v>
      </c>
      <c r="B6">
        <v>8</v>
      </c>
      <c r="C6">
        <f>8+38</f>
        <v>46</v>
      </c>
      <c r="D6" s="5">
        <v>54</v>
      </c>
      <c r="E6" s="5">
        <f>54+470</f>
        <v>524</v>
      </c>
      <c r="F6" s="2" t="s">
        <v>23</v>
      </c>
    </row>
    <row r="7" spans="1:6" x14ac:dyDescent="0.2">
      <c r="A7" t="s">
        <v>16</v>
      </c>
      <c r="B7">
        <v>16</v>
      </c>
      <c r="C7">
        <f>16+81</f>
        <v>97</v>
      </c>
      <c r="D7" s="5">
        <v>79</v>
      </c>
      <c r="E7" s="5">
        <f>79+724</f>
        <v>803</v>
      </c>
      <c r="F7" s="2" t="s">
        <v>23</v>
      </c>
    </row>
    <row r="8" spans="1:6" x14ac:dyDescent="0.2">
      <c r="A8" t="s">
        <v>108</v>
      </c>
      <c r="B8">
        <v>533</v>
      </c>
      <c r="C8">
        <f>533+2408</f>
        <v>2941</v>
      </c>
      <c r="D8">
        <f>11227</f>
        <v>11227</v>
      </c>
      <c r="E8">
        <f>D8+87449</f>
        <v>98676</v>
      </c>
      <c r="F8" s="2" t="s">
        <v>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91A93-20D8-5240-A569-93FEDF0E77E0}">
  <dimension ref="A1:F8"/>
  <sheetViews>
    <sheetView workbookViewId="0">
      <selection activeCell="B5" sqref="B5"/>
    </sheetView>
  </sheetViews>
  <sheetFormatPr baseColWidth="10" defaultRowHeight="16" x14ac:dyDescent="0.2"/>
  <cols>
    <col min="2" max="2" width="21.1640625" bestFit="1" customWidth="1"/>
    <col min="6" max="6" width="15.83203125" bestFit="1" customWidth="1"/>
  </cols>
  <sheetData>
    <row r="1" spans="1:6" x14ac:dyDescent="0.2">
      <c r="A1" s="1" t="s">
        <v>13</v>
      </c>
      <c r="B1" s="1" t="s">
        <v>5</v>
      </c>
      <c r="C1" s="1" t="s">
        <v>4</v>
      </c>
      <c r="D1" s="1" t="s">
        <v>0</v>
      </c>
      <c r="E1" s="1" t="s">
        <v>1</v>
      </c>
      <c r="F1" s="1" t="s">
        <v>21</v>
      </c>
    </row>
    <row r="2" spans="1:6" x14ac:dyDescent="0.2">
      <c r="A2" t="s">
        <v>8</v>
      </c>
      <c r="B2">
        <v>16</v>
      </c>
      <c r="C2">
        <f>16+105</f>
        <v>121</v>
      </c>
      <c r="D2">
        <v>35</v>
      </c>
      <c r="E2">
        <f>35+360</f>
        <v>395</v>
      </c>
      <c r="F2" s="2" t="s">
        <v>22</v>
      </c>
    </row>
    <row r="3" spans="1:6" x14ac:dyDescent="0.2">
      <c r="A3" t="s">
        <v>9</v>
      </c>
      <c r="B3">
        <v>15</v>
      </c>
      <c r="C3">
        <f>15+87</f>
        <v>102</v>
      </c>
      <c r="D3">
        <v>37</v>
      </c>
      <c r="E3">
        <f>37+248</f>
        <v>285</v>
      </c>
      <c r="F3" s="2" t="s">
        <v>22</v>
      </c>
    </row>
    <row r="4" spans="1:6" x14ac:dyDescent="0.2">
      <c r="A4" t="s">
        <v>12</v>
      </c>
      <c r="B4">
        <v>27</v>
      </c>
      <c r="C4">
        <v>210</v>
      </c>
      <c r="D4">
        <v>218</v>
      </c>
      <c r="E4" s="6">
        <f>218+1468</f>
        <v>1686</v>
      </c>
      <c r="F4" s="2" t="s">
        <v>22</v>
      </c>
    </row>
    <row r="5" spans="1:6" x14ac:dyDescent="0.2">
      <c r="A5" t="s">
        <v>11</v>
      </c>
      <c r="B5">
        <v>19</v>
      </c>
      <c r="C5">
        <f>19+158</f>
        <v>177</v>
      </c>
      <c r="D5">
        <v>51</v>
      </c>
      <c r="E5">
        <f>51+331</f>
        <v>382</v>
      </c>
      <c r="F5" s="2" t="s">
        <v>22</v>
      </c>
    </row>
    <row r="6" spans="1:6" x14ac:dyDescent="0.2">
      <c r="A6" t="s">
        <v>15</v>
      </c>
      <c r="B6">
        <v>37</v>
      </c>
      <c r="C6">
        <f>37+112</f>
        <v>149</v>
      </c>
      <c r="D6">
        <v>218</v>
      </c>
      <c r="E6" s="6">
        <f>218+1468</f>
        <v>1686</v>
      </c>
      <c r="F6" s="2" t="s">
        <v>23</v>
      </c>
    </row>
    <row r="7" spans="1:6" ht="15" customHeight="1" x14ac:dyDescent="0.2">
      <c r="A7" t="s">
        <v>16</v>
      </c>
      <c r="B7">
        <v>24</v>
      </c>
      <c r="C7">
        <f>24+181</f>
        <v>205</v>
      </c>
      <c r="D7">
        <v>218</v>
      </c>
      <c r="E7" s="6">
        <f>218+1468</f>
        <v>1686</v>
      </c>
      <c r="F7" s="2" t="s">
        <v>23</v>
      </c>
    </row>
    <row r="8" spans="1:6" x14ac:dyDescent="0.2">
      <c r="A8" t="s">
        <v>108</v>
      </c>
      <c r="B8" s="44">
        <v>745</v>
      </c>
      <c r="C8" s="44">
        <f>B8+3437</f>
        <v>4182</v>
      </c>
      <c r="D8" s="44">
        <v>14359</v>
      </c>
      <c r="E8" s="44">
        <f>93249+D8</f>
        <v>107608</v>
      </c>
      <c r="F8" s="2" t="s">
        <v>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C58A0-AE3B-164A-826D-BCBAEC3E436B}">
  <dimension ref="A1:E7"/>
  <sheetViews>
    <sheetView workbookViewId="0">
      <selection activeCell="D6" sqref="D6:E6"/>
    </sheetView>
  </sheetViews>
  <sheetFormatPr baseColWidth="10" defaultRowHeight="16" x14ac:dyDescent="0.2"/>
  <cols>
    <col min="1" max="1" width="11" bestFit="1" customWidth="1"/>
    <col min="2" max="2" width="16.83203125" bestFit="1" customWidth="1"/>
    <col min="3" max="3" width="12" bestFit="1" customWidth="1"/>
    <col min="4" max="4" width="15.1640625" bestFit="1" customWidth="1"/>
    <col min="5" max="5" width="10.5" bestFit="1" customWidth="1"/>
  </cols>
  <sheetData>
    <row r="1" spans="1:5" x14ac:dyDescent="0.2">
      <c r="A1" s="1" t="s">
        <v>13</v>
      </c>
      <c r="B1" s="1" t="s">
        <v>2</v>
      </c>
      <c r="C1" s="1" t="s">
        <v>3</v>
      </c>
      <c r="D1" s="1" t="s">
        <v>0</v>
      </c>
      <c r="E1" s="1" t="s">
        <v>1</v>
      </c>
    </row>
    <row r="2" spans="1:5" x14ac:dyDescent="0.2">
      <c r="A2" t="s">
        <v>8</v>
      </c>
      <c r="B2">
        <v>22</v>
      </c>
      <c r="C2">
        <f>22+182</f>
        <v>204</v>
      </c>
      <c r="D2">
        <v>56</v>
      </c>
      <c r="E2">
        <f>56+610</f>
        <v>666</v>
      </c>
    </row>
    <row r="3" spans="1:5" x14ac:dyDescent="0.2">
      <c r="A3" t="s">
        <v>9</v>
      </c>
      <c r="B3">
        <v>21</v>
      </c>
      <c r="C3">
        <f>21+136</f>
        <v>157</v>
      </c>
      <c r="D3">
        <v>49</v>
      </c>
      <c r="E3">
        <f>389+49</f>
        <v>438</v>
      </c>
    </row>
    <row r="4" spans="1:5" x14ac:dyDescent="0.2">
      <c r="A4" t="s">
        <v>12</v>
      </c>
      <c r="B4">
        <v>29</v>
      </c>
      <c r="C4">
        <f>225+29</f>
        <v>254</v>
      </c>
      <c r="D4">
        <v>354</v>
      </c>
      <c r="E4" s="6">
        <f>354+2604</f>
        <v>2958</v>
      </c>
    </row>
    <row r="5" spans="1:5" x14ac:dyDescent="0.2">
      <c r="A5" t="s">
        <v>11</v>
      </c>
      <c r="B5">
        <v>33</v>
      </c>
      <c r="C5">
        <f>33+190</f>
        <v>223</v>
      </c>
      <c r="D5">
        <f>70+50</f>
        <v>120</v>
      </c>
      <c r="E5">
        <f>526+382</f>
        <v>908</v>
      </c>
    </row>
    <row r="6" spans="1:5" x14ac:dyDescent="0.2">
      <c r="A6" s="6" t="s">
        <v>14</v>
      </c>
      <c r="B6" s="6">
        <v>9</v>
      </c>
      <c r="C6" s="6">
        <v>39</v>
      </c>
      <c r="D6" s="50">
        <v>9</v>
      </c>
      <c r="E6" s="50">
        <v>56</v>
      </c>
    </row>
    <row r="7" spans="1:5" x14ac:dyDescent="0.2">
      <c r="A7" t="s">
        <v>15</v>
      </c>
      <c r="B7">
        <v>45</v>
      </c>
      <c r="C7">
        <f>45+150</f>
        <v>195</v>
      </c>
      <c r="D7" s="5">
        <v>272</v>
      </c>
      <c r="E7" s="5">
        <f>272+1938</f>
        <v>2210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73FEF-7270-914F-9008-FD5984BFD23F}">
  <dimension ref="A1:E6"/>
  <sheetViews>
    <sheetView workbookViewId="0">
      <selection activeCell="E13" sqref="E13"/>
    </sheetView>
  </sheetViews>
  <sheetFormatPr baseColWidth="10" defaultRowHeight="16" x14ac:dyDescent="0.2"/>
  <cols>
    <col min="2" max="2" width="15.1640625" bestFit="1" customWidth="1"/>
    <col min="3" max="3" width="10.5" bestFit="1" customWidth="1"/>
  </cols>
  <sheetData>
    <row r="1" spans="1:5" x14ac:dyDescent="0.2">
      <c r="A1" s="1" t="s">
        <v>13</v>
      </c>
      <c r="B1" s="1" t="s">
        <v>2</v>
      </c>
      <c r="C1" s="1" t="s">
        <v>3</v>
      </c>
      <c r="D1" s="1" t="s">
        <v>0</v>
      </c>
      <c r="E1" s="1" t="s">
        <v>1</v>
      </c>
    </row>
    <row r="2" spans="1:5" x14ac:dyDescent="0.2">
      <c r="A2" t="s">
        <v>8</v>
      </c>
      <c r="B2">
        <f>'google data'!G19</f>
        <v>6</v>
      </c>
      <c r="C2">
        <f>'google data'!G19+'google data'!F19</f>
        <v>83</v>
      </c>
      <c r="D2">
        <f>'google data'!I19</f>
        <v>21</v>
      </c>
      <c r="E2">
        <f>'google data'!I19+'google data'!H19</f>
        <v>271</v>
      </c>
    </row>
    <row r="3" spans="1:5" x14ac:dyDescent="0.2">
      <c r="A3" t="s">
        <v>9</v>
      </c>
      <c r="B3">
        <f>'google data'!G16</f>
        <v>6</v>
      </c>
      <c r="C3">
        <f>'google data'!G16+'google data'!F16</f>
        <v>55</v>
      </c>
      <c r="D3">
        <f>'google data'!I16</f>
        <v>12</v>
      </c>
      <c r="E3">
        <f>'google data'!I16+'google data'!H16</f>
        <v>153</v>
      </c>
    </row>
    <row r="4" spans="1:5" x14ac:dyDescent="0.2">
      <c r="A4" t="s">
        <v>12</v>
      </c>
      <c r="B4">
        <f>'google data'!G7</f>
        <v>12</v>
      </c>
      <c r="C4">
        <f>12+92</f>
        <v>104</v>
      </c>
      <c r="D4">
        <f>'google data'!I7</f>
        <v>136</v>
      </c>
      <c r="E4">
        <f>'google data'!I7+'google data'!H7</f>
        <v>1272</v>
      </c>
    </row>
    <row r="5" spans="1:5" x14ac:dyDescent="0.2">
      <c r="A5" t="s">
        <v>11</v>
      </c>
      <c r="B5">
        <f>'google data'!G25</f>
        <v>20</v>
      </c>
      <c r="C5">
        <f>'google data'!G25+'google data'!F25</f>
        <v>137</v>
      </c>
      <c r="D5">
        <f>'google data'!I25</f>
        <v>69</v>
      </c>
      <c r="E5">
        <f>'google data'!I25+'google data'!H25</f>
        <v>526</v>
      </c>
    </row>
    <row r="6" spans="1:5" x14ac:dyDescent="0.2">
      <c r="A6" t="s">
        <v>15</v>
      </c>
      <c r="B6">
        <f>'google data'!G49</f>
        <v>8</v>
      </c>
      <c r="C6">
        <f>'google data'!G49+'google data'!F49</f>
        <v>46</v>
      </c>
      <c r="D6">
        <f>'google data'!I49</f>
        <v>54</v>
      </c>
      <c r="E6">
        <f>'google data'!I49+'google data'!H49</f>
        <v>524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E7F40-3DCB-9F42-8DBE-43E3A4FFD2E1}">
  <dimension ref="A1:E6"/>
  <sheetViews>
    <sheetView workbookViewId="0">
      <selection activeCell="I23" sqref="I23"/>
    </sheetView>
  </sheetViews>
  <sheetFormatPr baseColWidth="10" defaultRowHeight="16" x14ac:dyDescent="0.2"/>
  <sheetData>
    <row r="1" spans="1:5" x14ac:dyDescent="0.2">
      <c r="A1" s="1" t="s">
        <v>13</v>
      </c>
      <c r="B1" s="1" t="s">
        <v>2</v>
      </c>
      <c r="C1" s="1" t="s">
        <v>3</v>
      </c>
      <c r="D1" s="1" t="s">
        <v>0</v>
      </c>
      <c r="E1" s="1" t="s">
        <v>1</v>
      </c>
    </row>
    <row r="2" spans="1:5" x14ac:dyDescent="0.2">
      <c r="A2" t="s">
        <v>8</v>
      </c>
      <c r="B2">
        <f>'google data'!G18</f>
        <v>16</v>
      </c>
      <c r="C2">
        <f>'google data'!G18+'google data'!F18</f>
        <v>121</v>
      </c>
      <c r="D2">
        <f>'google data'!I18</f>
        <v>35</v>
      </c>
      <c r="E2">
        <f>'google data'!I18+'google data'!H18</f>
        <v>395</v>
      </c>
    </row>
    <row r="3" spans="1:5" x14ac:dyDescent="0.2">
      <c r="A3" t="s">
        <v>9</v>
      </c>
      <c r="B3">
        <f>'google data'!G15</f>
        <v>15</v>
      </c>
      <c r="C3">
        <f>'google data'!G15+'google data'!F15</f>
        <v>102</v>
      </c>
      <c r="D3">
        <f>'google data'!I15</f>
        <v>37</v>
      </c>
      <c r="E3">
        <f>'google data'!I15+'google data'!H15</f>
        <v>285</v>
      </c>
    </row>
    <row r="4" spans="1:5" x14ac:dyDescent="0.2">
      <c r="A4" t="s">
        <v>12</v>
      </c>
      <c r="B4">
        <f>'google data'!G6</f>
        <v>17</v>
      </c>
      <c r="C4">
        <f>'google data'!G6+'google data'!F6</f>
        <v>150</v>
      </c>
      <c r="D4">
        <f>'google data'!I6</f>
        <v>218</v>
      </c>
      <c r="E4">
        <f>'google data'!I6+'google data'!H6</f>
        <v>1686</v>
      </c>
    </row>
    <row r="5" spans="1:5" x14ac:dyDescent="0.2">
      <c r="A5" t="s">
        <v>11</v>
      </c>
      <c r="B5">
        <f>'google data'!G24</f>
        <v>13</v>
      </c>
      <c r="C5">
        <f>'google data'!G24+'google data'!F24</f>
        <v>86</v>
      </c>
      <c r="D5">
        <f>'google data'!I24</f>
        <v>51</v>
      </c>
      <c r="E5">
        <f>'google data'!I24+'google data'!H24</f>
        <v>382</v>
      </c>
    </row>
    <row r="6" spans="1:5" x14ac:dyDescent="0.2">
      <c r="A6" t="s">
        <v>15</v>
      </c>
      <c r="B6">
        <f>'google data'!G48</f>
        <v>37</v>
      </c>
      <c r="C6">
        <f>'google data'!G48+'google data'!F48</f>
        <v>149</v>
      </c>
      <c r="D6">
        <f>'google data'!I48</f>
        <v>218</v>
      </c>
      <c r="E6">
        <f>'google data'!I48+'google data'!H48</f>
        <v>1686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7D760-B96E-3246-9702-6C0D2F3D090B}">
  <dimension ref="A1:I32"/>
  <sheetViews>
    <sheetView zoomScale="95" zoomScaleNormal="95" workbookViewId="0">
      <selection activeCell="J38" sqref="J38"/>
    </sheetView>
  </sheetViews>
  <sheetFormatPr baseColWidth="10" defaultRowHeight="16" x14ac:dyDescent="0.2"/>
  <sheetData>
    <row r="1" spans="1:5" x14ac:dyDescent="0.2">
      <c r="A1" s="1" t="s">
        <v>13</v>
      </c>
      <c r="B1" s="1" t="s">
        <v>6</v>
      </c>
      <c r="C1" s="1" t="s">
        <v>7</v>
      </c>
      <c r="D1" s="1" t="s">
        <v>0</v>
      </c>
      <c r="E1" s="1" t="s">
        <v>1</v>
      </c>
    </row>
    <row r="2" spans="1:5" x14ac:dyDescent="0.2">
      <c r="A2" t="s">
        <v>16</v>
      </c>
      <c r="B2">
        <v>40</v>
      </c>
      <c r="C2">
        <v>302</v>
      </c>
      <c r="D2" s="5">
        <v>297</v>
      </c>
      <c r="E2" s="5">
        <f>297+2192</f>
        <v>2489</v>
      </c>
    </row>
    <row r="3" spans="1:5" x14ac:dyDescent="0.2">
      <c r="A3" t="s">
        <v>10</v>
      </c>
      <c r="B3">
        <v>28</v>
      </c>
      <c r="C3">
        <f>28+70+137</f>
        <v>235</v>
      </c>
      <c r="D3">
        <v>7</v>
      </c>
      <c r="E3">
        <f>7+33+17</f>
        <v>57</v>
      </c>
    </row>
    <row r="4" spans="1:5" x14ac:dyDescent="0.2">
      <c r="A4" t="s">
        <v>11</v>
      </c>
      <c r="B4">
        <v>43</v>
      </c>
      <c r="C4">
        <f>223+43</f>
        <v>266</v>
      </c>
      <c r="D4">
        <f>70+50</f>
        <v>120</v>
      </c>
      <c r="E4">
        <f>526+382</f>
        <v>908</v>
      </c>
    </row>
    <row r="5" spans="1:5" x14ac:dyDescent="0.2">
      <c r="A5" t="s">
        <v>12</v>
      </c>
      <c r="B5">
        <v>16</v>
      </c>
      <c r="C5">
        <f>98+16</f>
        <v>114</v>
      </c>
      <c r="D5">
        <v>354</v>
      </c>
      <c r="E5" s="6">
        <f>354+2604</f>
        <v>2958</v>
      </c>
    </row>
    <row r="6" spans="1:5" x14ac:dyDescent="0.2">
      <c r="A6" t="s">
        <v>102</v>
      </c>
      <c r="B6">
        <v>31</v>
      </c>
      <c r="C6">
        <f>31+203</f>
        <v>234</v>
      </c>
      <c r="D6">
        <v>136</v>
      </c>
      <c r="E6">
        <f>136+914</f>
        <v>1050</v>
      </c>
    </row>
    <row r="7" spans="1:5" x14ac:dyDescent="0.2">
      <c r="A7" t="s">
        <v>14</v>
      </c>
      <c r="B7">
        <v>14</v>
      </c>
      <c r="C7">
        <v>50</v>
      </c>
      <c r="D7" s="50">
        <v>9</v>
      </c>
      <c r="E7" s="50">
        <v>56</v>
      </c>
    </row>
    <row r="18" spans="3:9" x14ac:dyDescent="0.2">
      <c r="E18" s="2"/>
      <c r="F18" s="2"/>
      <c r="G18" s="2"/>
      <c r="I18" s="2"/>
    </row>
    <row r="19" spans="3:9" x14ac:dyDescent="0.2">
      <c r="E19" s="2"/>
      <c r="F19" s="2"/>
      <c r="I19" s="2"/>
    </row>
    <row r="20" spans="3:9" x14ac:dyDescent="0.2">
      <c r="E20" s="2"/>
      <c r="F20" s="2"/>
    </row>
    <row r="28" spans="3:9" x14ac:dyDescent="0.2">
      <c r="C28" s="3"/>
      <c r="E28" s="3"/>
    </row>
    <row r="29" spans="3:9" x14ac:dyDescent="0.2">
      <c r="C29" s="3"/>
      <c r="D29" s="3"/>
      <c r="E29" s="3"/>
      <c r="F29" s="3"/>
    </row>
    <row r="30" spans="3:9" x14ac:dyDescent="0.2">
      <c r="C30" s="4"/>
      <c r="D30" s="4"/>
      <c r="E30" s="2"/>
      <c r="F30" s="2"/>
    </row>
    <row r="31" spans="3:9" x14ac:dyDescent="0.2">
      <c r="C31" s="4"/>
      <c r="D31" s="4"/>
      <c r="E31" s="2"/>
      <c r="F31" s="2"/>
    </row>
    <row r="32" spans="3:9" x14ac:dyDescent="0.2">
      <c r="C32" s="2"/>
      <c r="D32" s="2"/>
      <c r="E32" s="2"/>
      <c r="F32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2AA266-2735-8C43-9155-1133034A0A26}">
  <dimension ref="A1:E5"/>
  <sheetViews>
    <sheetView workbookViewId="0">
      <selection activeCell="D4" sqref="D4"/>
    </sheetView>
  </sheetViews>
  <sheetFormatPr baseColWidth="10" defaultRowHeight="16" x14ac:dyDescent="0.2"/>
  <sheetData>
    <row r="1" spans="1:5" x14ac:dyDescent="0.2">
      <c r="A1" s="1" t="s">
        <v>13</v>
      </c>
      <c r="B1" s="1" t="s">
        <v>6</v>
      </c>
      <c r="C1" s="1" t="s">
        <v>7</v>
      </c>
      <c r="D1" s="1" t="s">
        <v>0</v>
      </c>
      <c r="E1" s="1" t="s">
        <v>1</v>
      </c>
    </row>
    <row r="2" spans="1:5" x14ac:dyDescent="0.2">
      <c r="A2" t="s">
        <v>16</v>
      </c>
      <c r="B2">
        <f>'google data'!G40</f>
        <v>16</v>
      </c>
      <c r="C2">
        <f>'google data'!G40+'google data'!F40</f>
        <v>97</v>
      </c>
      <c r="D2" s="5">
        <f>'google data'!I40</f>
        <v>79</v>
      </c>
      <c r="E2" s="5">
        <f>'google data'!I40+'google data'!H40</f>
        <v>803</v>
      </c>
    </row>
    <row r="3" spans="1:5" x14ac:dyDescent="0.2">
      <c r="A3" t="s">
        <v>11</v>
      </c>
      <c r="B3">
        <f>'google data'!G22</f>
        <v>30</v>
      </c>
      <c r="C3">
        <f>'google data'!G22+'google data'!F22</f>
        <v>143</v>
      </c>
      <c r="D3">
        <f>'google data'!I22</f>
        <v>69</v>
      </c>
      <c r="E3">
        <f>'google data'!I22+'google data'!H22</f>
        <v>526</v>
      </c>
    </row>
    <row r="4" spans="1:5" x14ac:dyDescent="0.2">
      <c r="A4" t="s">
        <v>12</v>
      </c>
      <c r="B4">
        <v>10</v>
      </c>
      <c r="C4">
        <f>10+50</f>
        <v>60</v>
      </c>
      <c r="D4">
        <f>'google data'!I4</f>
        <v>136</v>
      </c>
      <c r="E4" s="6">
        <f>'google data'!I4+'google data'!H4</f>
        <v>1272</v>
      </c>
    </row>
    <row r="5" spans="1:5" x14ac:dyDescent="0.2">
      <c r="A5" t="s">
        <v>102</v>
      </c>
      <c r="B5">
        <v>13</v>
      </c>
      <c r="C5">
        <f>13+106</f>
        <v>119</v>
      </c>
      <c r="D5">
        <v>70</v>
      </c>
      <c r="E5">
        <f>70+464</f>
        <v>534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2C54D-ECEF-5B4A-B2FE-0D87E182EEEB}">
  <dimension ref="A1:E5"/>
  <sheetViews>
    <sheetView workbookViewId="0">
      <selection activeCell="J16" sqref="J16"/>
    </sheetView>
  </sheetViews>
  <sheetFormatPr baseColWidth="10" defaultRowHeight="16" x14ac:dyDescent="0.2"/>
  <sheetData>
    <row r="1" spans="1:5" x14ac:dyDescent="0.2">
      <c r="A1" s="1" t="s">
        <v>13</v>
      </c>
      <c r="B1" s="1" t="s">
        <v>6</v>
      </c>
      <c r="C1" s="1" t="s">
        <v>7</v>
      </c>
      <c r="D1" s="1" t="s">
        <v>0</v>
      </c>
      <c r="E1" s="1" t="s">
        <v>1</v>
      </c>
    </row>
    <row r="2" spans="1:5" x14ac:dyDescent="0.2">
      <c r="A2" t="s">
        <v>16</v>
      </c>
      <c r="B2">
        <f>'google data'!G39</f>
        <v>24</v>
      </c>
      <c r="C2">
        <f>'google data'!G39+'google data'!F39</f>
        <v>205</v>
      </c>
      <c r="D2" s="5">
        <f>'google data'!I39</f>
        <v>218</v>
      </c>
      <c r="E2" s="5">
        <f>'google data'!I39+'google data'!H39</f>
        <v>1686</v>
      </c>
    </row>
    <row r="3" spans="1:5" x14ac:dyDescent="0.2">
      <c r="A3" t="s">
        <v>11</v>
      </c>
      <c r="B3">
        <f>'google data'!G21</f>
        <v>13</v>
      </c>
      <c r="C3">
        <f>'google data'!G21+'google data'!F21</f>
        <v>123</v>
      </c>
      <c r="D3">
        <f>'google data'!I21</f>
        <v>51</v>
      </c>
      <c r="E3">
        <f>'google data'!I21+'google data'!H21</f>
        <v>382</v>
      </c>
    </row>
    <row r="4" spans="1:5" x14ac:dyDescent="0.2">
      <c r="A4" t="s">
        <v>12</v>
      </c>
      <c r="B4">
        <v>6</v>
      </c>
      <c r="C4">
        <f>6+48</f>
        <v>54</v>
      </c>
      <c r="D4">
        <f>'google data'!I3</f>
        <v>218</v>
      </c>
      <c r="E4" s="6">
        <f>'google data'!I3+'google data'!H3</f>
        <v>1686</v>
      </c>
    </row>
    <row r="5" spans="1:5" x14ac:dyDescent="0.2">
      <c r="A5" t="s">
        <v>102</v>
      </c>
      <c r="B5">
        <v>18</v>
      </c>
      <c r="C5">
        <f>18+97</f>
        <v>115</v>
      </c>
      <c r="D5">
        <v>66</v>
      </c>
      <c r="E5">
        <f>66+450</f>
        <v>516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Combined2</vt:lpstr>
      <vt:lpstr>Combined-Female2</vt:lpstr>
      <vt:lpstr>Combined-Male2</vt:lpstr>
      <vt:lpstr>SLI-All</vt:lpstr>
      <vt:lpstr>SLI-Female</vt:lpstr>
      <vt:lpstr>SLI-Male</vt:lpstr>
      <vt:lpstr>RD-All</vt:lpstr>
      <vt:lpstr>RD-Female</vt:lpstr>
      <vt:lpstr>RD-Male</vt:lpstr>
      <vt:lpstr>Check_16052021</vt:lpstr>
      <vt:lpstr>Peters - Filippo</vt:lpstr>
      <vt:lpstr>Peters - Silvia</vt:lpstr>
      <vt:lpstr>Peters_all</vt:lpstr>
      <vt:lpstr>Combined-Male3</vt:lpstr>
      <vt:lpstr>Combined-Male</vt:lpstr>
      <vt:lpstr>Combined-Female3</vt:lpstr>
      <vt:lpstr>Combined-Female</vt:lpstr>
      <vt:lpstr>RD-Male2</vt:lpstr>
      <vt:lpstr>google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Filippo Abbondanza</dc:creator>
  <cp:lastModifiedBy>Filippo Abbondanza</cp:lastModifiedBy>
  <dcterms:created xsi:type="dcterms:W3CDTF">2020-07-10T11:56:48Z</dcterms:created>
  <dcterms:modified xsi:type="dcterms:W3CDTF">2021-05-23T21:51:14Z</dcterms:modified>
</cp:coreProperties>
</file>