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20" windowWidth="20115" windowHeight="7950"/>
  </bookViews>
  <sheets>
    <sheet name="Flow Rate" sheetId="5" r:id="rId1"/>
    <sheet name="3mL Bomba 1" sheetId="7" r:id="rId2"/>
    <sheet name="3mL Bomba 2" sheetId="4" r:id="rId3"/>
    <sheet name="Sheet3" sheetId="3" r:id="rId4"/>
    <sheet name="Hoja1" sheetId="6" r:id="rId5"/>
  </sheets>
  <calcPr calcId="145621"/>
</workbook>
</file>

<file path=xl/calcChain.xml><?xml version="1.0" encoding="utf-8"?>
<calcChain xmlns="http://schemas.openxmlformats.org/spreadsheetml/2006/main">
  <c r="D39" i="4" l="1"/>
  <c r="D40" i="4"/>
  <c r="D41" i="4"/>
  <c r="D42" i="4"/>
  <c r="D43" i="4"/>
  <c r="D44" i="4"/>
  <c r="E27" i="4"/>
  <c r="E28" i="4"/>
  <c r="E29" i="4"/>
  <c r="E30" i="4"/>
  <c r="E31" i="4"/>
  <c r="E32" i="4"/>
  <c r="E33" i="4"/>
  <c r="E26" i="4"/>
  <c r="D27" i="4"/>
  <c r="D28" i="4"/>
  <c r="D29" i="4"/>
  <c r="D30" i="4"/>
  <c r="D31" i="4"/>
  <c r="D32" i="4"/>
  <c r="D33" i="4"/>
  <c r="D26" i="4"/>
  <c r="A27" i="4" l="1"/>
  <c r="A28" i="4" s="1"/>
  <c r="A29" i="4" s="1"/>
  <c r="A30" i="4" s="1"/>
  <c r="A31" i="4" s="1"/>
  <c r="A32" i="4" s="1"/>
  <c r="N5" i="4" l="1"/>
  <c r="S15" i="7"/>
  <c r="R15" i="7"/>
  <c r="P15" i="7"/>
  <c r="O15" i="7"/>
  <c r="M15" i="7"/>
  <c r="L15" i="7"/>
  <c r="J15" i="7"/>
  <c r="I15" i="7"/>
  <c r="G15" i="7"/>
  <c r="F15" i="7"/>
  <c r="D15" i="7"/>
  <c r="C15" i="7"/>
  <c r="R3" i="7"/>
  <c r="S3" i="7" s="1"/>
  <c r="P3" i="7"/>
  <c r="O3" i="7"/>
  <c r="L3" i="7"/>
  <c r="M3" i="7" s="1"/>
  <c r="J3" i="7"/>
  <c r="I3" i="7"/>
  <c r="F3" i="7"/>
  <c r="G3" i="7" s="1"/>
  <c r="D3" i="7"/>
  <c r="C3" i="7"/>
  <c r="C12" i="5" l="1"/>
  <c r="J10" i="5"/>
  <c r="J9" i="5"/>
  <c r="F9" i="5"/>
  <c r="M6" i="5"/>
  <c r="G6" i="5" s="1"/>
  <c r="K6" i="5" s="1"/>
  <c r="F6" i="5"/>
  <c r="I6" i="5" s="1"/>
  <c r="D6" i="5"/>
  <c r="H6" i="5" s="1"/>
  <c r="L6" i="5" s="1"/>
  <c r="F5" i="5"/>
  <c r="J5" i="5" s="1"/>
  <c r="D5" i="5"/>
  <c r="I5" i="5" s="1"/>
  <c r="F4" i="5"/>
  <c r="J4" i="5" s="1"/>
  <c r="D4" i="5"/>
  <c r="I4" i="5" s="1"/>
  <c r="F3" i="5"/>
  <c r="J3" i="5" s="1"/>
  <c r="D3" i="5"/>
  <c r="I3" i="5" s="1"/>
  <c r="I2" i="5"/>
  <c r="E2" i="5"/>
  <c r="H2" i="5" s="1"/>
  <c r="L2" i="5" s="1"/>
  <c r="D2" i="5"/>
  <c r="J2" i="5" s="1"/>
  <c r="A2" i="5"/>
  <c r="J6" i="5" l="1"/>
  <c r="G2" i="5"/>
  <c r="K2" i="5" s="1"/>
  <c r="G3" i="5"/>
  <c r="K3" i="5" s="1"/>
  <c r="G4" i="5"/>
  <c r="K4" i="5" s="1"/>
  <c r="G5" i="5"/>
  <c r="K5" i="5" s="1"/>
  <c r="H3" i="5"/>
  <c r="L3" i="5" s="1"/>
  <c r="H4" i="5"/>
  <c r="L4" i="5" s="1"/>
  <c r="H5" i="5"/>
  <c r="L5" i="5" s="1"/>
  <c r="H23" i="4"/>
  <c r="H21" i="4"/>
  <c r="H20" i="4"/>
  <c r="H19" i="4"/>
  <c r="H18" i="4"/>
  <c r="H17" i="4"/>
  <c r="H16" i="4"/>
  <c r="E16" i="4" l="1"/>
  <c r="E17" i="4"/>
  <c r="E21" i="4"/>
  <c r="E20" i="4"/>
  <c r="E19" i="4"/>
  <c r="E18" i="4"/>
  <c r="E23" i="4"/>
  <c r="B19" i="4"/>
  <c r="B21" i="4"/>
  <c r="B20" i="4"/>
  <c r="B18" i="4"/>
  <c r="B17" i="4"/>
  <c r="B16" i="4"/>
  <c r="B23" i="4"/>
  <c r="B11" i="4"/>
  <c r="H9" i="4"/>
  <c r="H8" i="4"/>
  <c r="H7" i="4"/>
  <c r="H6" i="4"/>
  <c r="H5" i="4"/>
  <c r="H4" i="4"/>
  <c r="H11" i="4"/>
  <c r="E6" i="4"/>
  <c r="E5" i="4"/>
  <c r="E4" i="4"/>
  <c r="E9" i="4"/>
  <c r="E8" i="4"/>
  <c r="E7" i="4"/>
  <c r="E11" i="4"/>
  <c r="B4" i="4"/>
  <c r="B9" i="4"/>
  <c r="B8" i="4"/>
  <c r="B7" i="4"/>
  <c r="B6" i="4"/>
  <c r="B5" i="4"/>
  <c r="C3" i="4"/>
  <c r="D3" i="4" s="1"/>
  <c r="L15" i="4"/>
  <c r="M15" i="4" s="1"/>
  <c r="I15" i="4"/>
  <c r="J15" i="4" s="1"/>
  <c r="F15" i="4"/>
  <c r="G15" i="4" s="1"/>
  <c r="C15" i="4"/>
  <c r="D15" i="4" s="1"/>
  <c r="L3" i="4"/>
  <c r="M3" i="4" s="1"/>
  <c r="I3" i="4"/>
  <c r="J3" i="4" s="1"/>
  <c r="F3" i="4"/>
  <c r="G3" i="4" s="1"/>
</calcChain>
</file>

<file path=xl/comments1.xml><?xml version="1.0" encoding="utf-8"?>
<comments xmlns="http://schemas.openxmlformats.org/spreadsheetml/2006/main">
  <authors>
    <author>Lisbeth</author>
  </authors>
  <commentList>
    <comment ref="A2" authorId="0">
      <text>
        <r>
          <rPr>
            <b/>
            <sz val="9"/>
            <color indexed="81"/>
            <rFont val="Tahoma"/>
            <charset val="1"/>
          </rPr>
          <t>Lisbeth:</t>
        </r>
        <r>
          <rPr>
            <sz val="9"/>
            <color indexed="81"/>
            <rFont val="Tahoma"/>
            <charset val="1"/>
          </rPr>
          <t xml:space="preserve">
10 uL</t>
        </r>
      </text>
    </comment>
    <comment ref="M2" authorId="0">
      <text>
        <r>
          <rPr>
            <b/>
            <sz val="9"/>
            <color indexed="81"/>
            <rFont val="Tahoma"/>
            <charset val="1"/>
          </rPr>
          <t>Lisbeth:</t>
        </r>
        <r>
          <rPr>
            <sz val="9"/>
            <color indexed="81"/>
            <rFont val="Tahoma"/>
            <charset val="1"/>
          </rPr>
          <t xml:space="preserve">
mínimo debido al método de generación
#define MIN_FREQ 31</t>
        </r>
      </text>
    </comment>
    <comment ref="N2" authorId="0">
      <text>
        <r>
          <rPr>
            <b/>
            <sz val="9"/>
            <color indexed="81"/>
            <rFont val="Tahoma"/>
            <charset val="1"/>
          </rPr>
          <t>Lisbeth:</t>
        </r>
        <r>
          <rPr>
            <sz val="9"/>
            <color indexed="81"/>
            <rFont val="Tahoma"/>
            <charset val="1"/>
          </rPr>
          <t xml:space="preserve">
Se determinó experimentalmente que el motor con reductor de 50,9 patina después de este valor</t>
        </r>
      </text>
    </comment>
  </commentList>
</comments>
</file>

<file path=xl/comments2.xml><?xml version="1.0" encoding="utf-8"?>
<comments xmlns="http://schemas.openxmlformats.org/spreadsheetml/2006/main">
  <authors>
    <author>Lisbeth</author>
    <author>NANOMEDICINA</author>
  </authors>
  <commentList>
    <comment ref="X1" authorId="0">
      <text>
        <r>
          <rPr>
            <b/>
            <sz val="9"/>
            <color indexed="81"/>
            <rFont val="Tahoma"/>
            <charset val="1"/>
          </rPr>
          <t>Lisbeth:</t>
        </r>
        <r>
          <rPr>
            <sz val="9"/>
            <color indexed="81"/>
            <rFont val="Tahoma"/>
            <charset val="1"/>
          </rPr>
          <t xml:space="preserve">
flujo</t>
        </r>
      </text>
    </comment>
    <comment ref="AA1" authorId="0">
      <text>
        <r>
          <rPr>
            <b/>
            <sz val="9"/>
            <color indexed="81"/>
            <rFont val="Tahoma"/>
            <charset val="1"/>
          </rPr>
          <t>Lisbeth:</t>
        </r>
        <r>
          <rPr>
            <sz val="9"/>
            <color indexed="81"/>
            <rFont val="Tahoma"/>
            <charset val="1"/>
          </rPr>
          <t xml:space="preserve">
frecuencia</t>
        </r>
      </text>
    </comment>
    <comment ref="B4" authorId="1">
      <text>
        <r>
          <rPr>
            <b/>
            <sz val="9"/>
            <color indexed="81"/>
            <rFont val="Tahoma"/>
            <charset val="1"/>
          </rPr>
          <t>NANOMEDICINA:</t>
        </r>
        <r>
          <rPr>
            <sz val="9"/>
            <color indexed="81"/>
            <rFont val="Tahoma"/>
            <charset val="1"/>
          </rPr>
          <t xml:space="preserve">
2 gotas</t>
        </r>
      </text>
    </comment>
    <comment ref="H4" authorId="1">
      <text>
        <r>
          <rPr>
            <b/>
            <sz val="9"/>
            <color indexed="81"/>
            <rFont val="Tahoma"/>
            <charset val="1"/>
          </rPr>
          <t>NANOMEDICINA:</t>
        </r>
        <r>
          <rPr>
            <sz val="9"/>
            <color indexed="81"/>
            <rFont val="Tahoma"/>
            <charset val="1"/>
          </rPr>
          <t xml:space="preserve">
2 gotas
</t>
        </r>
      </text>
    </comment>
    <comment ref="N4" authorId="1">
      <text>
        <r>
          <rPr>
            <b/>
            <sz val="9"/>
            <color indexed="81"/>
            <rFont val="Tahoma"/>
            <charset val="1"/>
          </rPr>
          <t>NANOMEDICINA:</t>
        </r>
        <r>
          <rPr>
            <sz val="9"/>
            <color indexed="81"/>
            <rFont val="Tahoma"/>
            <charset val="1"/>
          </rPr>
          <t xml:space="preserve">
10 gotas</t>
        </r>
      </text>
    </comment>
    <comment ref="B10" authorId="1">
      <text>
        <r>
          <rPr>
            <b/>
            <sz val="9"/>
            <color indexed="81"/>
            <rFont val="Tahoma"/>
            <charset val="1"/>
          </rPr>
          <t>NANOMEDICINA:</t>
        </r>
        <r>
          <rPr>
            <sz val="9"/>
            <color indexed="81"/>
            <rFont val="Tahoma"/>
            <charset val="1"/>
          </rPr>
          <t xml:space="preserve">
experimental/teorico</t>
        </r>
      </text>
    </comment>
    <comment ref="B16" authorId="1">
      <text>
        <r>
          <rPr>
            <b/>
            <sz val="9"/>
            <color indexed="81"/>
            <rFont val="Tahoma"/>
            <charset val="1"/>
          </rPr>
          <t>NANOMEDICINA:</t>
        </r>
        <r>
          <rPr>
            <sz val="9"/>
            <color indexed="81"/>
            <rFont val="Tahoma"/>
            <charset val="1"/>
          </rPr>
          <t xml:space="preserve">
20 gotas</t>
        </r>
      </text>
    </comment>
    <comment ref="H16" authorId="1">
      <text>
        <r>
          <rPr>
            <b/>
            <sz val="9"/>
            <color indexed="81"/>
            <rFont val="Tahoma"/>
            <charset val="1"/>
          </rPr>
          <t>NANOMEDICINA:</t>
        </r>
        <r>
          <rPr>
            <sz val="9"/>
            <color indexed="81"/>
            <rFont val="Tahoma"/>
            <charset val="1"/>
          </rPr>
          <t xml:space="preserve">
80 gotas</t>
        </r>
      </text>
    </comment>
    <comment ref="N16" authorId="1">
      <text>
        <r>
          <rPr>
            <b/>
            <sz val="9"/>
            <color indexed="81"/>
            <rFont val="Tahoma"/>
            <charset val="1"/>
          </rPr>
          <t>NANOMEDICINA:</t>
        </r>
        <r>
          <rPr>
            <sz val="9"/>
            <color indexed="81"/>
            <rFont val="Tahoma"/>
            <charset val="1"/>
          </rPr>
          <t xml:space="preserve">
80 gotas</t>
        </r>
      </text>
    </comment>
  </commentList>
</comments>
</file>

<file path=xl/comments3.xml><?xml version="1.0" encoding="utf-8"?>
<comments xmlns="http://schemas.openxmlformats.org/spreadsheetml/2006/main">
  <authors>
    <author>NANOMEDICINA</author>
    <author>Lisbeth</author>
  </authors>
  <commentList>
    <comment ref="B4" authorId="0">
      <text>
        <r>
          <rPr>
            <b/>
            <sz val="9"/>
            <color indexed="81"/>
            <rFont val="Tahoma"/>
            <charset val="1"/>
          </rPr>
          <t>NANOMEDICINA:</t>
        </r>
        <r>
          <rPr>
            <sz val="9"/>
            <color indexed="81"/>
            <rFont val="Tahoma"/>
            <charset val="1"/>
          </rPr>
          <t xml:space="preserve">
2 gotas</t>
        </r>
      </text>
    </comment>
    <comment ref="E4" authorId="0">
      <text>
        <r>
          <rPr>
            <b/>
            <sz val="9"/>
            <color indexed="81"/>
            <rFont val="Tahoma"/>
            <charset val="1"/>
          </rPr>
          <t>NANOMEDICINA:</t>
        </r>
        <r>
          <rPr>
            <sz val="9"/>
            <color indexed="81"/>
            <rFont val="Tahoma"/>
            <charset val="1"/>
          </rPr>
          <t xml:space="preserve">
2 gotas
</t>
        </r>
      </text>
    </comment>
    <comment ref="H4" authorId="0">
      <text>
        <r>
          <rPr>
            <b/>
            <sz val="9"/>
            <color indexed="81"/>
            <rFont val="Tahoma"/>
            <charset val="1"/>
          </rPr>
          <t>NANOMEDICINA:</t>
        </r>
        <r>
          <rPr>
            <sz val="9"/>
            <color indexed="81"/>
            <rFont val="Tahoma"/>
            <charset val="1"/>
          </rPr>
          <t xml:space="preserve">
10 gotas</t>
        </r>
      </text>
    </comment>
    <comment ref="O5" authorId="1">
      <text>
        <r>
          <rPr>
            <b/>
            <sz val="9"/>
            <color indexed="81"/>
            <rFont val="Tahoma"/>
            <charset val="1"/>
          </rPr>
          <t>Lisbeth:</t>
        </r>
        <r>
          <rPr>
            <sz val="9"/>
            <color indexed="81"/>
            <rFont val="Tahoma"/>
            <charset val="1"/>
          </rPr>
          <t xml:space="preserve">
mg/min</t>
        </r>
      </text>
    </comment>
    <comment ref="O8" authorId="1">
      <text>
        <r>
          <rPr>
            <b/>
            <sz val="9"/>
            <color indexed="81"/>
            <rFont val="Tahoma"/>
            <charset val="1"/>
          </rPr>
          <t>Lisbeth:</t>
        </r>
        <r>
          <rPr>
            <sz val="9"/>
            <color indexed="81"/>
            <rFont val="Tahoma"/>
            <charset val="1"/>
          </rPr>
          <t xml:space="preserve">
Flujo (mg/min)</t>
        </r>
      </text>
    </comment>
    <comment ref="R8" authorId="1">
      <text>
        <r>
          <rPr>
            <b/>
            <sz val="9"/>
            <color indexed="81"/>
            <rFont val="Tahoma"/>
            <charset val="1"/>
          </rPr>
          <t>Lisbeth:</t>
        </r>
        <r>
          <rPr>
            <sz val="9"/>
            <color indexed="81"/>
            <rFont val="Tahoma"/>
            <charset val="1"/>
          </rPr>
          <t xml:space="preserve">
Frecuencia (Hz)</t>
        </r>
      </text>
    </comment>
    <comment ref="B10" authorId="0">
      <text>
        <r>
          <rPr>
            <b/>
            <sz val="9"/>
            <color indexed="81"/>
            <rFont val="Tahoma"/>
            <charset val="1"/>
          </rPr>
          <t>NANOMEDICINA:</t>
        </r>
        <r>
          <rPr>
            <sz val="9"/>
            <color indexed="81"/>
            <rFont val="Tahoma"/>
            <charset val="1"/>
          </rPr>
          <t xml:space="preserve">
experimental/teorico</t>
        </r>
      </text>
    </comment>
    <comment ref="B16" authorId="0">
      <text>
        <r>
          <rPr>
            <b/>
            <sz val="9"/>
            <color indexed="81"/>
            <rFont val="Tahoma"/>
            <charset val="1"/>
          </rPr>
          <t>NANOMEDICINA:</t>
        </r>
        <r>
          <rPr>
            <sz val="9"/>
            <color indexed="81"/>
            <rFont val="Tahoma"/>
            <charset val="1"/>
          </rPr>
          <t xml:space="preserve">
20 gotas</t>
        </r>
      </text>
    </comment>
    <comment ref="E16" authorId="0">
      <text>
        <r>
          <rPr>
            <b/>
            <sz val="9"/>
            <color indexed="81"/>
            <rFont val="Tahoma"/>
            <charset val="1"/>
          </rPr>
          <t>NANOMEDICINA:</t>
        </r>
        <r>
          <rPr>
            <sz val="9"/>
            <color indexed="81"/>
            <rFont val="Tahoma"/>
            <charset val="1"/>
          </rPr>
          <t xml:space="preserve">
80 gotas</t>
        </r>
      </text>
    </comment>
    <comment ref="H16" authorId="0">
      <text>
        <r>
          <rPr>
            <b/>
            <sz val="9"/>
            <color indexed="81"/>
            <rFont val="Tahoma"/>
            <charset val="1"/>
          </rPr>
          <t>NANOMEDICINA:</t>
        </r>
        <r>
          <rPr>
            <sz val="9"/>
            <color indexed="81"/>
            <rFont val="Tahoma"/>
            <charset val="1"/>
          </rPr>
          <t xml:space="preserve">
80 gotas</t>
        </r>
      </text>
    </comment>
    <comment ref="B34" authorId="1">
      <text>
        <r>
          <rPr>
            <b/>
            <sz val="9"/>
            <color indexed="81"/>
            <rFont val="Tahoma"/>
            <charset val="1"/>
          </rPr>
          <t>Lisbeth:</t>
        </r>
        <r>
          <rPr>
            <sz val="9"/>
            <color indexed="81"/>
            <rFont val="Tahoma"/>
            <charset val="1"/>
          </rPr>
          <t xml:space="preserve">
Flujo (mg/min)</t>
        </r>
      </text>
    </comment>
    <comment ref="E34" authorId="1">
      <text>
        <r>
          <rPr>
            <b/>
            <sz val="9"/>
            <color indexed="81"/>
            <rFont val="Tahoma"/>
            <charset val="1"/>
          </rPr>
          <t>Lisbeth:</t>
        </r>
        <r>
          <rPr>
            <sz val="9"/>
            <color indexed="81"/>
            <rFont val="Tahoma"/>
            <charset val="1"/>
          </rPr>
          <t xml:space="preserve">
Frecuencia (Hz)</t>
        </r>
      </text>
    </comment>
  </commentList>
</comments>
</file>

<file path=xl/sharedStrings.xml><?xml version="1.0" encoding="utf-8"?>
<sst xmlns="http://schemas.openxmlformats.org/spreadsheetml/2006/main" count="190" uniqueCount="81">
  <si>
    <t>uL/h</t>
  </si>
  <si>
    <t>ml/min</t>
  </si>
  <si>
    <t>mg/min</t>
  </si>
  <si>
    <t>Flujo</t>
  </si>
  <si>
    <t>Teórico</t>
  </si>
  <si>
    <t>Flujo mínimo</t>
  </si>
  <si>
    <t>Flujo máximo</t>
  </si>
  <si>
    <t>3 mL</t>
  </si>
  <si>
    <t xml:space="preserve">1h </t>
  </si>
  <si>
    <t>(min)</t>
  </si>
  <si>
    <t xml:space="preserve">1 mL </t>
  </si>
  <si>
    <t>(uL)</t>
  </si>
  <si>
    <t>Frecuencia</t>
  </si>
  <si>
    <t>Experimental (mg/min)</t>
  </si>
  <si>
    <t>Flujo exp eq (uL/h)</t>
  </si>
  <si>
    <t xml:space="preserve">Flujo </t>
  </si>
  <si>
    <t>Flujo exp eq (mg/min)</t>
  </si>
  <si>
    <t>32/31</t>
  </si>
  <si>
    <t>952/896</t>
  </si>
  <si>
    <t>Volumen Jeringa (mL)</t>
  </si>
  <si>
    <t>Marca</t>
  </si>
  <si>
    <t>Longitud (mm)</t>
  </si>
  <si>
    <t>Longitud (um)</t>
  </si>
  <si>
    <t>Volumen (mL)</t>
  </si>
  <si>
    <t>Volumen (uL)</t>
  </si>
  <si>
    <t>Flujo min (mL/min)</t>
  </si>
  <si>
    <t>Flujo máx (mL/min)</t>
  </si>
  <si>
    <t>Flujo mín (uL/h)</t>
  </si>
  <si>
    <t>Flujo máx (uL/h)</t>
  </si>
  <si>
    <t>Flujo min (nL/min)</t>
  </si>
  <si>
    <t>Flujo máx (nL/min)</t>
  </si>
  <si>
    <t>Frecuencia mínima (pulso/seg)</t>
  </si>
  <si>
    <t>Frecuencia máxima (pulso/paso)</t>
  </si>
  <si>
    <t>Hamilton</t>
  </si>
  <si>
    <t>Rymco</t>
  </si>
  <si>
    <t>pasos/vuelta motor</t>
  </si>
  <si>
    <t>vueltaMotor/1vueltaEje (del reductor)</t>
  </si>
  <si>
    <t>Terumo</t>
  </si>
  <si>
    <t>Coronel</t>
  </si>
  <si>
    <t>Calibración teórica (pulsos/mm)</t>
  </si>
  <si>
    <t>vuelta Eje (mm)</t>
  </si>
  <si>
    <t>Micro step (pulso/paso)</t>
  </si>
  <si>
    <t>Multiplicador</t>
  </si>
  <si>
    <t>pulso/paso</t>
  </si>
  <si>
    <t>Hz</t>
  </si>
  <si>
    <t>RPM max (eje)</t>
  </si>
  <si>
    <t>vuelta eje/min</t>
  </si>
  <si>
    <t>paso/vuelta motor</t>
  </si>
  <si>
    <t>pulso/s</t>
  </si>
  <si>
    <t>RPM motor</t>
  </si>
  <si>
    <t>vuelta motor/min</t>
  </si>
  <si>
    <t>Reductor</t>
  </si>
  <si>
    <t>vuelta motor/vuelta eje</t>
  </si>
  <si>
    <t>Rosca</t>
  </si>
  <si>
    <t>mm/vuelta eje</t>
  </si>
  <si>
    <t>Calibración teórica</t>
  </si>
  <si>
    <t>pulso/mm</t>
  </si>
  <si>
    <t xml:space="preserve">  </t>
  </si>
  <si>
    <t>Ecuación</t>
  </si>
  <si>
    <t>Y</t>
  </si>
  <si>
    <t>=</t>
  </si>
  <si>
    <t>x</t>
  </si>
  <si>
    <t>+</t>
  </si>
  <si>
    <t>X</t>
  </si>
  <si>
    <r>
      <t>r</t>
    </r>
    <r>
      <rPr>
        <vertAlign val="superscript"/>
        <sz val="11"/>
        <color theme="1"/>
        <rFont val="Calibri"/>
        <family val="2"/>
        <scheme val="minor"/>
      </rPr>
      <t>2</t>
    </r>
  </si>
  <si>
    <t>SD</t>
  </si>
  <si>
    <t>Frecuencia (Hz)</t>
  </si>
  <si>
    <t>/25000</t>
  </si>
  <si>
    <t>Caudal (mg/min)</t>
  </si>
  <si>
    <t>190/179</t>
  </si>
  <si>
    <t>Frecuencia teórica (Hz)</t>
  </si>
  <si>
    <t>Calibración experimental</t>
  </si>
  <si>
    <t>Bomba 1</t>
  </si>
  <si>
    <t>Bomba 2</t>
  </si>
  <si>
    <t>(pulsos/mm)</t>
  </si>
  <si>
    <t>1904/1792</t>
  </si>
  <si>
    <t>9520/8960</t>
  </si>
  <si>
    <t>19040/17919</t>
  </si>
  <si>
    <t>/1344</t>
  </si>
  <si>
    <t>Caudal teórico (mg/min)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</si>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</sst>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0"/>
    <numFmt numFmtId="165" formatCode="0.0"/>
    <numFmt numFmtId="166" formatCode="0.000000"/>
    <numFmt numFmtId="168" formatCode="0.0%"/>
  </numFmts>
  <fonts count="5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vertAlign val="superscript"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3" tint="0.39997558519241921"/>
      </left>
      <right/>
      <top style="medium">
        <color theme="3" tint="0.39997558519241921"/>
      </top>
      <bottom/>
      <diagonal/>
    </border>
    <border>
      <left/>
      <right/>
      <top style="medium">
        <color theme="3" tint="0.39997558519241921"/>
      </top>
      <bottom/>
      <diagonal/>
    </border>
    <border>
      <left/>
      <right style="medium">
        <color theme="3" tint="0.39997558519241921"/>
      </right>
      <top style="medium">
        <color theme="3" tint="0.39997558519241921"/>
      </top>
      <bottom/>
      <diagonal/>
    </border>
    <border>
      <left/>
      <right style="thin">
        <color theme="3" tint="0.39997558519241921"/>
      </right>
      <top/>
      <bottom/>
      <diagonal/>
    </border>
    <border>
      <left style="medium">
        <color theme="4"/>
      </left>
      <right style="thin">
        <color theme="3" tint="0.39997558519241921"/>
      </right>
      <top style="medium">
        <color theme="4"/>
      </top>
      <bottom/>
      <diagonal/>
    </border>
    <border>
      <left/>
      <right style="medium">
        <color theme="4"/>
      </right>
      <top style="medium">
        <color theme="4"/>
      </top>
      <bottom/>
      <diagonal/>
    </border>
    <border>
      <left style="medium">
        <color theme="3" tint="0.39997558519241921"/>
      </left>
      <right/>
      <top/>
      <bottom/>
      <diagonal/>
    </border>
    <border>
      <left/>
      <right style="medium">
        <color theme="3" tint="0.39997558519241921"/>
      </right>
      <top/>
      <bottom/>
      <diagonal/>
    </border>
    <border>
      <left style="medium">
        <color theme="4"/>
      </left>
      <right style="thin">
        <color theme="3" tint="0.39997558519241921"/>
      </right>
      <top/>
      <bottom style="thin">
        <color theme="3" tint="0.39997558519241921"/>
      </bottom>
      <diagonal/>
    </border>
    <border>
      <left/>
      <right style="medium">
        <color theme="4"/>
      </right>
      <top/>
      <bottom style="thin">
        <color theme="3" tint="0.39997558519241921"/>
      </bottom>
      <diagonal/>
    </border>
    <border>
      <left style="medium">
        <color theme="4"/>
      </left>
      <right style="thin">
        <color theme="3" tint="0.39997558519241921"/>
      </right>
      <top/>
      <bottom/>
      <diagonal/>
    </border>
    <border>
      <left/>
      <right style="medium">
        <color theme="4"/>
      </right>
      <top/>
      <bottom/>
      <diagonal/>
    </border>
    <border>
      <left style="medium">
        <color theme="4"/>
      </left>
      <right style="thin">
        <color theme="3" tint="0.39997558519241921"/>
      </right>
      <top style="thin">
        <color theme="3" tint="0.39997558519241921"/>
      </top>
      <bottom style="thin">
        <color theme="4"/>
      </bottom>
      <diagonal/>
    </border>
    <border>
      <left/>
      <right style="medium">
        <color theme="4"/>
      </right>
      <top style="thin">
        <color theme="3" tint="0.39997558519241921"/>
      </top>
      <bottom style="thin">
        <color theme="4"/>
      </bottom>
      <diagonal/>
    </border>
    <border>
      <left style="medium">
        <color theme="3" tint="0.39997558519241921"/>
      </left>
      <right/>
      <top/>
      <bottom style="medium">
        <color theme="3" tint="0.39997558519241921"/>
      </bottom>
      <diagonal/>
    </border>
    <border>
      <left/>
      <right/>
      <top/>
      <bottom style="medium">
        <color theme="3" tint="0.39997558519241921"/>
      </bottom>
      <diagonal/>
    </border>
    <border>
      <left/>
      <right style="medium">
        <color theme="3" tint="0.39997558519241921"/>
      </right>
      <top/>
      <bottom style="medium">
        <color theme="3" tint="0.39997558519241921"/>
      </bottom>
      <diagonal/>
    </border>
    <border>
      <left style="medium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medium">
        <color theme="4"/>
      </right>
      <top style="thin">
        <color theme="4"/>
      </top>
      <bottom style="thin">
        <color theme="4"/>
      </bottom>
      <diagonal/>
    </border>
    <border>
      <left style="medium">
        <color theme="4"/>
      </left>
      <right style="thin">
        <color theme="4"/>
      </right>
      <top/>
      <bottom style="medium">
        <color theme="4"/>
      </bottom>
      <diagonal/>
    </border>
    <border>
      <left/>
      <right style="medium">
        <color theme="4"/>
      </right>
      <top/>
      <bottom style="medium">
        <color theme="4"/>
      </bottom>
      <diagonal/>
    </border>
    <border>
      <left style="thin">
        <color theme="4"/>
      </left>
      <right style="thin">
        <color indexed="64"/>
      </right>
      <top style="thin">
        <color theme="4"/>
      </top>
      <bottom style="thin">
        <color theme="4"/>
      </bottom>
      <diagonal/>
    </border>
    <border>
      <left style="thin">
        <color indexed="6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indexed="6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/>
      <bottom style="thin">
        <color theme="4"/>
      </bottom>
      <diagonal/>
    </border>
    <border>
      <left/>
      <right style="thin">
        <color indexed="64"/>
      </right>
      <top/>
      <bottom style="thin">
        <color theme="4"/>
      </bottom>
      <diagonal/>
    </border>
    <border>
      <left style="thin">
        <color indexed="64"/>
      </left>
      <right style="thin">
        <color theme="4"/>
      </right>
      <top/>
      <bottom style="thin">
        <color theme="4"/>
      </bottom>
      <diagonal/>
    </border>
    <border>
      <left style="thin">
        <color theme="4"/>
      </left>
      <right style="thin">
        <color indexed="64"/>
      </right>
      <top/>
      <bottom style="thin">
        <color theme="4"/>
      </bottom>
      <diagonal/>
    </border>
    <border>
      <left style="thin">
        <color indexed="64"/>
      </left>
      <right/>
      <top/>
      <bottom style="thin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12">
    <xf numFmtId="0" fontId="0" fillId="0" borderId="0" xfId="0"/>
    <xf numFmtId="0" fontId="0" fillId="0" borderId="7" xfId="0" applyBorder="1"/>
    <xf numFmtId="164" fontId="0" fillId="0" borderId="8" xfId="0" applyNumberFormat="1" applyBorder="1"/>
    <xf numFmtId="165" fontId="0" fillId="0" borderId="9" xfId="0" applyNumberFormat="1" applyBorder="1"/>
    <xf numFmtId="0" fontId="0" fillId="0" borderId="1" xfId="0" applyBorder="1" applyAlignment="1">
      <alignment horizontal="center" vertical="center" wrapText="1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2" borderId="16" xfId="0" applyFill="1" applyBorder="1" applyAlignment="1">
      <alignment horizontal="center" vertical="center" wrapText="1"/>
    </xf>
    <xf numFmtId="0" fontId="0" fillId="2" borderId="17" xfId="0" applyFill="1" applyBorder="1" applyAlignment="1">
      <alignment horizontal="center" vertical="center" wrapText="1"/>
    </xf>
    <xf numFmtId="0" fontId="0" fillId="2" borderId="18" xfId="0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0" fontId="0" fillId="2" borderId="19" xfId="0" applyFill="1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right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right" vertical="center" wrapText="1"/>
    </xf>
    <xf numFmtId="0" fontId="0" fillId="0" borderId="0" xfId="0" applyBorder="1" applyAlignment="1">
      <alignment horizontal="right" vertical="center"/>
    </xf>
    <xf numFmtId="0" fontId="0" fillId="0" borderId="23" xfId="0" applyBorder="1" applyAlignment="1">
      <alignment horizontal="right" vertical="center" wrapText="1"/>
    </xf>
    <xf numFmtId="166" fontId="0" fillId="0" borderId="0" xfId="0" applyNumberFormat="1" applyBorder="1" applyAlignment="1">
      <alignment horizontal="right" vertical="center"/>
    </xf>
    <xf numFmtId="166" fontId="0" fillId="0" borderId="19" xfId="0" applyNumberFormat="1" applyBorder="1" applyAlignment="1">
      <alignment horizontal="right" vertical="center"/>
    </xf>
    <xf numFmtId="165" fontId="0" fillId="0" borderId="0" xfId="0" applyNumberFormat="1" applyBorder="1" applyAlignment="1">
      <alignment horizontal="right" vertical="center"/>
    </xf>
    <xf numFmtId="1" fontId="0" fillId="0" borderId="19" xfId="0" applyNumberFormat="1" applyBorder="1" applyAlignment="1">
      <alignment horizontal="right" vertical="center"/>
    </xf>
    <xf numFmtId="1" fontId="0" fillId="0" borderId="0" xfId="0" applyNumberFormat="1" applyBorder="1" applyAlignment="1">
      <alignment horizontal="right" vertical="center"/>
    </xf>
    <xf numFmtId="0" fontId="0" fillId="0" borderId="24" xfId="0" applyBorder="1"/>
    <xf numFmtId="0" fontId="0" fillId="3" borderId="25" xfId="0" applyFill="1" applyBorder="1"/>
    <xf numFmtId="2" fontId="0" fillId="0" borderId="0" xfId="0" applyNumberFormat="1" applyBorder="1" applyAlignment="1">
      <alignment horizontal="right" vertical="center" wrapText="1"/>
    </xf>
    <xf numFmtId="0" fontId="0" fillId="0" borderId="23" xfId="0" applyBorder="1" applyAlignment="1">
      <alignment horizontal="right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 wrapText="1"/>
    </xf>
    <xf numFmtId="0" fontId="0" fillId="0" borderId="22" xfId="0" applyBorder="1" applyAlignment="1">
      <alignment horizontal="right" vertical="center"/>
    </xf>
    <xf numFmtId="0" fontId="0" fillId="0" borderId="0" xfId="0" applyBorder="1" applyAlignment="1">
      <alignment horizontal="center" vertical="center"/>
    </xf>
    <xf numFmtId="0" fontId="0" fillId="0" borderId="25" xfId="0" applyBorder="1"/>
    <xf numFmtId="0" fontId="0" fillId="0" borderId="22" xfId="0" applyBorder="1"/>
    <xf numFmtId="0" fontId="0" fillId="0" borderId="0" xfId="0" applyBorder="1"/>
    <xf numFmtId="0" fontId="0" fillId="0" borderId="28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vertical="center"/>
    </xf>
    <xf numFmtId="0" fontId="0" fillId="0" borderId="31" xfId="0" applyBorder="1" applyAlignment="1">
      <alignment horizontal="center" vertical="center"/>
    </xf>
    <xf numFmtId="0" fontId="0" fillId="0" borderId="31" xfId="0" applyBorder="1" applyAlignment="1">
      <alignment vertical="center"/>
    </xf>
    <xf numFmtId="0" fontId="0" fillId="0" borderId="31" xfId="0" applyBorder="1" applyAlignment="1">
      <alignment horizontal="right" vertical="center"/>
    </xf>
    <xf numFmtId="0" fontId="0" fillId="0" borderId="32" xfId="0" applyBorder="1" applyAlignment="1">
      <alignment horizontal="right" vertical="center"/>
    </xf>
    <xf numFmtId="1" fontId="0" fillId="0" borderId="33" xfId="0" applyNumberFormat="1" applyBorder="1"/>
    <xf numFmtId="0" fontId="0" fillId="0" borderId="34" xfId="0" applyBorder="1"/>
    <xf numFmtId="1" fontId="0" fillId="0" borderId="35" xfId="0" applyNumberFormat="1" applyBorder="1" applyAlignment="1">
      <alignment horizontal="center" vertical="center" wrapText="1"/>
    </xf>
    <xf numFmtId="1" fontId="0" fillId="0" borderId="36" xfId="0" applyNumberFormat="1" applyBorder="1" applyAlignment="1">
      <alignment horizontal="right" vertical="center" wrapText="1"/>
    </xf>
    <xf numFmtId="0" fontId="0" fillId="0" borderId="39" xfId="0" applyBorder="1"/>
    <xf numFmtId="0" fontId="0" fillId="0" borderId="41" xfId="0" applyBorder="1"/>
    <xf numFmtId="1" fontId="0" fillId="0" borderId="0" xfId="0" applyNumberFormat="1"/>
    <xf numFmtId="0" fontId="0" fillId="0" borderId="0" xfId="0" applyAlignment="1">
      <alignment horizontal="left"/>
    </xf>
    <xf numFmtId="1" fontId="0" fillId="0" borderId="39" xfId="0" applyNumberFormat="1" applyBorder="1"/>
    <xf numFmtId="0" fontId="0" fillId="0" borderId="46" xfId="0" applyBorder="1"/>
    <xf numFmtId="0" fontId="0" fillId="0" borderId="47" xfId="0" applyBorder="1"/>
    <xf numFmtId="0" fontId="0" fillId="0" borderId="48" xfId="0" applyBorder="1"/>
    <xf numFmtId="165" fontId="0" fillId="0" borderId="0" xfId="0" applyNumberFormat="1"/>
    <xf numFmtId="0" fontId="0" fillId="0" borderId="47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47" xfId="0" applyBorder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 wrapText="1"/>
    </xf>
    <xf numFmtId="165" fontId="0" fillId="0" borderId="0" xfId="0" applyNumberFormat="1" applyBorder="1" applyAlignment="1">
      <alignment horizontal="center" vertical="center"/>
    </xf>
    <xf numFmtId="0" fontId="0" fillId="0" borderId="37" xfId="0" applyBorder="1" applyAlignment="1">
      <alignment horizontal="left"/>
    </xf>
    <xf numFmtId="0" fontId="0" fillId="0" borderId="38" xfId="0" applyBorder="1" applyAlignment="1">
      <alignment horizontal="left"/>
    </xf>
    <xf numFmtId="0" fontId="0" fillId="0" borderId="42" xfId="0" applyBorder="1" applyAlignment="1">
      <alignment horizontal="left"/>
    </xf>
    <xf numFmtId="0" fontId="0" fillId="0" borderId="43" xfId="0" applyBorder="1" applyAlignment="1">
      <alignment horizontal="left"/>
    </xf>
    <xf numFmtId="0" fontId="0" fillId="0" borderId="42" xfId="0" applyBorder="1" applyAlignment="1"/>
    <xf numFmtId="0" fontId="0" fillId="0" borderId="43" xfId="0" applyBorder="1" applyAlignment="1"/>
    <xf numFmtId="0" fontId="0" fillId="0" borderId="44" xfId="0" applyBorder="1" applyAlignment="1">
      <alignment horizontal="left"/>
    </xf>
    <xf numFmtId="0" fontId="0" fillId="0" borderId="45" xfId="0" applyBorder="1" applyAlignment="1">
      <alignment horizontal="left"/>
    </xf>
    <xf numFmtId="0" fontId="0" fillId="0" borderId="40" xfId="0" applyBorder="1" applyAlignment="1">
      <alignment horizontal="left"/>
    </xf>
    <xf numFmtId="0" fontId="0" fillId="0" borderId="0" xfId="0" applyAlignment="1">
      <alignment horizontal="left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165" fontId="0" fillId="0" borderId="5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5" fontId="0" fillId="0" borderId="6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165" fontId="0" fillId="0" borderId="13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5" fontId="0" fillId="0" borderId="15" xfId="0" applyNumberFormat="1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8" fontId="0" fillId="0" borderId="0" xfId="1" applyNumberFormat="1" applyFont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9">
    <dxf>
      <numFmt numFmtId="1" formatCode="0"/>
    </dxf>
    <dxf>
      <numFmt numFmtId="1" formatCode="0"/>
      <border diagonalUp="0" diagonalDown="0">
        <left/>
        <right style="thin">
          <color theme="3" tint="0.39997558519241921"/>
        </right>
        <top/>
        <bottom/>
        <vertical/>
        <horizontal/>
      </border>
    </dxf>
    <dxf>
      <numFmt numFmtId="1" formatCode="0"/>
    </dxf>
    <dxf>
      <numFmt numFmtId="167" formatCode="0.000"/>
      <border diagonalUp="0" diagonalDown="0">
        <left/>
        <right style="thin">
          <color theme="3" tint="0.39997558519241921"/>
        </right>
        <top/>
        <bottom/>
        <vertical/>
        <horizontal/>
      </border>
    </dxf>
    <dxf>
      <numFmt numFmtId="166" formatCode="0.000000"/>
    </dxf>
    <dxf>
      <border diagonalUp="0" diagonalDown="0">
        <left/>
        <right style="medium">
          <color theme="3" tint="0.39997558519241921"/>
        </right>
        <top/>
        <bottom/>
        <vertical/>
        <horizontal/>
      </border>
    </dxf>
    <dxf>
      <border diagonalUp="0" diagonalDown="0">
        <left style="medium">
          <color theme="3" tint="0.39997558519241921"/>
        </left>
        <right/>
        <top/>
        <bottom/>
        <vertical/>
        <horizontal/>
      </border>
    </dxf>
    <dxf>
      <border diagonalUp="0" diagonalDown="0">
        <left style="medium">
          <color theme="3" tint="0.39997558519241921"/>
        </left>
        <right style="medium">
          <color theme="3" tint="0.39997558519241921"/>
        </right>
        <top style="medium">
          <color theme="3" tint="0.39997558519241921"/>
        </top>
        <bottom style="medium">
          <color theme="3" tint="0.39997558519241921"/>
        </bottom>
      </border>
    </dxf>
    <dxf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Hoja1!$A$1:$A$12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xVal>
          <c:yVal>
            <c:numRef>
              <c:f>Hoja1!$B$1:$B$12</c:f>
              <c:numCache>
                <c:formatCode>General</c:formatCode>
                <c:ptCount val="12"/>
                <c:pt idx="0">
                  <c:v>5.1347500000000004</c:v>
                </c:pt>
                <c:pt idx="1">
                  <c:v>5.3305199999999999</c:v>
                </c:pt>
                <c:pt idx="2">
                  <c:v>5.2631600000000001</c:v>
                </c:pt>
                <c:pt idx="3">
                  <c:v>5.5555599999999998</c:v>
                </c:pt>
                <c:pt idx="4">
                  <c:v>5.1330200000000001</c:v>
                </c:pt>
                <c:pt idx="5">
                  <c:v>4.8965500000000004</c:v>
                </c:pt>
                <c:pt idx="6">
                  <c:v>33.620690000000003</c:v>
                </c:pt>
                <c:pt idx="7">
                  <c:v>32.99145</c:v>
                </c:pt>
                <c:pt idx="8">
                  <c:v>32.93103</c:v>
                </c:pt>
                <c:pt idx="9">
                  <c:v>33.043480000000002</c:v>
                </c:pt>
                <c:pt idx="10">
                  <c:v>33.421050000000001</c:v>
                </c:pt>
                <c:pt idx="11">
                  <c:v>33.75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114368"/>
        <c:axId val="162114944"/>
      </c:scatterChart>
      <c:valAx>
        <c:axId val="162114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2114944"/>
        <c:crosses val="autoZero"/>
        <c:crossBetween val="midCat"/>
      </c:valAx>
      <c:valAx>
        <c:axId val="162114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21143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85725</xdr:colOff>
          <xdr:row>24</xdr:row>
          <xdr:rowOff>66675</xdr:rowOff>
        </xdr:from>
        <xdr:to>
          <xdr:col>16</xdr:col>
          <xdr:colOff>295275</xdr:colOff>
          <xdr:row>40</xdr:row>
          <xdr:rowOff>57150</xdr:rowOff>
        </xdr:to>
        <xdr:sp macro="" textlink="">
          <xdr:nvSpPr>
            <xdr:cNvPr id="4120" name="Object 24" hidden="1">
              <a:extLst>
                <a:ext uri="{63B3BB69-23CF-44E3-9099-C40C66FF867C}">
                  <a14:compatExt spid="_x0000_s4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85725</xdr:colOff>
          <xdr:row>9</xdr:row>
          <xdr:rowOff>0</xdr:rowOff>
        </xdr:from>
        <xdr:to>
          <xdr:col>20</xdr:col>
          <xdr:colOff>409575</xdr:colOff>
          <xdr:row>24</xdr:row>
          <xdr:rowOff>19050</xdr:rowOff>
        </xdr:to>
        <xdr:sp macro="" textlink="">
          <xdr:nvSpPr>
            <xdr:cNvPr id="4121" name="Object 25" hidden="1">
              <a:extLst>
                <a:ext uri="{63B3BB69-23CF-44E3-9099-C40C66FF867C}">
                  <a14:compatExt spid="_x0000_s4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666750</xdr:colOff>
      <xdr:row>9</xdr:row>
      <xdr:rowOff>52387</xdr:rowOff>
    </xdr:from>
    <xdr:to>
      <xdr:col>11</xdr:col>
      <xdr:colOff>666750</xdr:colOff>
      <xdr:row>23</xdr:row>
      <xdr:rowOff>128587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a2" displayName="Tabla2" ref="A1:L6" totalsRowShown="0" headerRowDxfId="8" tableBorderDxfId="7">
  <autoFilter ref="A1:L6"/>
  <tableColumns count="12">
    <tableColumn id="1" name="Volumen Jeringa (mL)" dataDxfId="6"/>
    <tableColumn id="2" name="Marca"/>
    <tableColumn id="3" name="Longitud (mm)"/>
    <tableColumn id="4" name="Longitud (um)">
      <calculatedColumnFormula>C2*1000</calculatedColumnFormula>
    </tableColumn>
    <tableColumn id="5" name="Volumen (mL)"/>
    <tableColumn id="6" name="Volumen (uL)" dataDxfId="5"/>
    <tableColumn id="7" name="Flujo min (mL/min)" dataDxfId="4">
      <calculatedColumnFormula>($M$2/$M$6)*(60/1)*(1000/$D$5)</calculatedColumnFormula>
    </tableColumn>
    <tableColumn id="8" name="Flujo máx (mL/min)" dataDxfId="3">
      <calculatedColumnFormula>($N$2/$M$6)*(60/1)*(1000/1)*($E$5/$D$5)</calculatedColumnFormula>
    </tableColumn>
    <tableColumn id="9" name="Flujo mín (uL/h)" dataDxfId="2">
      <calculatedColumnFormula>($M$2/$M$6)*(1000/1)*(3600/1)*($F$5/$D$5)</calculatedColumnFormula>
    </tableColumn>
    <tableColumn id="10" name="Flujo máx (uL/h)" dataDxfId="1">
      <calculatedColumnFormula>($N$2/$M$6)*(1000/1)*(3600/1)*($F$5/$D$5)</calculatedColumnFormula>
    </tableColumn>
    <tableColumn id="11" name="Flujo min (nL/min)">
      <calculatedColumnFormula>G2*1000000</calculatedColumnFormula>
    </tableColumn>
    <tableColumn id="12" name="Flujo máx (nL/min)" dataDxfId="0">
      <calculatedColumnFormula>H2*1000000</calculatedColumnFormula>
    </tableColumn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omments" Target="../comments3.xml"/><Relationship Id="rId3" Type="http://schemas.openxmlformats.org/officeDocument/2006/relationships/vmlDrawing" Target="../drawings/vmlDrawing3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19"/>
  <sheetViews>
    <sheetView tabSelected="1" workbookViewId="0">
      <selection activeCell="H15" sqref="H15"/>
    </sheetView>
  </sheetViews>
  <sheetFormatPr defaultColWidth="11.42578125" defaultRowHeight="15" x14ac:dyDescent="0.25"/>
  <cols>
    <col min="1" max="1" width="23.5703125" bestFit="1" customWidth="1"/>
    <col min="2" max="2" width="13.28515625" customWidth="1"/>
    <col min="3" max="3" width="12.140625" customWidth="1"/>
    <col min="4" max="4" width="11" customWidth="1"/>
    <col min="5" max="5" width="9.42578125" customWidth="1"/>
    <col min="6" max="6" width="10.7109375" customWidth="1"/>
    <col min="7" max="7" width="12.7109375" customWidth="1"/>
    <col min="8" max="8" width="12.28515625" customWidth="1"/>
    <col min="9" max="9" width="11.7109375" customWidth="1"/>
    <col min="10" max="10" width="11.5703125" customWidth="1"/>
    <col min="11" max="11" width="12.140625" customWidth="1"/>
    <col min="12" max="12" width="12.85546875" customWidth="1"/>
    <col min="13" max="13" width="17.7109375" bestFit="1" customWidth="1"/>
    <col min="14" max="14" width="19.85546875" customWidth="1"/>
  </cols>
  <sheetData>
    <row r="1" spans="1:14" ht="45" x14ac:dyDescent="0.25">
      <c r="A1" s="14" t="s">
        <v>19</v>
      </c>
      <c r="B1" s="15" t="s">
        <v>20</v>
      </c>
      <c r="C1" s="15" t="s">
        <v>21</v>
      </c>
      <c r="D1" s="15" t="s">
        <v>22</v>
      </c>
      <c r="E1" s="15" t="s">
        <v>23</v>
      </c>
      <c r="F1" s="16" t="s">
        <v>24</v>
      </c>
      <c r="G1" s="17" t="s">
        <v>25</v>
      </c>
      <c r="H1" s="18" t="s">
        <v>26</v>
      </c>
      <c r="I1" s="17" t="s">
        <v>27</v>
      </c>
      <c r="J1" s="18" t="s">
        <v>28</v>
      </c>
      <c r="K1" s="17" t="s">
        <v>29</v>
      </c>
      <c r="L1" s="17" t="s">
        <v>30</v>
      </c>
      <c r="M1" s="19" t="s">
        <v>31</v>
      </c>
      <c r="N1" s="20" t="s">
        <v>32</v>
      </c>
    </row>
    <row r="2" spans="1:14" x14ac:dyDescent="0.25">
      <c r="A2" s="21">
        <f>10/1000</f>
        <v>0.01</v>
      </c>
      <c r="B2" s="22" t="s">
        <v>33</v>
      </c>
      <c r="C2" s="23">
        <v>48.04</v>
      </c>
      <c r="D2" s="24">
        <f>C2*1000</f>
        <v>48040</v>
      </c>
      <c r="E2" s="23">
        <f>Tabla2[[#This Row],[Volumen (uL)]]/1000</f>
        <v>8.0000000000000002E-3</v>
      </c>
      <c r="F2" s="25">
        <v>8</v>
      </c>
      <c r="G2" s="26">
        <f>($M$2/$M$6)*(60/1)*(1000/1)*($E$2/$D$2)</f>
        <v>1.5214779956596616E-5</v>
      </c>
      <c r="H2" s="27">
        <f>($N$2/$M$6)*(60/1)*(1000/1)*($E$2/$D$2)</f>
        <v>1.2269983835965012E-2</v>
      </c>
      <c r="I2" s="28">
        <f>($M$2/$M$6)*(1000/1)*(3600/1)*($F$2/$D$2)</f>
        <v>0.91288679739579726</v>
      </c>
      <c r="J2" s="29">
        <f>($N$2/$M$6)*(1000/1)*(3600/1)*($F$2/$D$2)</f>
        <v>736.19903015790089</v>
      </c>
      <c r="K2" s="30">
        <f t="shared" ref="K2:L6" si="0">G2*1000000</f>
        <v>15.214779956596617</v>
      </c>
      <c r="L2" s="30">
        <f t="shared" si="0"/>
        <v>12269.983835965013</v>
      </c>
      <c r="M2" s="31">
        <v>31</v>
      </c>
      <c r="N2" s="32">
        <v>25000</v>
      </c>
    </row>
    <row r="3" spans="1:14" ht="30" x14ac:dyDescent="0.25">
      <c r="A3" s="21">
        <v>1</v>
      </c>
      <c r="B3" s="22" t="s">
        <v>34</v>
      </c>
      <c r="C3" s="33">
        <v>28.1</v>
      </c>
      <c r="D3" s="24">
        <f>C3*1000</f>
        <v>28100</v>
      </c>
      <c r="E3" s="24">
        <v>0.5</v>
      </c>
      <c r="F3" s="34">
        <f>E3*1000</f>
        <v>500</v>
      </c>
      <c r="G3" s="26">
        <f>($M$2/$M$6)*(60/1)*(1000/1)*($E$3/$D$3)</f>
        <v>1.6257073601310087E-3</v>
      </c>
      <c r="H3" s="27">
        <f>($N$2/$M$6)*(60/1)*(1000/1)*($E$3/$D$3)</f>
        <v>1.3110543226862972</v>
      </c>
      <c r="I3" s="30">
        <f>($M$2/$M$6)*(1000/1)*(3600/1)*($F$3/$D$3)</f>
        <v>97.542441607860539</v>
      </c>
      <c r="J3" s="29">
        <f>($N$2/$M$6)*(1000/1)*(3600/1)*($F$3/$D$3)</f>
        <v>78663.259361177857</v>
      </c>
      <c r="K3" s="30">
        <f t="shared" si="0"/>
        <v>1625.7073601310087</v>
      </c>
      <c r="L3" s="30">
        <f t="shared" si="0"/>
        <v>1311054.3226862971</v>
      </c>
      <c r="M3" s="35" t="s">
        <v>35</v>
      </c>
      <c r="N3" s="36" t="s">
        <v>36</v>
      </c>
    </row>
    <row r="4" spans="1:14" x14ac:dyDescent="0.25">
      <c r="A4" s="37">
        <v>3</v>
      </c>
      <c r="B4" s="38" t="s">
        <v>37</v>
      </c>
      <c r="C4" s="24">
        <v>15.86</v>
      </c>
      <c r="D4" s="24">
        <f>C4*1000</f>
        <v>15860</v>
      </c>
      <c r="E4" s="24">
        <v>1</v>
      </c>
      <c r="F4" s="34">
        <f>E4*1000</f>
        <v>1000</v>
      </c>
      <c r="G4" s="26">
        <f>($M$2/$M$6)*(60/1)*(1000/1)*($E$4/$D$4)</f>
        <v>5.7607032559497283E-3</v>
      </c>
      <c r="H4" s="27">
        <f>($N$2/$M$6)*(60/1)*(1000/1)*($E$4/$D$4)</f>
        <v>4.6457284322175223</v>
      </c>
      <c r="I4" s="30">
        <f>($M$2/$M$6)*(1000/1)*(3600/1)*($F$4/$D$4)</f>
        <v>345.64219535698373</v>
      </c>
      <c r="J4" s="29">
        <f>($N$2/$M$6)*(1000/1)*(3600/1)*($F$4/$D$4)</f>
        <v>278743.70593305142</v>
      </c>
      <c r="K4" s="30">
        <f>G4*1000000</f>
        <v>5760.7032559497284</v>
      </c>
      <c r="L4" s="30">
        <f>H4*1000000</f>
        <v>4645728.4322175225</v>
      </c>
      <c r="M4" s="31">
        <v>200</v>
      </c>
      <c r="N4" s="39">
        <v>50.8949</v>
      </c>
    </row>
    <row r="5" spans="1:14" ht="30" x14ac:dyDescent="0.25">
      <c r="A5" s="40">
        <v>5</v>
      </c>
      <c r="B5" s="10" t="s">
        <v>38</v>
      </c>
      <c r="C5" s="41">
        <v>16.34</v>
      </c>
      <c r="D5" s="24">
        <f>C5*1000</f>
        <v>16340</v>
      </c>
      <c r="E5" s="41">
        <v>2</v>
      </c>
      <c r="F5" s="34">
        <f>E5*1000</f>
        <v>2000</v>
      </c>
      <c r="G5" s="26">
        <f>($M$2/$M$6)*(60/1)*(1000/1)*($E$5/$D$5)</f>
        <v>1.1182956381806939E-2</v>
      </c>
      <c r="H5" s="27">
        <f>($N$2/$M$6)*(60/1)*(1000/1)*($E$5/$D$5)</f>
        <v>9.0185132111346267</v>
      </c>
      <c r="I5" s="30">
        <f>($M$2/$M$6)*(1000/1)*(3600/1)*($F$5/$D$5)</f>
        <v>670.97738290841642</v>
      </c>
      <c r="J5" s="29">
        <f>($N$2/$M$6)*(1000/1)*(3600/1)*($F$5/$D$5)</f>
        <v>541110.79266807775</v>
      </c>
      <c r="K5" s="30">
        <f t="shared" si="0"/>
        <v>11182.95638180694</v>
      </c>
      <c r="L5" s="30">
        <f t="shared" si="0"/>
        <v>9018513.2111346275</v>
      </c>
      <c r="M5" s="42" t="s">
        <v>39</v>
      </c>
      <c r="N5" s="43" t="s">
        <v>40</v>
      </c>
    </row>
    <row r="6" spans="1:14" ht="15.75" thickBot="1" x14ac:dyDescent="0.3">
      <c r="A6" s="44">
        <v>12</v>
      </c>
      <c r="B6" s="45" t="s">
        <v>37</v>
      </c>
      <c r="C6" s="46">
        <v>30.54</v>
      </c>
      <c r="D6" s="47">
        <f>C6*1000</f>
        <v>30540</v>
      </c>
      <c r="E6" s="46">
        <v>6</v>
      </c>
      <c r="F6" s="48">
        <f>E6*1000</f>
        <v>6000</v>
      </c>
      <c r="G6" s="26">
        <f>($M$2/$M$6)*(60/1)*(1000/1)*($E$6/$D$6)</f>
        <v>1.7949853367261823E-2</v>
      </c>
      <c r="H6" s="27">
        <f>($N$2/$M$6)*(60/1)*(1000/1)*($E$6/$D$6)</f>
        <v>14.475688199404695</v>
      </c>
      <c r="I6" s="30">
        <f>($M$2/$M$6)*(1000/1)*(3600/1)*($F$6/$D$6)</f>
        <v>1076.9912020357094</v>
      </c>
      <c r="J6" s="29">
        <f>($N$2/$M$6)*(1000/1)*(3600/1)*($F$6/$D$6)</f>
        <v>868541.29196428182</v>
      </c>
      <c r="K6" s="30">
        <f t="shared" si="0"/>
        <v>17949.853367261825</v>
      </c>
      <c r="L6" s="30">
        <f t="shared" si="0"/>
        <v>14475688.199404696</v>
      </c>
      <c r="M6" s="49">
        <f>(N7*M4*N4)/N6</f>
        <v>20357.96</v>
      </c>
      <c r="N6" s="50">
        <v>8</v>
      </c>
    </row>
    <row r="7" spans="1:14" ht="30.75" thickBot="1" x14ac:dyDescent="0.3">
      <c r="M7" s="51" t="s">
        <v>41</v>
      </c>
      <c r="N7" s="52">
        <v>16</v>
      </c>
    </row>
    <row r="8" spans="1:14" x14ac:dyDescent="0.25">
      <c r="A8" s="71" t="s">
        <v>42</v>
      </c>
      <c r="B8" s="72"/>
      <c r="C8" s="53">
        <v>16</v>
      </c>
      <c r="D8" s="79" t="s">
        <v>43</v>
      </c>
      <c r="E8" s="72"/>
      <c r="F8">
        <v>1</v>
      </c>
      <c r="G8" t="s">
        <v>44</v>
      </c>
      <c r="H8" s="80" t="s">
        <v>45</v>
      </c>
      <c r="I8" s="80"/>
      <c r="J8">
        <v>25</v>
      </c>
      <c r="K8" s="80" t="s">
        <v>46</v>
      </c>
      <c r="L8" s="80"/>
    </row>
    <row r="9" spans="1:14" x14ac:dyDescent="0.25">
      <c r="A9" s="71" t="s">
        <v>35</v>
      </c>
      <c r="B9" s="72"/>
      <c r="C9" s="54">
        <v>200</v>
      </c>
      <c r="D9" s="73" t="s">
        <v>47</v>
      </c>
      <c r="E9" s="74"/>
      <c r="F9">
        <f>F8*B8</f>
        <v>0</v>
      </c>
      <c r="G9" t="s">
        <v>48</v>
      </c>
      <c r="H9" s="80" t="s">
        <v>49</v>
      </c>
      <c r="I9" s="80"/>
      <c r="J9" s="55">
        <f>C10*J8</f>
        <v>1272.3724999999999</v>
      </c>
      <c r="K9" s="80" t="s">
        <v>50</v>
      </c>
      <c r="L9" s="80"/>
    </row>
    <row r="10" spans="1:14" x14ac:dyDescent="0.25">
      <c r="A10" s="71" t="s">
        <v>51</v>
      </c>
      <c r="B10" s="72"/>
      <c r="C10" s="54">
        <v>50.8949</v>
      </c>
      <c r="D10" s="73" t="s">
        <v>52</v>
      </c>
      <c r="E10" s="74"/>
      <c r="J10" s="55">
        <f>J9*C9*C8/60</f>
        <v>67859.866666666669</v>
      </c>
      <c r="K10" s="56" t="s">
        <v>48</v>
      </c>
      <c r="L10" s="56"/>
    </row>
    <row r="11" spans="1:14" x14ac:dyDescent="0.25">
      <c r="A11" s="71" t="s">
        <v>53</v>
      </c>
      <c r="B11" s="72"/>
      <c r="C11" s="54">
        <v>8</v>
      </c>
      <c r="D11" s="75" t="s">
        <v>54</v>
      </c>
      <c r="E11" s="76"/>
    </row>
    <row r="12" spans="1:14" x14ac:dyDescent="0.25">
      <c r="A12" s="77" t="s">
        <v>55</v>
      </c>
      <c r="B12" s="78"/>
      <c r="C12" s="57">
        <f>C8*C9*C10/C11</f>
        <v>20357.96</v>
      </c>
      <c r="D12" s="73" t="s">
        <v>56</v>
      </c>
      <c r="E12" s="74"/>
    </row>
    <row r="15" spans="1:14" x14ac:dyDescent="0.25">
      <c r="A15" t="s">
        <v>71</v>
      </c>
      <c r="B15" t="s">
        <v>72</v>
      </c>
      <c r="C15" t="s">
        <v>73</v>
      </c>
    </row>
    <row r="16" spans="1:14" x14ac:dyDescent="0.25">
      <c r="A16" t="s">
        <v>74</v>
      </c>
      <c r="B16">
        <v>20381</v>
      </c>
      <c r="C16">
        <v>21610</v>
      </c>
    </row>
    <row r="19" spans="6:6" x14ac:dyDescent="0.25">
      <c r="F19" t="s">
        <v>57</v>
      </c>
    </row>
  </sheetData>
  <mergeCells count="14">
    <mergeCell ref="A8:B8"/>
    <mergeCell ref="D8:E8"/>
    <mergeCell ref="H8:I8"/>
    <mergeCell ref="K8:L8"/>
    <mergeCell ref="A9:B9"/>
    <mergeCell ref="D9:E9"/>
    <mergeCell ref="H9:I9"/>
    <mergeCell ref="K9:L9"/>
    <mergeCell ref="A10:B10"/>
    <mergeCell ref="D10:E10"/>
    <mergeCell ref="A11:B11"/>
    <mergeCell ref="D11:E11"/>
    <mergeCell ref="A12:B12"/>
    <mergeCell ref="D12:E12"/>
  </mergeCells>
  <pageMargins left="0.7" right="0.7" top="0.75" bottom="0.75" header="0.3" footer="0.3"/>
  <pageSetup scale="67" orientation="landscape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23"/>
  <sheetViews>
    <sheetView workbookViewId="0">
      <selection activeCell="B4" sqref="B4:D4"/>
    </sheetView>
  </sheetViews>
  <sheetFormatPr defaultColWidth="9.140625" defaultRowHeight="15" x14ac:dyDescent="0.25"/>
  <cols>
    <col min="1" max="1" width="14.7109375" customWidth="1"/>
    <col min="2" max="2" width="7" bestFit="1" customWidth="1"/>
    <col min="3" max="3" width="7.5703125" bestFit="1" customWidth="1"/>
    <col min="4" max="4" width="8" bestFit="1" customWidth="1"/>
    <col min="5" max="5" width="7" bestFit="1" customWidth="1"/>
    <col min="6" max="6" width="7.5703125" bestFit="1" customWidth="1"/>
    <col min="7" max="7" width="8" bestFit="1" customWidth="1"/>
    <col min="8" max="8" width="7" bestFit="1" customWidth="1"/>
    <col min="9" max="9" width="7.5703125" bestFit="1" customWidth="1"/>
    <col min="10" max="10" width="8" bestFit="1" customWidth="1"/>
    <col min="11" max="11" width="7" bestFit="1" customWidth="1"/>
    <col min="12" max="12" width="7.5703125" bestFit="1" customWidth="1"/>
    <col min="13" max="13" width="8" bestFit="1" customWidth="1"/>
    <col min="14" max="14" width="7" bestFit="1" customWidth="1"/>
    <col min="15" max="15" width="7.5703125" bestFit="1" customWidth="1"/>
    <col min="16" max="16" width="8" bestFit="1" customWidth="1"/>
    <col min="17" max="17" width="6" bestFit="1" customWidth="1"/>
    <col min="18" max="18" width="7.5703125" bestFit="1" customWidth="1"/>
    <col min="19" max="19" width="8" customWidth="1"/>
    <col min="20" max="20" width="5.42578125" bestFit="1" customWidth="1"/>
    <col min="21" max="21" width="5" bestFit="1" customWidth="1"/>
    <col min="22" max="22" width="5.85546875" bestFit="1" customWidth="1"/>
    <col min="23" max="23" width="8.7109375" bestFit="1" customWidth="1"/>
    <col min="24" max="25" width="2" bestFit="1" customWidth="1"/>
    <col min="26" max="26" width="7" bestFit="1" customWidth="1"/>
    <col min="27" max="28" width="2" bestFit="1" customWidth="1"/>
    <col min="29" max="29" width="6" bestFit="1" customWidth="1"/>
  </cols>
  <sheetData>
    <row r="1" spans="1:28" x14ac:dyDescent="0.25">
      <c r="A1" s="93" t="s">
        <v>7</v>
      </c>
      <c r="B1" s="81" t="s">
        <v>5</v>
      </c>
      <c r="C1" s="82"/>
      <c r="D1" s="83"/>
      <c r="E1" s="81" t="s">
        <v>3</v>
      </c>
      <c r="F1" s="82"/>
      <c r="G1" s="83"/>
      <c r="H1" s="81" t="s">
        <v>3</v>
      </c>
      <c r="I1" s="82"/>
      <c r="J1" s="83"/>
      <c r="K1" s="81" t="s">
        <v>3</v>
      </c>
      <c r="L1" s="82"/>
      <c r="M1" s="83"/>
      <c r="N1" s="81" t="s">
        <v>3</v>
      </c>
      <c r="O1" s="82"/>
      <c r="P1" s="83"/>
      <c r="Q1" s="81" t="s">
        <v>3</v>
      </c>
      <c r="R1" s="82"/>
      <c r="S1" s="83"/>
      <c r="T1" t="s">
        <v>8</v>
      </c>
      <c r="U1">
        <v>60</v>
      </c>
      <c r="V1" t="s">
        <v>9</v>
      </c>
      <c r="W1" t="s">
        <v>58</v>
      </c>
      <c r="X1" t="s">
        <v>59</v>
      </c>
      <c r="Y1" t="s">
        <v>60</v>
      </c>
      <c r="AA1" t="s">
        <v>61</v>
      </c>
      <c r="AB1" t="s">
        <v>62</v>
      </c>
    </row>
    <row r="2" spans="1:28" x14ac:dyDescent="0.25">
      <c r="A2" s="94"/>
      <c r="B2" s="11" t="s">
        <v>0</v>
      </c>
      <c r="C2" s="12" t="s">
        <v>1</v>
      </c>
      <c r="D2" s="13" t="s">
        <v>2</v>
      </c>
      <c r="E2" s="11" t="s">
        <v>0</v>
      </c>
      <c r="F2" s="12" t="s">
        <v>1</v>
      </c>
      <c r="G2" s="13" t="s">
        <v>2</v>
      </c>
      <c r="H2" s="11" t="s">
        <v>0</v>
      </c>
      <c r="I2" s="12" t="s">
        <v>1</v>
      </c>
      <c r="J2" s="13" t="s">
        <v>2</v>
      </c>
      <c r="K2" s="11" t="s">
        <v>0</v>
      </c>
      <c r="L2" s="12" t="s">
        <v>1</v>
      </c>
      <c r="M2" s="13" t="s">
        <v>2</v>
      </c>
      <c r="N2" s="11" t="s">
        <v>0</v>
      </c>
      <c r="O2" s="12" t="s">
        <v>1</v>
      </c>
      <c r="P2" s="13" t="s">
        <v>2</v>
      </c>
      <c r="Q2" s="11" t="s">
        <v>0</v>
      </c>
      <c r="R2" s="12" t="s">
        <v>1</v>
      </c>
      <c r="S2" s="13" t="s">
        <v>2</v>
      </c>
      <c r="T2" t="s">
        <v>10</v>
      </c>
      <c r="U2">
        <v>1000</v>
      </c>
      <c r="V2" t="s">
        <v>11</v>
      </c>
    </row>
    <row r="3" spans="1:28" x14ac:dyDescent="0.25">
      <c r="A3" s="5" t="s">
        <v>4</v>
      </c>
      <c r="B3" s="1">
        <v>346</v>
      </c>
      <c r="C3" s="2">
        <f>B3/($U$1*$U$2)</f>
        <v>5.7666666666666665E-3</v>
      </c>
      <c r="D3" s="3">
        <f>C3*1000</f>
        <v>5.7666666666666666</v>
      </c>
      <c r="E3" s="1">
        <v>1000</v>
      </c>
      <c r="F3" s="2">
        <f>E3/($U$1*$U$2)</f>
        <v>1.6666666666666666E-2</v>
      </c>
      <c r="G3" s="3">
        <f>F3*1000</f>
        <v>16.666666666666668</v>
      </c>
      <c r="H3" s="1">
        <v>2000</v>
      </c>
      <c r="I3" s="2">
        <f>H3/($U$1*$U$2)</f>
        <v>3.3333333333333333E-2</v>
      </c>
      <c r="J3" s="3">
        <f>I3*1000</f>
        <v>33.333333333333336</v>
      </c>
      <c r="K3" s="1">
        <v>5000</v>
      </c>
      <c r="L3" s="2">
        <f>K3/($U$1*$U$2)</f>
        <v>8.3333333333333329E-2</v>
      </c>
      <c r="M3" s="3">
        <f>L3*1000</f>
        <v>83.333333333333329</v>
      </c>
      <c r="N3" s="1">
        <v>10000</v>
      </c>
      <c r="O3" s="2">
        <f>N3/($U$1*$U$2)</f>
        <v>0.16666666666666666</v>
      </c>
      <c r="P3" s="3">
        <f>O3*1000</f>
        <v>166.66666666666666</v>
      </c>
      <c r="Q3" s="1">
        <v>15000</v>
      </c>
      <c r="R3" s="2">
        <f>Q3/($U$1*$U$2)</f>
        <v>0.25</v>
      </c>
      <c r="S3" s="3">
        <f>R3*1000</f>
        <v>250</v>
      </c>
    </row>
    <row r="4" spans="1:28" x14ac:dyDescent="0.25">
      <c r="A4" s="84" t="s">
        <v>13</v>
      </c>
      <c r="B4" s="87"/>
      <c r="C4" s="88"/>
      <c r="D4" s="89"/>
      <c r="E4" s="90"/>
      <c r="F4" s="91"/>
      <c r="G4" s="92"/>
      <c r="H4" s="87"/>
      <c r="I4" s="88"/>
      <c r="J4" s="89"/>
      <c r="K4" s="87"/>
      <c r="L4" s="88"/>
      <c r="M4" s="89"/>
      <c r="N4" s="87"/>
      <c r="O4" s="88"/>
      <c r="P4" s="89"/>
      <c r="Q4" s="90"/>
      <c r="R4" s="91"/>
      <c r="S4" s="92"/>
    </row>
    <row r="5" spans="1:28" x14ac:dyDescent="0.25">
      <c r="A5" s="85"/>
      <c r="B5" s="87"/>
      <c r="C5" s="88"/>
      <c r="D5" s="89"/>
      <c r="E5" s="90"/>
      <c r="F5" s="91"/>
      <c r="G5" s="92"/>
      <c r="H5" s="87"/>
      <c r="I5" s="88"/>
      <c r="J5" s="89"/>
      <c r="K5" s="90"/>
      <c r="L5" s="91"/>
      <c r="M5" s="92"/>
      <c r="N5" s="87"/>
      <c r="O5" s="88"/>
      <c r="P5" s="89"/>
      <c r="Q5" s="87"/>
      <c r="R5" s="88"/>
      <c r="S5" s="89"/>
    </row>
    <row r="6" spans="1:28" x14ac:dyDescent="0.25">
      <c r="A6" s="85"/>
      <c r="B6" s="87"/>
      <c r="C6" s="88"/>
      <c r="D6" s="89"/>
      <c r="E6" s="90"/>
      <c r="F6" s="91"/>
      <c r="G6" s="92"/>
      <c r="H6" s="87"/>
      <c r="I6" s="88"/>
      <c r="J6" s="89"/>
      <c r="K6" s="90"/>
      <c r="L6" s="91"/>
      <c r="M6" s="92"/>
      <c r="N6" s="87"/>
      <c r="O6" s="88"/>
      <c r="P6" s="89"/>
      <c r="Q6" s="90"/>
      <c r="R6" s="91"/>
      <c r="S6" s="92"/>
    </row>
    <row r="7" spans="1:28" x14ac:dyDescent="0.25">
      <c r="A7" s="85"/>
      <c r="B7" s="87"/>
      <c r="C7" s="88"/>
      <c r="D7" s="89"/>
      <c r="E7" s="90"/>
      <c r="F7" s="91"/>
      <c r="G7" s="92"/>
      <c r="H7" s="87"/>
      <c r="I7" s="88"/>
      <c r="J7" s="89"/>
      <c r="K7" s="90"/>
      <c r="L7" s="91"/>
      <c r="M7" s="92"/>
      <c r="N7" s="87"/>
      <c r="O7" s="88"/>
      <c r="P7" s="89"/>
      <c r="Q7" s="87"/>
      <c r="R7" s="88"/>
      <c r="S7" s="89"/>
    </row>
    <row r="8" spans="1:28" x14ac:dyDescent="0.25">
      <c r="A8" s="85"/>
      <c r="B8" s="87"/>
      <c r="C8" s="88"/>
      <c r="D8" s="89"/>
      <c r="E8" s="90"/>
      <c r="F8" s="91"/>
      <c r="G8" s="92"/>
      <c r="H8" s="87"/>
      <c r="I8" s="88"/>
      <c r="J8" s="89"/>
      <c r="K8" s="90"/>
      <c r="L8" s="91"/>
      <c r="M8" s="92"/>
      <c r="N8" s="87"/>
      <c r="O8" s="88"/>
      <c r="P8" s="89"/>
      <c r="Q8" s="90"/>
      <c r="R8" s="91"/>
      <c r="S8" s="92"/>
    </row>
    <row r="9" spans="1:28" x14ac:dyDescent="0.25">
      <c r="A9" s="86"/>
      <c r="B9" s="87"/>
      <c r="C9" s="88"/>
      <c r="D9" s="89"/>
      <c r="E9" s="95"/>
      <c r="F9" s="96"/>
      <c r="G9" s="97"/>
      <c r="H9" s="87"/>
      <c r="I9" s="88"/>
      <c r="J9" s="89"/>
      <c r="K9" s="95"/>
      <c r="L9" s="96"/>
      <c r="M9" s="97"/>
      <c r="N9" s="87"/>
      <c r="O9" s="88"/>
      <c r="P9" s="89"/>
      <c r="Q9" s="90"/>
      <c r="R9" s="91"/>
      <c r="S9" s="92"/>
    </row>
    <row r="10" spans="1:28" x14ac:dyDescent="0.25">
      <c r="A10" s="6" t="s">
        <v>12</v>
      </c>
      <c r="B10" s="101"/>
      <c r="C10" s="102"/>
      <c r="D10" s="103"/>
      <c r="E10" s="101"/>
      <c r="F10" s="102"/>
      <c r="G10" s="103"/>
      <c r="H10" s="101"/>
      <c r="I10" s="102"/>
      <c r="J10" s="103"/>
      <c r="K10" s="101"/>
      <c r="L10" s="102"/>
      <c r="M10" s="103"/>
      <c r="N10" s="101"/>
      <c r="O10" s="102"/>
      <c r="P10" s="103"/>
      <c r="Q10" s="101"/>
      <c r="R10" s="102"/>
      <c r="S10" s="103"/>
    </row>
    <row r="11" spans="1:28" ht="30" x14ac:dyDescent="0.25">
      <c r="A11" s="4" t="s">
        <v>16</v>
      </c>
      <c r="B11" s="98"/>
      <c r="C11" s="99"/>
      <c r="D11" s="100"/>
      <c r="E11" s="98"/>
      <c r="F11" s="99"/>
      <c r="G11" s="100"/>
      <c r="H11" s="98"/>
      <c r="I11" s="99"/>
      <c r="J11" s="100"/>
      <c r="K11" s="98"/>
      <c r="L11" s="99"/>
      <c r="M11" s="100"/>
      <c r="N11" s="98"/>
      <c r="O11" s="99"/>
      <c r="P11" s="100"/>
      <c r="Q11" s="98"/>
      <c r="R11" s="99"/>
      <c r="S11" s="100"/>
    </row>
    <row r="13" spans="1:28" x14ac:dyDescent="0.25">
      <c r="A13" s="93" t="s">
        <v>7</v>
      </c>
      <c r="B13" s="81" t="s">
        <v>15</v>
      </c>
      <c r="C13" s="82"/>
      <c r="D13" s="83"/>
      <c r="E13" s="81" t="s">
        <v>3</v>
      </c>
      <c r="F13" s="82"/>
      <c r="G13" s="83"/>
      <c r="H13" s="81" t="s">
        <v>3</v>
      </c>
      <c r="I13" s="82"/>
      <c r="J13" s="83"/>
      <c r="K13" s="81" t="s">
        <v>3</v>
      </c>
      <c r="L13" s="82"/>
      <c r="M13" s="83"/>
      <c r="N13" s="81" t="s">
        <v>3</v>
      </c>
      <c r="O13" s="82"/>
      <c r="P13" s="83"/>
      <c r="Q13" s="81" t="s">
        <v>6</v>
      </c>
      <c r="R13" s="82"/>
      <c r="S13" s="83"/>
    </row>
    <row r="14" spans="1:28" x14ac:dyDescent="0.25">
      <c r="A14" s="94"/>
      <c r="B14" s="11" t="s">
        <v>0</v>
      </c>
      <c r="C14" s="12" t="s">
        <v>1</v>
      </c>
      <c r="D14" s="13" t="s">
        <v>2</v>
      </c>
      <c r="E14" s="11" t="s">
        <v>0</v>
      </c>
      <c r="F14" s="12" t="s">
        <v>1</v>
      </c>
      <c r="G14" s="13" t="s">
        <v>2</v>
      </c>
      <c r="H14" s="11" t="s">
        <v>0</v>
      </c>
      <c r="I14" s="12" t="s">
        <v>1</v>
      </c>
      <c r="J14" s="13" t="s">
        <v>2</v>
      </c>
      <c r="K14" s="11" t="s">
        <v>0</v>
      </c>
      <c r="L14" s="12" t="s">
        <v>1</v>
      </c>
      <c r="M14" s="13" t="s">
        <v>2</v>
      </c>
      <c r="N14" s="11" t="s">
        <v>0</v>
      </c>
      <c r="O14" s="12" t="s">
        <v>1</v>
      </c>
      <c r="P14" s="13" t="s">
        <v>2</v>
      </c>
      <c r="Q14" s="11" t="s">
        <v>0</v>
      </c>
      <c r="R14" s="12" t="s">
        <v>1</v>
      </c>
      <c r="S14" s="13" t="s">
        <v>2</v>
      </c>
    </row>
    <row r="15" spans="1:28" x14ac:dyDescent="0.25">
      <c r="A15" s="5" t="s">
        <v>4</v>
      </c>
      <c r="B15" s="1">
        <v>20000</v>
      </c>
      <c r="C15" s="2">
        <f>B15/($U$1*$U$2)</f>
        <v>0.33333333333333331</v>
      </c>
      <c r="D15" s="3">
        <f>C15*1000</f>
        <v>333.33333333333331</v>
      </c>
      <c r="E15" s="1">
        <v>50000</v>
      </c>
      <c r="F15" s="2">
        <f>E15/($U$1*$U$2)</f>
        <v>0.83333333333333337</v>
      </c>
      <c r="G15" s="3">
        <f>F15*1000</f>
        <v>833.33333333333337</v>
      </c>
      <c r="H15" s="1">
        <v>100000</v>
      </c>
      <c r="I15" s="2">
        <f>H15/($U$1*$U$2)</f>
        <v>1.6666666666666667</v>
      </c>
      <c r="J15" s="3">
        <f>I15*1000</f>
        <v>1666.6666666666667</v>
      </c>
      <c r="K15" s="1">
        <v>150000</v>
      </c>
      <c r="L15" s="2">
        <f>K15/($U$1*$U$2)</f>
        <v>2.5</v>
      </c>
      <c r="M15" s="3">
        <f>L15*1000</f>
        <v>2500</v>
      </c>
      <c r="N15" s="1">
        <v>200000</v>
      </c>
      <c r="O15" s="2">
        <f>N15/($U$1*$U$2)</f>
        <v>3.3333333333333335</v>
      </c>
      <c r="P15" s="3">
        <f>O15*1000</f>
        <v>3333.3333333333335</v>
      </c>
      <c r="Q15" s="1">
        <v>278744</v>
      </c>
      <c r="R15" s="2">
        <f>Q15/($U$1*$U$2)</f>
        <v>4.6457333333333333</v>
      </c>
      <c r="S15" s="3">
        <f>R15*1000</f>
        <v>4645.7333333333336</v>
      </c>
    </row>
    <row r="16" spans="1:28" x14ac:dyDescent="0.25">
      <c r="A16" s="84" t="s">
        <v>13</v>
      </c>
      <c r="B16" s="87"/>
      <c r="C16" s="88"/>
      <c r="D16" s="89"/>
      <c r="E16" s="90"/>
      <c r="F16" s="91"/>
      <c r="G16" s="92"/>
      <c r="H16" s="87"/>
      <c r="I16" s="88"/>
      <c r="J16" s="89"/>
      <c r="K16" s="90"/>
      <c r="L16" s="91"/>
      <c r="M16" s="92"/>
      <c r="N16" s="87"/>
      <c r="O16" s="88"/>
      <c r="P16" s="89"/>
      <c r="Q16" s="90"/>
      <c r="R16" s="91"/>
      <c r="S16" s="92"/>
    </row>
    <row r="17" spans="1:19" x14ac:dyDescent="0.25">
      <c r="A17" s="85"/>
      <c r="B17" s="87"/>
      <c r="C17" s="88"/>
      <c r="D17" s="89"/>
      <c r="E17" s="90"/>
      <c r="F17" s="91"/>
      <c r="G17" s="92"/>
      <c r="H17" s="87"/>
      <c r="I17" s="88"/>
      <c r="J17" s="89"/>
      <c r="K17" s="90"/>
      <c r="L17" s="91"/>
      <c r="M17" s="92"/>
      <c r="N17" s="87"/>
      <c r="O17" s="88"/>
      <c r="P17" s="89"/>
      <c r="Q17" s="87"/>
      <c r="R17" s="88"/>
      <c r="S17" s="89"/>
    </row>
    <row r="18" spans="1:19" x14ac:dyDescent="0.25">
      <c r="A18" s="85"/>
      <c r="B18" s="87"/>
      <c r="C18" s="88"/>
      <c r="D18" s="89"/>
      <c r="E18" s="90"/>
      <c r="F18" s="91"/>
      <c r="G18" s="92"/>
      <c r="H18" s="87"/>
      <c r="I18" s="88"/>
      <c r="J18" s="89"/>
      <c r="K18" s="90"/>
      <c r="L18" s="91"/>
      <c r="M18" s="92"/>
      <c r="N18" s="87"/>
      <c r="O18" s="88"/>
      <c r="P18" s="89"/>
      <c r="Q18" s="90"/>
      <c r="R18" s="91"/>
      <c r="S18" s="92"/>
    </row>
    <row r="19" spans="1:19" x14ac:dyDescent="0.25">
      <c r="A19" s="85"/>
      <c r="B19" s="87"/>
      <c r="C19" s="88"/>
      <c r="D19" s="89"/>
      <c r="E19" s="90"/>
      <c r="F19" s="91"/>
      <c r="G19" s="92"/>
      <c r="H19" s="87"/>
      <c r="I19" s="88"/>
      <c r="J19" s="89"/>
      <c r="K19" s="90"/>
      <c r="L19" s="91"/>
      <c r="M19" s="92"/>
      <c r="N19" s="87"/>
      <c r="O19" s="88"/>
      <c r="P19" s="89"/>
      <c r="Q19" s="87"/>
      <c r="R19" s="88"/>
      <c r="S19" s="89"/>
    </row>
    <row r="20" spans="1:19" x14ac:dyDescent="0.25">
      <c r="A20" s="85"/>
      <c r="B20" s="87"/>
      <c r="C20" s="88"/>
      <c r="D20" s="89"/>
      <c r="E20" s="90"/>
      <c r="F20" s="91"/>
      <c r="G20" s="92"/>
      <c r="H20" s="87"/>
      <c r="I20" s="88"/>
      <c r="J20" s="89"/>
      <c r="K20" s="90"/>
      <c r="L20" s="91"/>
      <c r="M20" s="92"/>
      <c r="N20" s="87"/>
      <c r="O20" s="88"/>
      <c r="P20" s="89"/>
      <c r="Q20" s="90"/>
      <c r="R20" s="91"/>
      <c r="S20" s="92"/>
    </row>
    <row r="21" spans="1:19" x14ac:dyDescent="0.25">
      <c r="A21" s="86"/>
      <c r="B21" s="87"/>
      <c r="C21" s="88"/>
      <c r="D21" s="89"/>
      <c r="E21" s="95"/>
      <c r="F21" s="96"/>
      <c r="G21" s="97"/>
      <c r="H21" s="87"/>
      <c r="I21" s="88"/>
      <c r="J21" s="89"/>
      <c r="K21" s="95"/>
      <c r="L21" s="96"/>
      <c r="M21" s="97"/>
      <c r="N21" s="87"/>
      <c r="O21" s="88"/>
      <c r="P21" s="89"/>
      <c r="Q21" s="90"/>
      <c r="R21" s="91"/>
      <c r="S21" s="92"/>
    </row>
    <row r="22" spans="1:19" x14ac:dyDescent="0.25">
      <c r="A22" s="6" t="s">
        <v>12</v>
      </c>
      <c r="B22" s="101"/>
      <c r="C22" s="102"/>
      <c r="D22" s="103"/>
      <c r="E22" s="101"/>
      <c r="F22" s="102"/>
      <c r="G22" s="103"/>
      <c r="H22" s="101"/>
      <c r="I22" s="102"/>
      <c r="J22" s="103"/>
      <c r="K22" s="101"/>
      <c r="L22" s="102"/>
      <c r="M22" s="103"/>
      <c r="N22" s="101"/>
      <c r="O22" s="102"/>
      <c r="P22" s="103"/>
      <c r="Q22" s="101"/>
      <c r="R22" s="102"/>
      <c r="S22" s="103"/>
    </row>
    <row r="23" spans="1:19" ht="30" x14ac:dyDescent="0.25">
      <c r="A23" s="4" t="s">
        <v>14</v>
      </c>
      <c r="B23" s="98"/>
      <c r="C23" s="99"/>
      <c r="D23" s="100"/>
      <c r="E23" s="98"/>
      <c r="F23" s="99"/>
      <c r="G23" s="100"/>
      <c r="H23" s="98"/>
      <c r="I23" s="99"/>
      <c r="J23" s="100"/>
      <c r="K23" s="104"/>
      <c r="L23" s="105"/>
      <c r="M23" s="106"/>
      <c r="N23" s="98"/>
      <c r="O23" s="99"/>
      <c r="P23" s="100"/>
      <c r="Q23" s="104"/>
      <c r="R23" s="105"/>
      <c r="S23" s="106"/>
    </row>
  </sheetData>
  <mergeCells count="112">
    <mergeCell ref="B23:D23"/>
    <mergeCell ref="E23:G23"/>
    <mergeCell ref="H23:J23"/>
    <mergeCell ref="K23:M23"/>
    <mergeCell ref="N23:P23"/>
    <mergeCell ref="Q23:S23"/>
    <mergeCell ref="B22:D22"/>
    <mergeCell ref="E22:G22"/>
    <mergeCell ref="H22:J22"/>
    <mergeCell ref="K22:M22"/>
    <mergeCell ref="N22:P22"/>
    <mergeCell ref="Q22:S22"/>
    <mergeCell ref="N17:P17"/>
    <mergeCell ref="Q17:S17"/>
    <mergeCell ref="B18:D18"/>
    <mergeCell ref="E18:G18"/>
    <mergeCell ref="H18:J18"/>
    <mergeCell ref="K18:M18"/>
    <mergeCell ref="N18:P18"/>
    <mergeCell ref="Q18:S18"/>
    <mergeCell ref="B21:D21"/>
    <mergeCell ref="E21:G21"/>
    <mergeCell ref="H21:J21"/>
    <mergeCell ref="K21:M21"/>
    <mergeCell ref="N21:P21"/>
    <mergeCell ref="Q21:S21"/>
    <mergeCell ref="B20:D20"/>
    <mergeCell ref="E20:G20"/>
    <mergeCell ref="H20:J20"/>
    <mergeCell ref="K20:M20"/>
    <mergeCell ref="N20:P20"/>
    <mergeCell ref="Q20:S20"/>
    <mergeCell ref="Q13:S13"/>
    <mergeCell ref="A16:A21"/>
    <mergeCell ref="B16:D16"/>
    <mergeCell ref="E16:G16"/>
    <mergeCell ref="H16:J16"/>
    <mergeCell ref="K16:M16"/>
    <mergeCell ref="N16:P16"/>
    <mergeCell ref="Q16:S16"/>
    <mergeCell ref="B17:D17"/>
    <mergeCell ref="E17:G17"/>
    <mergeCell ref="A13:A14"/>
    <mergeCell ref="B13:D13"/>
    <mergeCell ref="E13:G13"/>
    <mergeCell ref="H13:J13"/>
    <mergeCell ref="K13:M13"/>
    <mergeCell ref="N13:P13"/>
    <mergeCell ref="B19:D19"/>
    <mergeCell ref="E19:G19"/>
    <mergeCell ref="H19:J19"/>
    <mergeCell ref="K19:M19"/>
    <mergeCell ref="N19:P19"/>
    <mergeCell ref="Q19:S19"/>
    <mergeCell ref="H17:J17"/>
    <mergeCell ref="K17:M17"/>
    <mergeCell ref="B11:D11"/>
    <mergeCell ref="E11:G11"/>
    <mergeCell ref="H11:J11"/>
    <mergeCell ref="K11:M11"/>
    <mergeCell ref="N11:P11"/>
    <mergeCell ref="Q11:S11"/>
    <mergeCell ref="B10:D10"/>
    <mergeCell ref="E10:G10"/>
    <mergeCell ref="H10:J10"/>
    <mergeCell ref="K10:M10"/>
    <mergeCell ref="N10:P10"/>
    <mergeCell ref="Q10:S10"/>
    <mergeCell ref="N5:P5"/>
    <mergeCell ref="Q5:S5"/>
    <mergeCell ref="B6:D6"/>
    <mergeCell ref="E6:G6"/>
    <mergeCell ref="H6:J6"/>
    <mergeCell ref="K6:M6"/>
    <mergeCell ref="N6:P6"/>
    <mergeCell ref="Q6:S6"/>
    <mergeCell ref="B9:D9"/>
    <mergeCell ref="E9:G9"/>
    <mergeCell ref="H9:J9"/>
    <mergeCell ref="K9:M9"/>
    <mergeCell ref="N9:P9"/>
    <mergeCell ref="Q9:S9"/>
    <mergeCell ref="B8:D8"/>
    <mergeCell ref="E8:G8"/>
    <mergeCell ref="H8:J8"/>
    <mergeCell ref="K8:M8"/>
    <mergeCell ref="N8:P8"/>
    <mergeCell ref="Q8:S8"/>
    <mergeCell ref="Q1:S1"/>
    <mergeCell ref="A4:A9"/>
    <mergeCell ref="B4:D4"/>
    <mergeCell ref="E4:G4"/>
    <mergeCell ref="H4:J4"/>
    <mergeCell ref="K4:M4"/>
    <mergeCell ref="N4:P4"/>
    <mergeCell ref="Q4:S4"/>
    <mergeCell ref="B5:D5"/>
    <mergeCell ref="E5:G5"/>
    <mergeCell ref="A1:A2"/>
    <mergeCell ref="B1:D1"/>
    <mergeCell ref="E1:G1"/>
    <mergeCell ref="H1:J1"/>
    <mergeCell ref="K1:M1"/>
    <mergeCell ref="N1:P1"/>
    <mergeCell ref="B7:D7"/>
    <mergeCell ref="E7:G7"/>
    <mergeCell ref="H7:J7"/>
    <mergeCell ref="K7:M7"/>
    <mergeCell ref="N7:P7"/>
    <mergeCell ref="Q7:S7"/>
    <mergeCell ref="H5:J5"/>
    <mergeCell ref="K5:M5"/>
  </mergeCell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44"/>
  <sheetViews>
    <sheetView workbookViewId="0">
      <selection activeCell="K8" sqref="K8:M8"/>
    </sheetView>
  </sheetViews>
  <sheetFormatPr defaultColWidth="9.140625" defaultRowHeight="15" x14ac:dyDescent="0.25"/>
  <cols>
    <col min="1" max="1" width="22" bestFit="1" customWidth="1"/>
    <col min="2" max="2" width="9.42578125" bestFit="1" customWidth="1"/>
    <col min="3" max="3" width="7.5703125" bestFit="1" customWidth="1"/>
    <col min="4" max="4" width="8" bestFit="1" customWidth="1"/>
    <col min="5" max="5" width="7.7109375" bestFit="1" customWidth="1"/>
    <col min="6" max="6" width="7.5703125" bestFit="1" customWidth="1"/>
    <col min="7" max="7" width="8" bestFit="1" customWidth="1"/>
    <col min="8" max="8" width="7" bestFit="1" customWidth="1"/>
    <col min="9" max="9" width="7.5703125" bestFit="1" customWidth="1"/>
    <col min="10" max="10" width="8" bestFit="1" customWidth="1"/>
    <col min="11" max="11" width="7" bestFit="1" customWidth="1"/>
    <col min="12" max="12" width="7.5703125" bestFit="1" customWidth="1"/>
    <col min="13" max="13" width="8" customWidth="1"/>
    <col min="14" max="14" width="8.7109375" bestFit="1" customWidth="1"/>
    <col min="15" max="15" width="5" bestFit="1" customWidth="1"/>
    <col min="16" max="16" width="5.85546875" bestFit="1" customWidth="1"/>
    <col min="17" max="17" width="7" bestFit="1" customWidth="1"/>
    <col min="18" max="18" width="14.5703125" bestFit="1" customWidth="1"/>
    <col min="19" max="19" width="15.85546875" bestFit="1" customWidth="1"/>
    <col min="20" max="20" width="7.5703125" bestFit="1" customWidth="1"/>
    <col min="21" max="21" width="11.140625" bestFit="1" customWidth="1"/>
    <col min="22" max="22" width="9.42578125" customWidth="1"/>
  </cols>
  <sheetData>
    <row r="1" spans="1:20" x14ac:dyDescent="0.25">
      <c r="A1" s="93" t="s">
        <v>7</v>
      </c>
      <c r="B1" s="107" t="s">
        <v>5</v>
      </c>
      <c r="C1" s="108"/>
      <c r="D1" s="109"/>
      <c r="E1" s="107" t="s">
        <v>3</v>
      </c>
      <c r="F1" s="108"/>
      <c r="G1" s="109"/>
      <c r="H1" s="107" t="s">
        <v>3</v>
      </c>
      <c r="I1" s="108"/>
      <c r="J1" s="109"/>
      <c r="K1" s="107" t="s">
        <v>3</v>
      </c>
      <c r="L1" s="108"/>
      <c r="M1" s="109"/>
      <c r="N1" s="68" t="s">
        <v>8</v>
      </c>
      <c r="O1" s="68">
        <v>60</v>
      </c>
      <c r="P1" s="68" t="s">
        <v>9</v>
      </c>
      <c r="Q1" s="68"/>
      <c r="R1" s="68" t="s">
        <v>66</v>
      </c>
      <c r="S1" s="68" t="s">
        <v>68</v>
      </c>
      <c r="T1" s="67" t="s">
        <v>65</v>
      </c>
    </row>
    <row r="2" spans="1:20" x14ac:dyDescent="0.25">
      <c r="A2" s="94"/>
      <c r="B2" s="7" t="s">
        <v>0</v>
      </c>
      <c r="C2" s="8" t="s">
        <v>1</v>
      </c>
      <c r="D2" s="9" t="s">
        <v>2</v>
      </c>
      <c r="E2" s="7" t="s">
        <v>0</v>
      </c>
      <c r="F2" s="8" t="s">
        <v>1</v>
      </c>
      <c r="G2" s="9" t="s">
        <v>2</v>
      </c>
      <c r="H2" s="7" t="s">
        <v>0</v>
      </c>
      <c r="I2" s="8" t="s">
        <v>1</v>
      </c>
      <c r="J2" s="9" t="s">
        <v>2</v>
      </c>
      <c r="K2" s="7" t="s">
        <v>0</v>
      </c>
      <c r="L2" s="8" t="s">
        <v>1</v>
      </c>
      <c r="M2" s="9" t="s">
        <v>2</v>
      </c>
      <c r="N2" t="s">
        <v>10</v>
      </c>
      <c r="O2">
        <v>1000</v>
      </c>
      <c r="P2" t="s">
        <v>11</v>
      </c>
      <c r="R2">
        <v>32</v>
      </c>
      <c r="S2" s="61">
        <v>5.2189300000000003</v>
      </c>
      <c r="T2" s="61">
        <v>0.22186</v>
      </c>
    </row>
    <row r="3" spans="1:20" x14ac:dyDescent="0.25">
      <c r="A3" s="5" t="s">
        <v>4</v>
      </c>
      <c r="B3" s="1">
        <v>346</v>
      </c>
      <c r="C3" s="2">
        <f>B3/($O$1*$O$2)</f>
        <v>5.7666666666666665E-3</v>
      </c>
      <c r="D3" s="3">
        <f>C3*1000</f>
        <v>5.7666666666666666</v>
      </c>
      <c r="E3" s="1">
        <v>2000</v>
      </c>
      <c r="F3" s="2">
        <f>E3/($O$1*$O$2)</f>
        <v>3.3333333333333333E-2</v>
      </c>
      <c r="G3" s="3">
        <f>F3*1000</f>
        <v>33.333333333333336</v>
      </c>
      <c r="H3" s="1">
        <v>10000</v>
      </c>
      <c r="I3" s="2">
        <f>H3/($O$1*$O$2)</f>
        <v>0.16666666666666666</v>
      </c>
      <c r="J3" s="3">
        <f>I3*1000</f>
        <v>166.66666666666666</v>
      </c>
      <c r="K3" s="1">
        <v>15000</v>
      </c>
      <c r="L3" s="2">
        <f>K3/($O$1*$O$2)</f>
        <v>0.25</v>
      </c>
      <c r="M3" s="3">
        <f>L3*1000</f>
        <v>250</v>
      </c>
      <c r="R3">
        <v>190</v>
      </c>
      <c r="S3" s="61">
        <v>33.292949999999998</v>
      </c>
      <c r="T3" s="61">
        <v>0.35124</v>
      </c>
    </row>
    <row r="4" spans="1:20" x14ac:dyDescent="0.25">
      <c r="A4" s="84" t="s">
        <v>13</v>
      </c>
      <c r="B4" s="87">
        <f>36.2/7.05</f>
        <v>5.1347517730496461</v>
      </c>
      <c r="C4" s="88"/>
      <c r="D4" s="89"/>
      <c r="E4" s="87">
        <f>39/1.16</f>
        <v>33.620689655172413</v>
      </c>
      <c r="F4" s="88"/>
      <c r="G4" s="89"/>
      <c r="H4" s="87">
        <f>195/1.09</f>
        <v>178.89908256880733</v>
      </c>
      <c r="I4" s="88"/>
      <c r="J4" s="89"/>
      <c r="K4" s="90"/>
      <c r="L4" s="91"/>
      <c r="M4" s="92"/>
      <c r="N4" s="67" t="s">
        <v>63</v>
      </c>
      <c r="O4" s="67" t="s">
        <v>59</v>
      </c>
      <c r="R4">
        <v>952</v>
      </c>
      <c r="S4" s="61">
        <v>176.44907000000001</v>
      </c>
      <c r="T4" s="61">
        <v>1.82758</v>
      </c>
    </row>
    <row r="5" spans="1:20" x14ac:dyDescent="0.25">
      <c r="A5" s="85"/>
      <c r="B5" s="87">
        <f>37.9/7.11</f>
        <v>5.3305203938115326</v>
      </c>
      <c r="C5" s="88"/>
      <c r="D5" s="89"/>
      <c r="E5" s="87">
        <f>38.6/1.17</f>
        <v>32.991452991452995</v>
      </c>
      <c r="F5" s="88"/>
      <c r="G5" s="89"/>
      <c r="H5" s="87">
        <f>194/1.11</f>
        <v>174.77477477477476</v>
      </c>
      <c r="I5" s="88"/>
      <c r="J5" s="89"/>
      <c r="K5" s="87"/>
      <c r="L5" s="88"/>
      <c r="M5" s="89"/>
      <c r="N5" s="66">
        <f>(O5-T8)/Q8</f>
        <v>16283.340575774035</v>
      </c>
      <c r="O5" s="65">
        <v>3000</v>
      </c>
      <c r="R5">
        <v>1904</v>
      </c>
      <c r="S5" s="61">
        <v>366.70735999999999</v>
      </c>
      <c r="T5" s="61">
        <v>4.2896599999999996</v>
      </c>
    </row>
    <row r="6" spans="1:20" x14ac:dyDescent="0.25">
      <c r="A6" s="85"/>
      <c r="B6" s="87">
        <f>37/7.03</f>
        <v>5.2631578947368416</v>
      </c>
      <c r="C6" s="88"/>
      <c r="D6" s="89"/>
      <c r="E6" s="87">
        <f>38.2/1.16</f>
        <v>32.931034482758626</v>
      </c>
      <c r="F6" s="88"/>
      <c r="G6" s="89"/>
      <c r="H6" s="87">
        <f>194.3/1.1</f>
        <v>176.63636363636363</v>
      </c>
      <c r="I6" s="88"/>
      <c r="J6" s="89"/>
      <c r="K6" s="90"/>
      <c r="L6" s="91"/>
      <c r="M6" s="92"/>
      <c r="R6">
        <v>9520</v>
      </c>
      <c r="S6" s="61">
        <v>1744.8535899999999</v>
      </c>
      <c r="T6" s="61">
        <v>14.3483</v>
      </c>
    </row>
    <row r="7" spans="1:20" ht="15.75" thickBot="1" x14ac:dyDescent="0.3">
      <c r="A7" s="85"/>
      <c r="B7" s="87">
        <f>36/6.48</f>
        <v>5.5555555555555554</v>
      </c>
      <c r="C7" s="88"/>
      <c r="D7" s="89"/>
      <c r="E7" s="87">
        <f>38/1.15</f>
        <v>33.04347826086957</v>
      </c>
      <c r="F7" s="88"/>
      <c r="G7" s="89"/>
      <c r="H7" s="87">
        <f>192.4/1.08</f>
        <v>178.14814814814815</v>
      </c>
      <c r="I7" s="88"/>
      <c r="J7" s="89"/>
      <c r="K7" s="87"/>
      <c r="L7" s="88"/>
      <c r="M7" s="89"/>
      <c r="R7">
        <v>19040</v>
      </c>
      <c r="S7" s="61">
        <v>3510.4355700000001</v>
      </c>
      <c r="T7" s="61">
        <v>26.96321</v>
      </c>
    </row>
    <row r="8" spans="1:20" ht="15.75" thickBot="1" x14ac:dyDescent="0.3">
      <c r="A8" s="85"/>
      <c r="B8" s="87">
        <f>32.8/6.39</f>
        <v>5.1330203442879494</v>
      </c>
      <c r="C8" s="88"/>
      <c r="D8" s="89"/>
      <c r="E8" s="87">
        <f>38.1/1.14</f>
        <v>33.421052631578952</v>
      </c>
      <c r="F8" s="88"/>
      <c r="G8" s="89"/>
      <c r="H8" s="87">
        <f>191.8/1.09</f>
        <v>175.96330275229357</v>
      </c>
      <c r="I8" s="88"/>
      <c r="J8" s="89"/>
      <c r="K8" s="90"/>
      <c r="L8" s="91"/>
      <c r="M8" s="92"/>
      <c r="N8" s="58" t="s">
        <v>58</v>
      </c>
      <c r="O8" s="62" t="s">
        <v>59</v>
      </c>
      <c r="P8" s="64" t="s">
        <v>60</v>
      </c>
      <c r="Q8" s="59">
        <v>0.18410000000000001</v>
      </c>
      <c r="R8" s="64" t="s">
        <v>61</v>
      </c>
      <c r="S8" s="64" t="s">
        <v>62</v>
      </c>
      <c r="T8" s="60">
        <v>2.2370000000000001</v>
      </c>
    </row>
    <row r="9" spans="1:20" ht="17.25" x14ac:dyDescent="0.25">
      <c r="A9" s="86"/>
      <c r="B9" s="87">
        <f>35.5/7.25</f>
        <v>4.8965517241379306</v>
      </c>
      <c r="C9" s="88"/>
      <c r="D9" s="89"/>
      <c r="E9" s="87">
        <f>37.8/1.12</f>
        <v>33.749999999999993</v>
      </c>
      <c r="F9" s="88"/>
      <c r="G9" s="89"/>
      <c r="H9" s="87">
        <f>191.7/1.1</f>
        <v>174.27272727272725</v>
      </c>
      <c r="I9" s="88"/>
      <c r="J9" s="89"/>
      <c r="K9" s="90"/>
      <c r="L9" s="91"/>
      <c r="M9" s="92"/>
      <c r="O9" s="63" t="s">
        <v>64</v>
      </c>
      <c r="P9" s="65" t="s">
        <v>60</v>
      </c>
      <c r="Q9">
        <v>0.99990000000000001</v>
      </c>
    </row>
    <row r="10" spans="1:20" x14ac:dyDescent="0.25">
      <c r="A10" s="6" t="s">
        <v>12</v>
      </c>
      <c r="B10" s="101" t="s">
        <v>17</v>
      </c>
      <c r="C10" s="102"/>
      <c r="D10" s="103"/>
      <c r="E10" s="101" t="s">
        <v>69</v>
      </c>
      <c r="F10" s="102"/>
      <c r="G10" s="103"/>
      <c r="H10" s="101" t="s">
        <v>18</v>
      </c>
      <c r="I10" s="102"/>
      <c r="J10" s="103"/>
      <c r="K10" s="101" t="s">
        <v>78</v>
      </c>
      <c r="L10" s="102"/>
      <c r="M10" s="103"/>
    </row>
    <row r="11" spans="1:20" ht="30" x14ac:dyDescent="0.25">
      <c r="A11" s="4" t="s">
        <v>16</v>
      </c>
      <c r="B11" s="98">
        <f>(336.12*1000)/($O$1*$O$2)/2</f>
        <v>2.8010000000000002</v>
      </c>
      <c r="C11" s="99"/>
      <c r="D11" s="100"/>
      <c r="E11" s="98">
        <f>(1995.71*1000)/($O$1*$O$2)</f>
        <v>33.261833333333335</v>
      </c>
      <c r="F11" s="99"/>
      <c r="G11" s="100"/>
      <c r="H11" s="98">
        <f>(9999.6*1000)/($O$1*$O$2)</f>
        <v>166.66</v>
      </c>
      <c r="I11" s="99"/>
      <c r="J11" s="100"/>
      <c r="K11" s="98"/>
      <c r="L11" s="99"/>
      <c r="M11" s="100"/>
    </row>
    <row r="13" spans="1:20" x14ac:dyDescent="0.25">
      <c r="A13" s="93" t="s">
        <v>7</v>
      </c>
      <c r="B13" s="81" t="s">
        <v>15</v>
      </c>
      <c r="C13" s="82"/>
      <c r="D13" s="83"/>
      <c r="E13" s="81" t="s">
        <v>3</v>
      </c>
      <c r="F13" s="82"/>
      <c r="G13" s="83"/>
      <c r="H13" s="81" t="s">
        <v>3</v>
      </c>
      <c r="I13" s="82"/>
      <c r="J13" s="83"/>
      <c r="K13" s="81" t="s">
        <v>6</v>
      </c>
      <c r="L13" s="82"/>
      <c r="M13" s="83"/>
    </row>
    <row r="14" spans="1:20" x14ac:dyDescent="0.25">
      <c r="A14" s="94"/>
      <c r="B14" s="7" t="s">
        <v>0</v>
      </c>
      <c r="C14" s="8" t="s">
        <v>1</v>
      </c>
      <c r="D14" s="9" t="s">
        <v>2</v>
      </c>
      <c r="E14" s="7" t="s">
        <v>0</v>
      </c>
      <c r="F14" s="8" t="s">
        <v>1</v>
      </c>
      <c r="G14" s="9" t="s">
        <v>2</v>
      </c>
      <c r="H14" s="7" t="s">
        <v>0</v>
      </c>
      <c r="I14" s="8" t="s">
        <v>1</v>
      </c>
      <c r="J14" s="9" t="s">
        <v>2</v>
      </c>
      <c r="K14" s="7" t="s">
        <v>0</v>
      </c>
      <c r="L14" s="8" t="s">
        <v>1</v>
      </c>
      <c r="M14" s="9" t="s">
        <v>2</v>
      </c>
    </row>
    <row r="15" spans="1:20" x14ac:dyDescent="0.25">
      <c r="A15" s="5" t="s">
        <v>4</v>
      </c>
      <c r="B15" s="1">
        <v>20000</v>
      </c>
      <c r="C15" s="2">
        <f>B15/($O$1*$O$2)</f>
        <v>0.33333333333333331</v>
      </c>
      <c r="D15" s="3">
        <f>C15*1000</f>
        <v>333.33333333333331</v>
      </c>
      <c r="E15" s="1">
        <v>100000</v>
      </c>
      <c r="F15" s="2">
        <f>E15/($O$1*$O$2)</f>
        <v>1.6666666666666667</v>
      </c>
      <c r="G15" s="3">
        <f>F15*1000</f>
        <v>1666.6666666666667</v>
      </c>
      <c r="H15" s="1">
        <v>200000</v>
      </c>
      <c r="I15" s="2">
        <f>H15/($O$1*$O$2)</f>
        <v>3.3333333333333335</v>
      </c>
      <c r="J15" s="3">
        <f>I15*1000</f>
        <v>3333.3333333333335</v>
      </c>
      <c r="K15" s="1">
        <v>278744</v>
      </c>
      <c r="L15" s="2">
        <f>K15/($O$1*$O$2)</f>
        <v>4.6457333333333333</v>
      </c>
      <c r="M15" s="3">
        <f>L15*1000</f>
        <v>4645.7333333333336</v>
      </c>
    </row>
    <row r="16" spans="1:20" x14ac:dyDescent="0.25">
      <c r="A16" s="84" t="s">
        <v>13</v>
      </c>
      <c r="B16" s="87">
        <f>407.7/1.1</f>
        <v>370.63636363636357</v>
      </c>
      <c r="C16" s="88"/>
      <c r="D16" s="89"/>
      <c r="E16" s="87">
        <f>1804.7/1.03</f>
        <v>1752.1359223300972</v>
      </c>
      <c r="F16" s="88"/>
      <c r="G16" s="89"/>
      <c r="H16" s="87">
        <f>1796.1/(31/60)</f>
        <v>3476.3225806451605</v>
      </c>
      <c r="I16" s="88"/>
      <c r="J16" s="89"/>
      <c r="K16" s="90"/>
      <c r="L16" s="91"/>
      <c r="M16" s="92"/>
    </row>
    <row r="17" spans="1:13" x14ac:dyDescent="0.25">
      <c r="A17" s="85"/>
      <c r="B17" s="87">
        <f>401.3/1.09</f>
        <v>368.16513761467888</v>
      </c>
      <c r="C17" s="88"/>
      <c r="D17" s="89"/>
      <c r="E17" s="87">
        <f>1744/1.01</f>
        <v>1726.7326732673266</v>
      </c>
      <c r="F17" s="88"/>
      <c r="G17" s="89"/>
      <c r="H17" s="87">
        <f>1690.7/(29/60)</f>
        <v>3498</v>
      </c>
      <c r="I17" s="88"/>
      <c r="J17" s="89"/>
      <c r="K17" s="87"/>
      <c r="L17" s="88"/>
      <c r="M17" s="89"/>
    </row>
    <row r="18" spans="1:13" x14ac:dyDescent="0.25">
      <c r="A18" s="85"/>
      <c r="B18" s="87">
        <f>413.2/1.12</f>
        <v>368.92857142857139</v>
      </c>
      <c r="C18" s="88"/>
      <c r="D18" s="89"/>
      <c r="E18" s="87">
        <f>1786/1.02</f>
        <v>1750.9803921568628</v>
      </c>
      <c r="F18" s="88"/>
      <c r="G18" s="89"/>
      <c r="H18" s="87">
        <f>1838/(31/60)</f>
        <v>3557.4193548387093</v>
      </c>
      <c r="I18" s="88"/>
      <c r="J18" s="89"/>
      <c r="K18" s="90"/>
      <c r="L18" s="91"/>
      <c r="M18" s="92"/>
    </row>
    <row r="19" spans="1:13" x14ac:dyDescent="0.25">
      <c r="A19" s="85"/>
      <c r="B19" s="87">
        <f>406.3/1.11</f>
        <v>366.03603603603602</v>
      </c>
      <c r="C19" s="88"/>
      <c r="D19" s="89"/>
      <c r="E19" s="87">
        <f>1801.7/1.02</f>
        <v>1766.372549019608</v>
      </c>
      <c r="F19" s="88"/>
      <c r="G19" s="89"/>
      <c r="H19" s="87">
        <f>1751/(30/60)</f>
        <v>3502</v>
      </c>
      <c r="I19" s="88"/>
      <c r="J19" s="89"/>
      <c r="K19" s="87"/>
      <c r="L19" s="88"/>
      <c r="M19" s="89"/>
    </row>
    <row r="20" spans="1:13" x14ac:dyDescent="0.25">
      <c r="A20" s="85"/>
      <c r="B20" s="87">
        <f>419.5/1.14</f>
        <v>367.98245614035091</v>
      </c>
      <c r="C20" s="88"/>
      <c r="D20" s="89"/>
      <c r="E20" s="87">
        <f>1738.2/1</f>
        <v>1738.2</v>
      </c>
      <c r="F20" s="88"/>
      <c r="G20" s="89"/>
      <c r="H20" s="87">
        <f>1933.9/(33/60)</f>
        <v>3516.181818181818</v>
      </c>
      <c r="I20" s="88"/>
      <c r="J20" s="89"/>
      <c r="K20" s="90"/>
      <c r="L20" s="91"/>
      <c r="M20" s="92"/>
    </row>
    <row r="21" spans="1:13" x14ac:dyDescent="0.25">
      <c r="A21" s="86"/>
      <c r="B21" s="87">
        <f>405.1/1.13</f>
        <v>358.49557522123899</v>
      </c>
      <c r="C21" s="88"/>
      <c r="D21" s="89"/>
      <c r="E21" s="87">
        <f>1734.7/1</f>
        <v>1734.7</v>
      </c>
      <c r="F21" s="88"/>
      <c r="G21" s="89"/>
      <c r="H21" s="87">
        <f>1697.8/(29/60)</f>
        <v>3512.6896551724135</v>
      </c>
      <c r="I21" s="88"/>
      <c r="J21" s="89"/>
      <c r="K21" s="90"/>
      <c r="L21" s="91"/>
      <c r="M21" s="92"/>
    </row>
    <row r="22" spans="1:13" x14ac:dyDescent="0.25">
      <c r="A22" s="6" t="s">
        <v>12</v>
      </c>
      <c r="B22" s="101" t="s">
        <v>75</v>
      </c>
      <c r="C22" s="102"/>
      <c r="D22" s="103"/>
      <c r="E22" s="101" t="s">
        <v>76</v>
      </c>
      <c r="F22" s="102"/>
      <c r="G22" s="103"/>
      <c r="H22" s="101" t="s">
        <v>77</v>
      </c>
      <c r="I22" s="102"/>
      <c r="J22" s="103"/>
      <c r="K22" s="101" t="s">
        <v>67</v>
      </c>
      <c r="L22" s="102"/>
      <c r="M22" s="103"/>
    </row>
    <row r="23" spans="1:13" ht="30" x14ac:dyDescent="0.25">
      <c r="A23" s="4" t="s">
        <v>14</v>
      </c>
      <c r="B23" s="98">
        <f>(19999.15*1000)/($O$1*$O$2)</f>
        <v>333.31916666666666</v>
      </c>
      <c r="C23" s="99"/>
      <c r="D23" s="100"/>
      <c r="E23" s="98">
        <f>(99995.75*1000)/($O$1*$O$2)</f>
        <v>1666.5958333333333</v>
      </c>
      <c r="F23" s="99"/>
      <c r="G23" s="100"/>
      <c r="H23" s="98">
        <f>1*(199991.48*1000)/($O$1*$O$2)</f>
        <v>3333.1913333333332</v>
      </c>
      <c r="I23" s="99"/>
      <c r="J23" s="100"/>
      <c r="K23" s="104"/>
      <c r="L23" s="105"/>
      <c r="M23" s="106"/>
    </row>
    <row r="24" spans="1:13" x14ac:dyDescent="0.25">
      <c r="A24" s="22"/>
      <c r="B24" s="70"/>
      <c r="C24" s="70"/>
      <c r="D24" s="70"/>
      <c r="E24" s="70"/>
      <c r="F24" s="70"/>
      <c r="G24" s="70"/>
      <c r="H24" s="70"/>
      <c r="I24" s="70"/>
      <c r="J24" s="70"/>
      <c r="K24" s="38"/>
      <c r="L24" s="38"/>
      <c r="M24" s="38"/>
    </row>
    <row r="25" spans="1:13" ht="45" x14ac:dyDescent="0.25">
      <c r="A25" s="69" t="s">
        <v>70</v>
      </c>
      <c r="B25" s="69" t="s">
        <v>79</v>
      </c>
      <c r="D25" t="s">
        <v>59</v>
      </c>
      <c r="E25" t="s">
        <v>80</v>
      </c>
    </row>
    <row r="26" spans="1:13" x14ac:dyDescent="0.25">
      <c r="A26">
        <v>31</v>
      </c>
      <c r="B26" s="61">
        <v>5.7666666666666666</v>
      </c>
      <c r="D26">
        <f>A26*$D$34+$G$34</f>
        <v>6.1113200000000001</v>
      </c>
      <c r="E26" s="110">
        <f>(B26-D26)/B26</f>
        <v>-5.9766473988439331E-2</v>
      </c>
      <c r="J26" s="55"/>
    </row>
    <row r="27" spans="1:13" x14ac:dyDescent="0.25">
      <c r="A27" s="55">
        <f>(A26*B27)/B26</f>
        <v>179.19075144508673</v>
      </c>
      <c r="B27" s="61">
        <v>33.333333333333336</v>
      </c>
      <c r="D27">
        <f>A27*$D$34+$G$34</f>
        <v>33.658498786127176</v>
      </c>
      <c r="E27" s="110">
        <f t="shared" ref="E27:E33" si="0">(B27-D27)/B27</f>
        <v>-9.754963583815196E-3</v>
      </c>
      <c r="J27" s="55"/>
    </row>
    <row r="28" spans="1:13" x14ac:dyDescent="0.25">
      <c r="A28" s="55">
        <f t="shared" ref="A28:A32" si="1">(A27*B28)/B27</f>
        <v>895.95375722543361</v>
      </c>
      <c r="B28" s="61">
        <v>166.66666666666666</v>
      </c>
      <c r="D28">
        <f>A28*$D$34+$G$34</f>
        <v>166.89757393063584</v>
      </c>
      <c r="E28" s="110">
        <f t="shared" si="0"/>
        <v>-1.3854435838151177E-3</v>
      </c>
    </row>
    <row r="29" spans="1:13" x14ac:dyDescent="0.25">
      <c r="A29" s="55">
        <f t="shared" si="1"/>
        <v>1343.9306358381505</v>
      </c>
      <c r="B29" s="61">
        <v>250</v>
      </c>
      <c r="D29">
        <f>A29*$D$34+$G$34</f>
        <v>250.17199589595378</v>
      </c>
      <c r="E29" s="110">
        <f t="shared" si="0"/>
        <v>-6.8798358381513933E-4</v>
      </c>
    </row>
    <row r="30" spans="1:13" x14ac:dyDescent="0.25">
      <c r="A30" s="55">
        <f t="shared" si="1"/>
        <v>1791.9075144508672</v>
      </c>
      <c r="B30" s="61">
        <v>333.33333333333331</v>
      </c>
      <c r="D30">
        <f>A30*$D$34+$G$34</f>
        <v>333.4464178612717</v>
      </c>
      <c r="E30" s="110">
        <f t="shared" si="0"/>
        <v>-3.3925358381515028E-4</v>
      </c>
    </row>
    <row r="31" spans="1:13" x14ac:dyDescent="0.25">
      <c r="A31" s="55">
        <f t="shared" si="1"/>
        <v>8959.5375722543376</v>
      </c>
      <c r="B31" s="61">
        <v>1666.6666666666667</v>
      </c>
      <c r="D31">
        <f>A31*$D$34+$G$34</f>
        <v>1665.8371693063586</v>
      </c>
      <c r="E31" s="110">
        <f t="shared" si="0"/>
        <v>4.9769841618485771E-4</v>
      </c>
    </row>
    <row r="32" spans="1:13" x14ac:dyDescent="0.25">
      <c r="A32" s="55">
        <f t="shared" si="1"/>
        <v>17919.075144508675</v>
      </c>
      <c r="B32" s="61">
        <v>3333.3333333333335</v>
      </c>
      <c r="D32">
        <f>A32*$D$34+$G$34</f>
        <v>3331.3256086127176</v>
      </c>
      <c r="E32" s="110">
        <f t="shared" si="0"/>
        <v>6.0231741618476916E-4</v>
      </c>
    </row>
    <row r="33" spans="1:7" ht="15.75" thickBot="1" x14ac:dyDescent="0.3">
      <c r="A33">
        <v>25000</v>
      </c>
      <c r="B33" s="61">
        <v>4645.7333333333336</v>
      </c>
      <c r="D33">
        <f>A33*$D$34+$G$34</f>
        <v>4647.5987299999997</v>
      </c>
      <c r="E33" s="110">
        <f t="shared" si="0"/>
        <v>-4.0152900152099321E-4</v>
      </c>
    </row>
    <row r="34" spans="1:7" ht="15.75" thickBot="1" x14ac:dyDescent="0.3">
      <c r="A34" s="58" t="s">
        <v>58</v>
      </c>
      <c r="B34" s="62" t="s">
        <v>59</v>
      </c>
      <c r="C34" s="64" t="s">
        <v>60</v>
      </c>
      <c r="D34" s="59">
        <v>0.18589</v>
      </c>
      <c r="E34" s="64" t="s">
        <v>61</v>
      </c>
      <c r="F34" s="64" t="s">
        <v>62</v>
      </c>
      <c r="G34" s="60">
        <v>0.34872999999999998</v>
      </c>
    </row>
    <row r="35" spans="1:7" ht="17.25" x14ac:dyDescent="0.25">
      <c r="B35" s="63" t="s">
        <v>64</v>
      </c>
      <c r="C35" s="65" t="s">
        <v>60</v>
      </c>
      <c r="D35">
        <v>1</v>
      </c>
    </row>
    <row r="38" spans="1:7" x14ac:dyDescent="0.25">
      <c r="E38" s="111"/>
    </row>
    <row r="39" spans="1:7" x14ac:dyDescent="0.25">
      <c r="A39">
        <v>32</v>
      </c>
      <c r="D39" s="61">
        <f t="shared" ref="D39:D44" si="2">A39*$D$34+$G$34</f>
        <v>6.2972099999999998</v>
      </c>
    </row>
    <row r="40" spans="1:7" x14ac:dyDescent="0.25">
      <c r="A40">
        <v>190</v>
      </c>
      <c r="D40" s="61">
        <f t="shared" si="2"/>
        <v>35.667830000000002</v>
      </c>
    </row>
    <row r="41" spans="1:7" x14ac:dyDescent="0.25">
      <c r="A41">
        <v>952</v>
      </c>
      <c r="D41" s="61">
        <f t="shared" si="2"/>
        <v>177.31600999999998</v>
      </c>
    </row>
    <row r="42" spans="1:7" x14ac:dyDescent="0.25">
      <c r="A42">
        <v>1904</v>
      </c>
      <c r="D42" s="61">
        <f t="shared" si="2"/>
        <v>354.28328999999997</v>
      </c>
    </row>
    <row r="43" spans="1:7" x14ac:dyDescent="0.25">
      <c r="A43">
        <v>9520</v>
      </c>
      <c r="D43" s="61">
        <f t="shared" si="2"/>
        <v>1770.02153</v>
      </c>
    </row>
    <row r="44" spans="1:7" x14ac:dyDescent="0.25">
      <c r="A44">
        <v>19040</v>
      </c>
      <c r="D44" s="61">
        <f t="shared" si="2"/>
        <v>3539.6943300000003</v>
      </c>
    </row>
  </sheetData>
  <mergeCells count="76">
    <mergeCell ref="B23:D23"/>
    <mergeCell ref="E23:G23"/>
    <mergeCell ref="H23:J23"/>
    <mergeCell ref="K23:M23"/>
    <mergeCell ref="B22:D22"/>
    <mergeCell ref="E22:G22"/>
    <mergeCell ref="H22:J22"/>
    <mergeCell ref="K22:M22"/>
    <mergeCell ref="H17:J17"/>
    <mergeCell ref="K17:M17"/>
    <mergeCell ref="B18:D18"/>
    <mergeCell ref="E18:G18"/>
    <mergeCell ref="H18:J18"/>
    <mergeCell ref="K18:M18"/>
    <mergeCell ref="B21:D21"/>
    <mergeCell ref="E21:G21"/>
    <mergeCell ref="H21:J21"/>
    <mergeCell ref="K21:M21"/>
    <mergeCell ref="B20:D20"/>
    <mergeCell ref="E20:G20"/>
    <mergeCell ref="H20:J20"/>
    <mergeCell ref="K20:M20"/>
    <mergeCell ref="K13:M13"/>
    <mergeCell ref="A16:A21"/>
    <mergeCell ref="B16:D16"/>
    <mergeCell ref="E16:G16"/>
    <mergeCell ref="H16:J16"/>
    <mergeCell ref="K16:M16"/>
    <mergeCell ref="B17:D17"/>
    <mergeCell ref="A13:A14"/>
    <mergeCell ref="B13:D13"/>
    <mergeCell ref="E13:G13"/>
    <mergeCell ref="H13:J13"/>
    <mergeCell ref="B19:D19"/>
    <mergeCell ref="E19:G19"/>
    <mergeCell ref="H19:J19"/>
    <mergeCell ref="K19:M19"/>
    <mergeCell ref="E17:G17"/>
    <mergeCell ref="B11:D11"/>
    <mergeCell ref="E11:G11"/>
    <mergeCell ref="H11:J11"/>
    <mergeCell ref="K11:M11"/>
    <mergeCell ref="B10:D10"/>
    <mergeCell ref="E10:G10"/>
    <mergeCell ref="H10:J10"/>
    <mergeCell ref="K10:M10"/>
    <mergeCell ref="H5:J5"/>
    <mergeCell ref="K5:M5"/>
    <mergeCell ref="B6:D6"/>
    <mergeCell ref="E6:G6"/>
    <mergeCell ref="H6:J6"/>
    <mergeCell ref="K6:M6"/>
    <mergeCell ref="B9:D9"/>
    <mergeCell ref="E9:G9"/>
    <mergeCell ref="H9:J9"/>
    <mergeCell ref="K9:M9"/>
    <mergeCell ref="B8:D8"/>
    <mergeCell ref="E8:G8"/>
    <mergeCell ref="H8:J8"/>
    <mergeCell ref="K8:M8"/>
    <mergeCell ref="K1:M1"/>
    <mergeCell ref="A4:A9"/>
    <mergeCell ref="B4:D4"/>
    <mergeCell ref="E4:G4"/>
    <mergeCell ref="H4:J4"/>
    <mergeCell ref="K4:M4"/>
    <mergeCell ref="B5:D5"/>
    <mergeCell ref="A1:A2"/>
    <mergeCell ref="B1:D1"/>
    <mergeCell ref="E1:G1"/>
    <mergeCell ref="H1:J1"/>
    <mergeCell ref="B7:D7"/>
    <mergeCell ref="E7:G7"/>
    <mergeCell ref="H7:J7"/>
    <mergeCell ref="K7:M7"/>
    <mergeCell ref="E5:G5"/>
  </mergeCell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Origin50.Graph" shapeId="4120" r:id="rId4">
          <objectPr defaultSize="0" autoPict="0" r:id="rId5">
            <anchor moveWithCells="1">
              <from>
                <xdr:col>7</xdr:col>
                <xdr:colOff>85725</xdr:colOff>
                <xdr:row>24</xdr:row>
                <xdr:rowOff>66675</xdr:rowOff>
              </from>
              <to>
                <xdr:col>16</xdr:col>
                <xdr:colOff>295275</xdr:colOff>
                <xdr:row>40</xdr:row>
                <xdr:rowOff>57150</xdr:rowOff>
              </to>
            </anchor>
          </objectPr>
        </oleObject>
      </mc:Choice>
      <mc:Fallback>
        <oleObject progId="Origin50.Graph" shapeId="4120" r:id="rId4"/>
      </mc:Fallback>
    </mc:AlternateContent>
    <mc:AlternateContent xmlns:mc="http://schemas.openxmlformats.org/markup-compatibility/2006">
      <mc:Choice Requires="x14">
        <oleObject progId="Origin50.Graph" shapeId="4121" r:id="rId6">
          <objectPr defaultSize="0" autoPict="0" r:id="rId7">
            <anchor moveWithCells="1">
              <from>
                <xdr:col>13</xdr:col>
                <xdr:colOff>85725</xdr:colOff>
                <xdr:row>9</xdr:row>
                <xdr:rowOff>0</xdr:rowOff>
              </from>
              <to>
                <xdr:col>20</xdr:col>
                <xdr:colOff>409575</xdr:colOff>
                <xdr:row>24</xdr:row>
                <xdr:rowOff>19050</xdr:rowOff>
              </to>
            </anchor>
          </objectPr>
        </oleObject>
      </mc:Choice>
      <mc:Fallback>
        <oleObject progId="Origin50.Graph" shapeId="4121" r:id="rId6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1" sqref="C1"/>
    </sheetView>
  </sheetViews>
  <sheetFormatPr defaultColWidth="9.140625" defaultRowHeight="15" x14ac:dyDescent="0.25"/>
  <sheetData>
    <row r="1" spans="1:3" x14ac:dyDescent="0.25">
      <c r="A1">
        <v>1</v>
      </c>
      <c r="B1">
        <v>5.2189300000000003</v>
      </c>
      <c r="C1">
        <v>0.22186</v>
      </c>
    </row>
    <row r="2" spans="1:3" x14ac:dyDescent="0.25">
      <c r="A2">
        <v>2</v>
      </c>
      <c r="B2">
        <v>33.292949999999998</v>
      </c>
      <c r="C2">
        <v>0.35124</v>
      </c>
    </row>
    <row r="3" spans="1:3" x14ac:dyDescent="0.25">
      <c r="A3">
        <v>3</v>
      </c>
      <c r="B3">
        <v>176.44907000000001</v>
      </c>
      <c r="C3">
        <v>1.82758</v>
      </c>
    </row>
    <row r="4" spans="1:3" x14ac:dyDescent="0.25">
      <c r="A4">
        <v>4</v>
      </c>
      <c r="B4">
        <v>366.70735999999999</v>
      </c>
      <c r="C4">
        <v>4.2896599999999996</v>
      </c>
    </row>
    <row r="5" spans="1:3" x14ac:dyDescent="0.25">
      <c r="A5">
        <v>5</v>
      </c>
      <c r="B5">
        <v>1744.8535899999999</v>
      </c>
      <c r="C5">
        <v>14.3483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G1" sqref="G1:G6"/>
    </sheetView>
  </sheetViews>
  <sheetFormatPr defaultColWidth="11.42578125" defaultRowHeight="15" x14ac:dyDescent="0.25"/>
  <sheetData>
    <row r="1" spans="1:7" x14ac:dyDescent="0.25">
      <c r="A1">
        <v>1</v>
      </c>
      <c r="B1">
        <v>5.1347500000000004</v>
      </c>
      <c r="C1">
        <v>33.620690000000003</v>
      </c>
      <c r="D1">
        <v>178.89908</v>
      </c>
      <c r="E1">
        <v>370.63636000000002</v>
      </c>
      <c r="F1">
        <v>1752.1359199999999</v>
      </c>
      <c r="G1">
        <v>3476.32258</v>
      </c>
    </row>
    <row r="2" spans="1:7" x14ac:dyDescent="0.25">
      <c r="A2">
        <v>1</v>
      </c>
      <c r="B2">
        <v>5.3305199999999999</v>
      </c>
      <c r="C2">
        <v>32.99145</v>
      </c>
      <c r="D2">
        <v>174.77476999999999</v>
      </c>
      <c r="E2">
        <v>368.16514000000001</v>
      </c>
      <c r="F2">
        <v>1726.7326700000001</v>
      </c>
      <c r="G2">
        <v>3498</v>
      </c>
    </row>
    <row r="3" spans="1:7" x14ac:dyDescent="0.25">
      <c r="A3">
        <v>1</v>
      </c>
      <c r="B3">
        <v>5.2631600000000001</v>
      </c>
      <c r="C3">
        <v>32.93103</v>
      </c>
      <c r="D3">
        <v>176.63636</v>
      </c>
      <c r="E3">
        <v>368.92856999999998</v>
      </c>
      <c r="F3">
        <v>1750.9803899999999</v>
      </c>
      <c r="G3">
        <v>3557.4193500000001</v>
      </c>
    </row>
    <row r="4" spans="1:7" x14ac:dyDescent="0.25">
      <c r="A4">
        <v>1</v>
      </c>
      <c r="B4">
        <v>5.5555599999999998</v>
      </c>
      <c r="C4">
        <v>33.043480000000002</v>
      </c>
      <c r="D4">
        <v>178.14814999999999</v>
      </c>
      <c r="E4">
        <v>366.03604000000001</v>
      </c>
      <c r="F4">
        <v>1766.37255</v>
      </c>
      <c r="G4">
        <v>3502</v>
      </c>
    </row>
    <row r="5" spans="1:7" x14ac:dyDescent="0.25">
      <c r="A5">
        <v>1</v>
      </c>
      <c r="B5">
        <v>5.1330200000000001</v>
      </c>
      <c r="C5">
        <v>33.421050000000001</v>
      </c>
      <c r="D5">
        <v>175.9633</v>
      </c>
      <c r="E5">
        <v>367.98246</v>
      </c>
      <c r="F5">
        <v>1738.2</v>
      </c>
      <c r="G5">
        <v>3516.1818199999998</v>
      </c>
    </row>
    <row r="6" spans="1:7" x14ac:dyDescent="0.25">
      <c r="A6">
        <v>1</v>
      </c>
      <c r="B6">
        <v>4.8965500000000004</v>
      </c>
      <c r="C6">
        <v>33.75</v>
      </c>
      <c r="D6">
        <v>174.27273</v>
      </c>
      <c r="E6">
        <v>358.49558000000002</v>
      </c>
      <c r="F6">
        <v>1734.7</v>
      </c>
      <c r="G6">
        <v>3512.68966</v>
      </c>
    </row>
    <row r="7" spans="1:7" x14ac:dyDescent="0.25">
      <c r="A7">
        <v>2</v>
      </c>
      <c r="B7">
        <v>33.620690000000003</v>
      </c>
    </row>
    <row r="8" spans="1:7" x14ac:dyDescent="0.25">
      <c r="A8">
        <v>2</v>
      </c>
      <c r="B8">
        <v>32.99145</v>
      </c>
    </row>
    <row r="9" spans="1:7" x14ac:dyDescent="0.25">
      <c r="A9">
        <v>2</v>
      </c>
      <c r="B9">
        <v>32.93103</v>
      </c>
    </row>
    <row r="10" spans="1:7" x14ac:dyDescent="0.25">
      <c r="A10">
        <v>2</v>
      </c>
      <c r="B10">
        <v>33.043480000000002</v>
      </c>
    </row>
    <row r="11" spans="1:7" x14ac:dyDescent="0.25">
      <c r="A11">
        <v>2</v>
      </c>
      <c r="B11">
        <v>33.421050000000001</v>
      </c>
    </row>
    <row r="12" spans="1:7" x14ac:dyDescent="0.25">
      <c r="A12">
        <v>2</v>
      </c>
      <c r="B12">
        <v>33.75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Flow Rate</vt:lpstr>
      <vt:lpstr>3mL Bomba 1</vt:lpstr>
      <vt:lpstr>3mL Bomba 2</vt:lpstr>
      <vt:lpstr>Sheet3</vt:lpstr>
      <vt:lpstr>Hoja1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NANOMEDICINA</dc:creator>
  <cp:lastModifiedBy>NANOMEDICINA</cp:lastModifiedBy>
  <dcterms:created xsi:type="dcterms:W3CDTF">2019-10-18T17:12:05Z</dcterms:created>
  <dcterms:modified xsi:type="dcterms:W3CDTF">2019-11-25T18:38:48Z</dcterms:modified>
</cp:coreProperties>
</file>