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P11" i="4" l="1"/>
  <c r="N5" i="4"/>
  <c r="U10" i="4" s="1"/>
  <c r="U2" i="4"/>
  <c r="U3" i="4" s="1"/>
  <c r="S10" i="4" s="1"/>
  <c r="B11" i="4" l="1"/>
  <c r="E11" i="4"/>
  <c r="J42" i="4" l="1"/>
  <c r="J41" i="4"/>
  <c r="J40" i="4"/>
  <c r="J39" i="4"/>
  <c r="J37" i="4"/>
  <c r="J38" i="4"/>
  <c r="H36" i="4"/>
  <c r="I36" i="4"/>
  <c r="J43" i="4" l="1"/>
  <c r="J44" i="4" s="1"/>
  <c r="J26" i="4"/>
  <c r="J27" i="4"/>
  <c r="J28" i="4"/>
  <c r="J29" i="4"/>
  <c r="J30" i="4"/>
  <c r="J31" i="4"/>
  <c r="D33" i="4"/>
  <c r="E33" i="4" s="1"/>
  <c r="D26" i="4"/>
  <c r="E26" i="4" s="1"/>
  <c r="A27" i="4" l="1"/>
  <c r="A28" i="4" l="1"/>
  <c r="D27" i="4"/>
  <c r="E27" i="4" s="1"/>
  <c r="R15" i="7"/>
  <c r="S15" i="7" s="1"/>
  <c r="O15" i="7"/>
  <c r="P15" i="7" s="1"/>
  <c r="L15" i="7"/>
  <c r="M15" i="7" s="1"/>
  <c r="I15" i="7"/>
  <c r="J15" i="7" s="1"/>
  <c r="F15" i="7"/>
  <c r="G15" i="7" s="1"/>
  <c r="C15" i="7"/>
  <c r="D15" i="7" s="1"/>
  <c r="R3" i="7"/>
  <c r="S3" i="7" s="1"/>
  <c r="P3" i="7"/>
  <c r="O3" i="7"/>
  <c r="L3" i="7"/>
  <c r="M3" i="7" s="1"/>
  <c r="I3" i="7"/>
  <c r="J3" i="7" s="1"/>
  <c r="F3" i="7"/>
  <c r="G3" i="7" s="1"/>
  <c r="C3" i="7"/>
  <c r="D3" i="7" s="1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H9" i="4"/>
  <c r="H8" i="4"/>
  <c r="H7" i="4"/>
  <c r="H6" i="4"/>
  <c r="H5" i="4"/>
  <c r="H4" i="4"/>
  <c r="H11" i="4"/>
  <c r="E6" i="4"/>
  <c r="E5" i="4"/>
  <c r="E4" i="4"/>
  <c r="E9" i="4"/>
  <c r="E8" i="4"/>
  <c r="E7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NANOMEDICINA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45251,7 dio calculo manual y se cargo en el software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N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Q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6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sharedStrings.xml><?xml version="1.0" encoding="utf-8"?>
<sst xmlns="http://schemas.openxmlformats.org/spreadsheetml/2006/main" count="232" uniqueCount="108">
  <si>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</si>
  <si>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</si>
  <si>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</si>
  <si>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</si>
  <si>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</si>
  <si>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</si>
  <si>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</si>
  <si>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</si>
  <si>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</si>
  <si>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</si>
  <si>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</si>
  <si>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</si>
  <si>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</si>
  <si>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</si>
  <si>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</si>
  <si>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</si>
  <si>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</si>
  <si>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</si>
  <si>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</si>
  <si>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</si>
  <si>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</si>
  <si>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</si>
  <si>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</si>
  <si>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</si>
  <si>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</si>
  <si>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</si>
  <si>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</si>
  <si>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</si>
  <si>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</si>
  <si>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</si>
  <si>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</si>
  <si>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</si>
  <si>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</si>
  <si>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</si>
  <si>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</si>
  <si>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</si>
  <si>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</si>
  <si>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</si>
  <si>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</si>
  <si>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</si>
  <si>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</si>
  <si>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</si>
  <si>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</si>
  <si>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</si>
  <si>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</si>
  <si>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</si>
  <si>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</si>
  <si>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</si>
  <si>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</si>
  <si>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</si>
  <si>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</si>
  <si>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</si>
  <si>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</si>
  <si>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</si>
  <si>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</si>
  <si>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</si>
  <si>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</si>
  <si>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</si>
  <si>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</si>
  <si>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</si>
  <si>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</si>
  <si>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</si>
  <si>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</si>
  <si>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</si>
  <si>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</si>
  <si>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</si>
  <si>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/25000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</si>
  <si>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</si>
  <si>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</si>
  <si>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</si>
  <si>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</si>
  <si>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</si>
  <si>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</si>
  <si>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</si>
  <si>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</si>
  <si>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</si>
  <si>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</si>
  <si>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</si>
  <si>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</si>
  <si>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</si>
  <si>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</si>
  <si>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</si>
  <si>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</si>
  <si>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error</t>
  </si>
  <si>
    <t>Frecuencia experimental (Hz)</t>
  </si>
  <si>
    <t>Caudal experimental (mg/min)</t>
  </si>
  <si>
    <t>f(Hz)</t>
  </si>
  <si>
    <t>V(uL)</t>
  </si>
  <si>
    <t>C =</t>
  </si>
  <si>
    <t>Q(uL/s)</t>
  </si>
  <si>
    <t>L(mm)</t>
  </si>
  <si>
    <t>Calibración</t>
  </si>
  <si>
    <t>Caudal mínimo</t>
  </si>
  <si>
    <t>Caudal</t>
  </si>
  <si>
    <t>Caudal máximo</t>
  </si>
  <si>
    <t>C=</t>
  </si>
  <si>
    <t>Q/f</t>
  </si>
  <si>
    <r>
      <t>L</t>
    </r>
    <r>
      <rPr>
        <sz val="8"/>
        <color theme="1"/>
        <rFont val="Calibri"/>
        <family val="2"/>
        <scheme val="minor"/>
      </rPr>
      <t>e</t>
    </r>
  </si>
  <si>
    <r>
      <t>V</t>
    </r>
    <r>
      <rPr>
        <sz val="8"/>
        <color theme="1"/>
        <rFont val="Calibri"/>
        <family val="2"/>
        <scheme val="minor"/>
      </rPr>
      <t xml:space="preserve">n </t>
    </r>
  </si>
  <si>
    <t>A</t>
  </si>
  <si>
    <t>B</t>
  </si>
  <si>
    <r>
      <t>L</t>
    </r>
    <r>
      <rPr>
        <sz val="8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=</t>
    </r>
  </si>
  <si>
    <r>
      <t>V</t>
    </r>
    <r>
      <rPr>
        <sz val="8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(uL)</t>
    </r>
  </si>
  <si>
    <t>A (uL)</t>
  </si>
  <si>
    <t>C (1/mm)</t>
  </si>
  <si>
    <t>uL</t>
  </si>
  <si>
    <t>1/mm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</si>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</sst>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"/>
    <numFmt numFmtId="167" formatCode="0.0%"/>
    <numFmt numFmtId="168" formatCode="0.00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center"/>
    </xf>
    <xf numFmtId="168" fontId="0" fillId="0" borderId="0" xfId="0" applyNumberFormat="1"/>
    <xf numFmtId="1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9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45824"/>
        <c:axId val="151047552"/>
      </c:scatterChart>
      <c:valAx>
        <c:axId val="1510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47552"/>
        <c:crosses val="autoZero"/>
        <c:crossBetween val="midCat"/>
      </c:valAx>
      <c:valAx>
        <c:axId val="1510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35</xdr:row>
          <xdr:rowOff>38100</xdr:rowOff>
        </xdr:from>
        <xdr:to>
          <xdr:col>6</xdr:col>
          <xdr:colOff>466725</xdr:colOff>
          <xdr:row>53</xdr:row>
          <xdr:rowOff>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19050</xdr:rowOff>
        </xdr:from>
        <xdr:to>
          <xdr:col>20</xdr:col>
          <xdr:colOff>352425</xdr:colOff>
          <xdr:row>53</xdr:row>
          <xdr:rowOff>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6" sqref="B16"/>
    </sheetView>
  </sheetViews>
  <sheetFormatPr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82" t="s">
        <v>42</v>
      </c>
      <c r="B8" s="83"/>
      <c r="C8" s="53">
        <v>16</v>
      </c>
      <c r="D8" s="90" t="s">
        <v>43</v>
      </c>
      <c r="E8" s="83"/>
      <c r="F8">
        <v>1</v>
      </c>
      <c r="G8" t="s">
        <v>44</v>
      </c>
      <c r="H8" s="91" t="s">
        <v>45</v>
      </c>
      <c r="I8" s="91"/>
      <c r="J8">
        <v>25</v>
      </c>
      <c r="K8" s="91" t="s">
        <v>46</v>
      </c>
      <c r="L8" s="91"/>
    </row>
    <row r="9" spans="1:14" x14ac:dyDescent="0.25">
      <c r="A9" s="82" t="s">
        <v>35</v>
      </c>
      <c r="B9" s="83"/>
      <c r="C9" s="54">
        <v>200</v>
      </c>
      <c r="D9" s="84" t="s">
        <v>47</v>
      </c>
      <c r="E9" s="85"/>
      <c r="F9">
        <f>F8*B8</f>
        <v>0</v>
      </c>
      <c r="G9" t="s">
        <v>48</v>
      </c>
      <c r="H9" s="91" t="s">
        <v>49</v>
      </c>
      <c r="I9" s="91"/>
      <c r="J9" s="55">
        <f>C10*J8</f>
        <v>1272.3724999999999</v>
      </c>
      <c r="K9" s="91" t="s">
        <v>50</v>
      </c>
      <c r="L9" s="91"/>
    </row>
    <row r="10" spans="1:14" x14ac:dyDescent="0.25">
      <c r="A10" s="82" t="s">
        <v>51</v>
      </c>
      <c r="B10" s="83"/>
      <c r="C10" s="54">
        <v>50.8949</v>
      </c>
      <c r="D10" s="84" t="s">
        <v>52</v>
      </c>
      <c r="E10" s="85"/>
      <c r="J10" s="55">
        <f>J9*C9*C8/60</f>
        <v>67859.866666666669</v>
      </c>
      <c r="K10" s="56" t="s">
        <v>48</v>
      </c>
      <c r="L10" s="56"/>
    </row>
    <row r="11" spans="1:14" x14ac:dyDescent="0.25">
      <c r="A11" s="82" t="s">
        <v>53</v>
      </c>
      <c r="B11" s="83"/>
      <c r="C11" s="54">
        <v>8</v>
      </c>
      <c r="D11" s="86" t="s">
        <v>54</v>
      </c>
      <c r="E11" s="87"/>
    </row>
    <row r="12" spans="1:14" x14ac:dyDescent="0.25">
      <c r="A12" s="88" t="s">
        <v>55</v>
      </c>
      <c r="B12" s="89"/>
      <c r="C12" s="57">
        <f>C8*C9*C10/C11</f>
        <v>20357.96</v>
      </c>
      <c r="D12" s="84" t="s">
        <v>56</v>
      </c>
      <c r="E12" s="85"/>
    </row>
    <row r="15" spans="1:14" x14ac:dyDescent="0.25">
      <c r="A15" t="s">
        <v>69</v>
      </c>
      <c r="B15" t="s">
        <v>70</v>
      </c>
      <c r="C15" t="s">
        <v>71</v>
      </c>
    </row>
    <row r="16" spans="1:14" x14ac:dyDescent="0.25">
      <c r="A16" t="s">
        <v>72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8:B8"/>
    <mergeCell ref="D8:E8"/>
    <mergeCell ref="H8:I8"/>
    <mergeCell ref="K8:L8"/>
    <mergeCell ref="A9:B9"/>
    <mergeCell ref="D9:E9"/>
    <mergeCell ref="H9:I9"/>
    <mergeCell ref="K9:L9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workbookViewId="0">
      <selection activeCell="B10" sqref="B10:D10"/>
    </sheetView>
  </sheetViews>
  <sheetFormatPr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2" x14ac:dyDescent="0.25">
      <c r="A1" s="104" t="s">
        <v>7</v>
      </c>
      <c r="B1" s="92" t="s">
        <v>5</v>
      </c>
      <c r="C1" s="93"/>
      <c r="D1" s="94"/>
      <c r="E1" s="92" t="s">
        <v>3</v>
      </c>
      <c r="F1" s="93"/>
      <c r="G1" s="94"/>
      <c r="H1" s="92" t="s">
        <v>3</v>
      </c>
      <c r="I1" s="93"/>
      <c r="J1" s="94"/>
      <c r="K1" s="92" t="s">
        <v>3</v>
      </c>
      <c r="L1" s="93"/>
      <c r="M1" s="94"/>
      <c r="N1" s="92" t="s">
        <v>3</v>
      </c>
      <c r="O1" s="93"/>
      <c r="P1" s="94"/>
      <c r="Q1" s="92" t="s">
        <v>3</v>
      </c>
      <c r="R1" s="93"/>
      <c r="S1" s="94"/>
      <c r="T1" t="s">
        <v>8</v>
      </c>
      <c r="U1">
        <v>60</v>
      </c>
      <c r="V1" t="s">
        <v>9</v>
      </c>
    </row>
    <row r="2" spans="1:22" x14ac:dyDescent="0.25">
      <c r="A2" s="105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2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2" x14ac:dyDescent="0.25">
      <c r="A4" s="95" t="s">
        <v>13</v>
      </c>
      <c r="B4" s="98"/>
      <c r="C4" s="99"/>
      <c r="D4" s="100"/>
      <c r="E4" s="101"/>
      <c r="F4" s="102"/>
      <c r="G4" s="103"/>
      <c r="H4" s="98"/>
      <c r="I4" s="99"/>
      <c r="J4" s="100"/>
      <c r="K4" s="98"/>
      <c r="L4" s="99"/>
      <c r="M4" s="100"/>
      <c r="N4" s="98"/>
      <c r="O4" s="99"/>
      <c r="P4" s="100"/>
      <c r="Q4" s="101"/>
      <c r="R4" s="102"/>
      <c r="S4" s="103"/>
    </row>
    <row r="5" spans="1:22" x14ac:dyDescent="0.25">
      <c r="A5" s="96"/>
      <c r="B5" s="98"/>
      <c r="C5" s="99"/>
      <c r="D5" s="100"/>
      <c r="E5" s="101"/>
      <c r="F5" s="102"/>
      <c r="G5" s="103"/>
      <c r="H5" s="98"/>
      <c r="I5" s="99"/>
      <c r="J5" s="100"/>
      <c r="K5" s="101"/>
      <c r="L5" s="102"/>
      <c r="M5" s="103"/>
      <c r="N5" s="98"/>
      <c r="O5" s="99"/>
      <c r="P5" s="100"/>
      <c r="Q5" s="98"/>
      <c r="R5" s="99"/>
      <c r="S5" s="100"/>
    </row>
    <row r="6" spans="1:22" x14ac:dyDescent="0.25">
      <c r="A6" s="96"/>
      <c r="B6" s="98"/>
      <c r="C6" s="99"/>
      <c r="D6" s="100"/>
      <c r="E6" s="101"/>
      <c r="F6" s="102"/>
      <c r="G6" s="103"/>
      <c r="H6" s="98"/>
      <c r="I6" s="99"/>
      <c r="J6" s="100"/>
      <c r="K6" s="101"/>
      <c r="L6" s="102"/>
      <c r="M6" s="103"/>
      <c r="N6" s="98"/>
      <c r="O6" s="99"/>
      <c r="P6" s="100"/>
      <c r="Q6" s="101"/>
      <c r="R6" s="102"/>
      <c r="S6" s="103"/>
    </row>
    <row r="7" spans="1:22" x14ac:dyDescent="0.25">
      <c r="A7" s="96"/>
      <c r="B7" s="98"/>
      <c r="C7" s="99"/>
      <c r="D7" s="100"/>
      <c r="E7" s="101"/>
      <c r="F7" s="102"/>
      <c r="G7" s="103"/>
      <c r="H7" s="98"/>
      <c r="I7" s="99"/>
      <c r="J7" s="100"/>
      <c r="K7" s="101"/>
      <c r="L7" s="102"/>
      <c r="M7" s="103"/>
      <c r="N7" s="98"/>
      <c r="O7" s="99"/>
      <c r="P7" s="100"/>
      <c r="Q7" s="98"/>
      <c r="R7" s="99"/>
      <c r="S7" s="100"/>
    </row>
    <row r="8" spans="1:22" x14ac:dyDescent="0.25">
      <c r="A8" s="96"/>
      <c r="B8" s="98"/>
      <c r="C8" s="99"/>
      <c r="D8" s="100"/>
      <c r="E8" s="101"/>
      <c r="F8" s="102"/>
      <c r="G8" s="103"/>
      <c r="H8" s="98"/>
      <c r="I8" s="99"/>
      <c r="J8" s="100"/>
      <c r="K8" s="101"/>
      <c r="L8" s="102"/>
      <c r="M8" s="103"/>
      <c r="N8" s="98"/>
      <c r="O8" s="99"/>
      <c r="P8" s="100"/>
      <c r="Q8" s="101"/>
      <c r="R8" s="102"/>
      <c r="S8" s="103"/>
    </row>
    <row r="9" spans="1:22" x14ac:dyDescent="0.25">
      <c r="A9" s="97"/>
      <c r="B9" s="98"/>
      <c r="C9" s="99"/>
      <c r="D9" s="100"/>
      <c r="E9" s="106"/>
      <c r="F9" s="107"/>
      <c r="G9" s="108"/>
      <c r="H9" s="98"/>
      <c r="I9" s="99"/>
      <c r="J9" s="100"/>
      <c r="K9" s="106"/>
      <c r="L9" s="107"/>
      <c r="M9" s="108"/>
      <c r="N9" s="98"/>
      <c r="O9" s="99"/>
      <c r="P9" s="100"/>
      <c r="Q9" s="101"/>
      <c r="R9" s="102"/>
      <c r="S9" s="103"/>
    </row>
    <row r="10" spans="1:22" x14ac:dyDescent="0.25">
      <c r="A10" s="6" t="s">
        <v>12</v>
      </c>
      <c r="B10" s="112"/>
      <c r="C10" s="113"/>
      <c r="D10" s="114"/>
      <c r="E10" s="112"/>
      <c r="F10" s="113"/>
      <c r="G10" s="114"/>
      <c r="H10" s="112"/>
      <c r="I10" s="113"/>
      <c r="J10" s="114"/>
      <c r="K10" s="112"/>
      <c r="L10" s="113"/>
      <c r="M10" s="114"/>
      <c r="N10" s="112"/>
      <c r="O10" s="113"/>
      <c r="P10" s="114"/>
      <c r="Q10" s="112"/>
      <c r="R10" s="113"/>
      <c r="S10" s="114"/>
    </row>
    <row r="11" spans="1:22" ht="30" x14ac:dyDescent="0.25">
      <c r="A11" s="4" t="s">
        <v>16</v>
      </c>
      <c r="B11" s="109"/>
      <c r="C11" s="110"/>
      <c r="D11" s="111"/>
      <c r="E11" s="109"/>
      <c r="F11" s="110"/>
      <c r="G11" s="111"/>
      <c r="H11" s="109"/>
      <c r="I11" s="110"/>
      <c r="J11" s="111"/>
      <c r="K11" s="109"/>
      <c r="L11" s="110"/>
      <c r="M11" s="111"/>
      <c r="N11" s="109"/>
      <c r="O11" s="110"/>
      <c r="P11" s="111"/>
      <c r="Q11" s="109"/>
      <c r="R11" s="110"/>
      <c r="S11" s="111"/>
    </row>
    <row r="13" spans="1:22" x14ac:dyDescent="0.25">
      <c r="A13" s="104" t="s">
        <v>7</v>
      </c>
      <c r="B13" s="92" t="s">
        <v>15</v>
      </c>
      <c r="C13" s="93"/>
      <c r="D13" s="94"/>
      <c r="E13" s="92" t="s">
        <v>3</v>
      </c>
      <c r="F13" s="93"/>
      <c r="G13" s="94"/>
      <c r="H13" s="92" t="s">
        <v>3</v>
      </c>
      <c r="I13" s="93"/>
      <c r="J13" s="94"/>
      <c r="K13" s="92" t="s">
        <v>3</v>
      </c>
      <c r="L13" s="93"/>
      <c r="M13" s="94"/>
      <c r="N13" s="92" t="s">
        <v>3</v>
      </c>
      <c r="O13" s="93"/>
      <c r="P13" s="94"/>
      <c r="Q13" s="92" t="s">
        <v>6</v>
      </c>
      <c r="R13" s="93"/>
      <c r="S13" s="94"/>
    </row>
    <row r="14" spans="1:22" x14ac:dyDescent="0.25">
      <c r="A14" s="105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2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2" x14ac:dyDescent="0.25">
      <c r="A16" s="95" t="s">
        <v>13</v>
      </c>
      <c r="B16" s="98"/>
      <c r="C16" s="99"/>
      <c r="D16" s="100"/>
      <c r="E16" s="101"/>
      <c r="F16" s="102"/>
      <c r="G16" s="103"/>
      <c r="H16" s="98"/>
      <c r="I16" s="99"/>
      <c r="J16" s="100"/>
      <c r="K16" s="101"/>
      <c r="L16" s="102"/>
      <c r="M16" s="103"/>
      <c r="N16" s="98"/>
      <c r="O16" s="99"/>
      <c r="P16" s="100"/>
      <c r="Q16" s="101"/>
      <c r="R16" s="102"/>
      <c r="S16" s="103"/>
    </row>
    <row r="17" spans="1:19" x14ac:dyDescent="0.25">
      <c r="A17" s="96"/>
      <c r="B17" s="98"/>
      <c r="C17" s="99"/>
      <c r="D17" s="100"/>
      <c r="E17" s="101"/>
      <c r="F17" s="102"/>
      <c r="G17" s="103"/>
      <c r="H17" s="98"/>
      <c r="I17" s="99"/>
      <c r="J17" s="100"/>
      <c r="K17" s="101"/>
      <c r="L17" s="102"/>
      <c r="M17" s="103"/>
      <c r="N17" s="98"/>
      <c r="O17" s="99"/>
      <c r="P17" s="100"/>
      <c r="Q17" s="98"/>
      <c r="R17" s="99"/>
      <c r="S17" s="100"/>
    </row>
    <row r="18" spans="1:19" x14ac:dyDescent="0.25">
      <c r="A18" s="96"/>
      <c r="B18" s="98"/>
      <c r="C18" s="99"/>
      <c r="D18" s="100"/>
      <c r="E18" s="101"/>
      <c r="F18" s="102"/>
      <c r="G18" s="103"/>
      <c r="H18" s="98"/>
      <c r="I18" s="99"/>
      <c r="J18" s="100"/>
      <c r="K18" s="101"/>
      <c r="L18" s="102"/>
      <c r="M18" s="103"/>
      <c r="N18" s="98"/>
      <c r="O18" s="99"/>
      <c r="P18" s="100"/>
      <c r="Q18" s="101"/>
      <c r="R18" s="102"/>
      <c r="S18" s="103"/>
    </row>
    <row r="19" spans="1:19" x14ac:dyDescent="0.25">
      <c r="A19" s="96"/>
      <c r="B19" s="98"/>
      <c r="C19" s="99"/>
      <c r="D19" s="100"/>
      <c r="E19" s="101"/>
      <c r="F19" s="102"/>
      <c r="G19" s="103"/>
      <c r="H19" s="98"/>
      <c r="I19" s="99"/>
      <c r="J19" s="100"/>
      <c r="K19" s="101"/>
      <c r="L19" s="102"/>
      <c r="M19" s="103"/>
      <c r="N19" s="98"/>
      <c r="O19" s="99"/>
      <c r="P19" s="100"/>
      <c r="Q19" s="98"/>
      <c r="R19" s="99"/>
      <c r="S19" s="100"/>
    </row>
    <row r="20" spans="1:19" x14ac:dyDescent="0.25">
      <c r="A20" s="96"/>
      <c r="B20" s="98"/>
      <c r="C20" s="99"/>
      <c r="D20" s="100"/>
      <c r="E20" s="101"/>
      <c r="F20" s="102"/>
      <c r="G20" s="103"/>
      <c r="H20" s="98"/>
      <c r="I20" s="99"/>
      <c r="J20" s="100"/>
      <c r="K20" s="101"/>
      <c r="L20" s="102"/>
      <c r="M20" s="103"/>
      <c r="N20" s="98"/>
      <c r="O20" s="99"/>
      <c r="P20" s="100"/>
      <c r="Q20" s="101"/>
      <c r="R20" s="102"/>
      <c r="S20" s="103"/>
    </row>
    <row r="21" spans="1:19" x14ac:dyDescent="0.25">
      <c r="A21" s="97"/>
      <c r="B21" s="98"/>
      <c r="C21" s="99"/>
      <c r="D21" s="100"/>
      <c r="E21" s="106"/>
      <c r="F21" s="107"/>
      <c r="G21" s="108"/>
      <c r="H21" s="98"/>
      <c r="I21" s="99"/>
      <c r="J21" s="100"/>
      <c r="K21" s="106"/>
      <c r="L21" s="107"/>
      <c r="M21" s="108"/>
      <c r="N21" s="98"/>
      <c r="O21" s="99"/>
      <c r="P21" s="100"/>
      <c r="Q21" s="101"/>
      <c r="R21" s="102"/>
      <c r="S21" s="103"/>
    </row>
    <row r="22" spans="1:19" x14ac:dyDescent="0.25">
      <c r="A22" s="6" t="s">
        <v>12</v>
      </c>
      <c r="B22" s="112"/>
      <c r="C22" s="113"/>
      <c r="D22" s="114"/>
      <c r="E22" s="112"/>
      <c r="F22" s="113"/>
      <c r="G22" s="114"/>
      <c r="H22" s="112"/>
      <c r="I22" s="113"/>
      <c r="J22" s="114"/>
      <c r="K22" s="112"/>
      <c r="L22" s="113"/>
      <c r="M22" s="114"/>
      <c r="N22" s="112"/>
      <c r="O22" s="113"/>
      <c r="P22" s="114"/>
      <c r="Q22" s="112"/>
      <c r="R22" s="113"/>
      <c r="S22" s="114"/>
    </row>
    <row r="23" spans="1:19" ht="30" x14ac:dyDescent="0.25">
      <c r="A23" s="4" t="s">
        <v>14</v>
      </c>
      <c r="B23" s="109"/>
      <c r="C23" s="110"/>
      <c r="D23" s="111"/>
      <c r="E23" s="109"/>
      <c r="F23" s="110"/>
      <c r="G23" s="111"/>
      <c r="H23" s="109"/>
      <c r="I23" s="110"/>
      <c r="J23" s="111"/>
      <c r="K23" s="115"/>
      <c r="L23" s="116"/>
      <c r="M23" s="117"/>
      <c r="N23" s="109"/>
      <c r="O23" s="110"/>
      <c r="P23" s="111"/>
      <c r="Q23" s="115"/>
      <c r="R23" s="116"/>
      <c r="S23" s="117"/>
    </row>
  </sheetData>
  <mergeCells count="112"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P11" sqref="P11"/>
    </sheetView>
  </sheetViews>
  <sheetFormatPr defaultColWidth="9.140625" defaultRowHeight="15" x14ac:dyDescent="0.25"/>
  <cols>
    <col min="1" max="1" width="15.7109375" customWidth="1"/>
    <col min="2" max="2" width="13.7109375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12.85546875" bestFit="1" customWidth="1"/>
    <col min="12" max="12" width="7.5703125" bestFit="1" customWidth="1"/>
    <col min="13" max="13" width="8.7109375" bestFit="1" customWidth="1"/>
    <col min="14" max="15" width="13" bestFit="1" customWidth="1"/>
    <col min="16" max="16" width="7.5703125" bestFit="1" customWidth="1"/>
    <col min="17" max="17" width="9.28515625" bestFit="1" customWidth="1"/>
    <col min="18" max="18" width="2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9.85546875" bestFit="1" customWidth="1"/>
  </cols>
  <sheetData>
    <row r="1" spans="1:22" x14ac:dyDescent="0.25">
      <c r="A1" s="104" t="s">
        <v>7</v>
      </c>
      <c r="B1" s="118" t="s">
        <v>92</v>
      </c>
      <c r="C1" s="119"/>
      <c r="D1" s="120"/>
      <c r="E1" s="118" t="s">
        <v>93</v>
      </c>
      <c r="F1" s="119"/>
      <c r="G1" s="120"/>
      <c r="H1" s="118" t="s">
        <v>93</v>
      </c>
      <c r="I1" s="119"/>
      <c r="J1" s="120"/>
      <c r="K1" s="118" t="s">
        <v>93</v>
      </c>
      <c r="L1" s="119"/>
      <c r="M1" s="120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99</v>
      </c>
      <c r="T1" s="65" t="s">
        <v>63</v>
      </c>
      <c r="U1" s="65" t="s">
        <v>62</v>
      </c>
      <c r="V1" s="65" t="s">
        <v>100</v>
      </c>
    </row>
    <row r="2" spans="1:22" x14ac:dyDescent="0.25">
      <c r="A2" s="105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63" t="s">
        <v>10</v>
      </c>
      <c r="O2">
        <v>1000</v>
      </c>
      <c r="P2" t="s">
        <v>11</v>
      </c>
      <c r="S2" s="65" t="s">
        <v>99</v>
      </c>
      <c r="T2" s="65" t="s">
        <v>60</v>
      </c>
      <c r="U2">
        <f>P34</f>
        <v>0.18410000000000001</v>
      </c>
      <c r="V2" t="s">
        <v>2</v>
      </c>
    </row>
    <row r="3" spans="1:22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99</v>
      </c>
      <c r="T3" s="65" t="s">
        <v>60</v>
      </c>
      <c r="U3" s="78">
        <f>U2/60</f>
        <v>3.0683333333333335E-3</v>
      </c>
      <c r="V3" t="s">
        <v>105</v>
      </c>
    </row>
    <row r="4" spans="1:22" x14ac:dyDescent="0.25">
      <c r="A4" s="95" t="s">
        <v>13</v>
      </c>
      <c r="B4" s="98">
        <f>36.2/7.05</f>
        <v>5.1347517730496461</v>
      </c>
      <c r="C4" s="99"/>
      <c r="D4" s="100"/>
      <c r="E4" s="98">
        <f>39/1.16</f>
        <v>33.620689655172413</v>
      </c>
      <c r="F4" s="99"/>
      <c r="G4" s="100"/>
      <c r="H4" s="98">
        <f>195/1.09</f>
        <v>178.89908256880733</v>
      </c>
      <c r="I4" s="99"/>
      <c r="J4" s="100"/>
      <c r="K4" s="101"/>
      <c r="L4" s="102"/>
      <c r="M4" s="103"/>
      <c r="N4" s="63" t="s">
        <v>91</v>
      </c>
      <c r="O4" s="63" t="s">
        <v>88</v>
      </c>
      <c r="P4" s="73" t="s">
        <v>86</v>
      </c>
      <c r="Q4" s="73" t="s">
        <v>87</v>
      </c>
      <c r="R4" s="72"/>
    </row>
    <row r="5" spans="1:22" x14ac:dyDescent="0.25">
      <c r="A5" s="96"/>
      <c r="B5" s="98">
        <f>37.9/7.11</f>
        <v>5.3305203938115326</v>
      </c>
      <c r="C5" s="99"/>
      <c r="D5" s="100"/>
      <c r="E5" s="98">
        <f>38.6/1.17</f>
        <v>32.991452991452995</v>
      </c>
      <c r="F5" s="99"/>
      <c r="G5" s="100"/>
      <c r="H5" s="98">
        <f>194/1.11</f>
        <v>174.77477477477476</v>
      </c>
      <c r="I5" s="99"/>
      <c r="J5" s="100"/>
      <c r="K5" s="98"/>
      <c r="L5" s="99"/>
      <c r="M5" s="100"/>
      <c r="N5">
        <f>'Flow Rate'!C16</f>
        <v>21610</v>
      </c>
      <c r="P5" s="65" t="s">
        <v>89</v>
      </c>
      <c r="Q5" s="65" t="s">
        <v>90</v>
      </c>
    </row>
    <row r="6" spans="1:22" x14ac:dyDescent="0.25">
      <c r="A6" s="96"/>
      <c r="B6" s="98">
        <f>37/7.03</f>
        <v>5.2631578947368416</v>
      </c>
      <c r="C6" s="99"/>
      <c r="D6" s="100"/>
      <c r="E6" s="98">
        <f>38.2/1.16</f>
        <v>32.931034482758626</v>
      </c>
      <c r="F6" s="99"/>
      <c r="G6" s="100"/>
      <c r="H6" s="98">
        <f>194.3/1.1</f>
        <v>176.63636363636363</v>
      </c>
      <c r="I6" s="99"/>
      <c r="J6" s="100"/>
      <c r="K6" s="101"/>
      <c r="L6" s="102"/>
      <c r="M6" s="103"/>
    </row>
    <row r="7" spans="1:22" x14ac:dyDescent="0.25">
      <c r="A7" s="96"/>
      <c r="B7" s="98">
        <f>36/6.48</f>
        <v>5.5555555555555554</v>
      </c>
      <c r="C7" s="99"/>
      <c r="D7" s="100"/>
      <c r="E7" s="98">
        <f>38/1.15</f>
        <v>33.04347826086957</v>
      </c>
      <c r="F7" s="99"/>
      <c r="G7" s="100"/>
      <c r="H7" s="98">
        <f>192.4/1.08</f>
        <v>178.14814814814815</v>
      </c>
      <c r="I7" s="99"/>
      <c r="J7" s="100"/>
      <c r="K7" s="98"/>
      <c r="L7" s="99"/>
      <c r="M7" s="100"/>
      <c r="O7" s="63" t="s">
        <v>95</v>
      </c>
      <c r="P7" s="107" t="s">
        <v>98</v>
      </c>
      <c r="Q7" s="107"/>
      <c r="R7" s="65" t="s">
        <v>60</v>
      </c>
      <c r="S7" s="107" t="s">
        <v>98</v>
      </c>
      <c r="T7" s="107"/>
    </row>
    <row r="8" spans="1:22" x14ac:dyDescent="0.25">
      <c r="A8" s="96"/>
      <c r="B8" s="98">
        <f>32.8/6.39</f>
        <v>5.1330203442879494</v>
      </c>
      <c r="C8" s="99"/>
      <c r="D8" s="100"/>
      <c r="E8" s="98">
        <f>38.1/1.14</f>
        <v>33.421052631578952</v>
      </c>
      <c r="F8" s="99"/>
      <c r="G8" s="100"/>
      <c r="H8" s="98">
        <f>191.8/1.09</f>
        <v>175.96330275229357</v>
      </c>
      <c r="I8" s="99"/>
      <c r="J8" s="100"/>
      <c r="K8" s="101"/>
      <c r="L8" s="102"/>
      <c r="M8" s="103"/>
      <c r="P8" s="65" t="s">
        <v>96</v>
      </c>
      <c r="Q8" s="65" t="s">
        <v>97</v>
      </c>
      <c r="S8" s="77" t="s">
        <v>99</v>
      </c>
      <c r="T8" s="77" t="s">
        <v>97</v>
      </c>
    </row>
    <row r="9" spans="1:22" ht="18.75" x14ac:dyDescent="0.3">
      <c r="A9" s="97"/>
      <c r="B9" s="98">
        <f>35.5/7.25</f>
        <v>4.8965517241379306</v>
      </c>
      <c r="C9" s="99"/>
      <c r="D9" s="100"/>
      <c r="E9" s="98">
        <f>37.8/1.12</f>
        <v>33.749999999999993</v>
      </c>
      <c r="F9" s="99"/>
      <c r="G9" s="100"/>
      <c r="H9" s="98">
        <f>191.7/1.1</f>
        <v>174.27272727272725</v>
      </c>
      <c r="I9" s="99"/>
      <c r="J9" s="100"/>
      <c r="K9" s="101"/>
      <c r="L9" s="102"/>
      <c r="M9" s="103"/>
      <c r="O9" s="63" t="s">
        <v>101</v>
      </c>
      <c r="P9" s="107" t="s">
        <v>102</v>
      </c>
      <c r="Q9" s="107"/>
      <c r="R9" t="s">
        <v>60</v>
      </c>
      <c r="S9" s="81"/>
      <c r="T9" s="79">
        <v>3000</v>
      </c>
      <c r="U9" s="80" t="s">
        <v>105</v>
      </c>
      <c r="V9" s="81"/>
    </row>
    <row r="10" spans="1:22" x14ac:dyDescent="0.25">
      <c r="A10" s="6" t="s">
        <v>12</v>
      </c>
      <c r="B10" s="112" t="s">
        <v>17</v>
      </c>
      <c r="C10" s="113"/>
      <c r="D10" s="114"/>
      <c r="E10" s="112" t="s">
        <v>67</v>
      </c>
      <c r="F10" s="113"/>
      <c r="G10" s="114"/>
      <c r="H10" s="112" t="s">
        <v>18</v>
      </c>
      <c r="I10" s="113"/>
      <c r="J10" s="114"/>
      <c r="K10" s="112" t="s">
        <v>76</v>
      </c>
      <c r="L10" s="113"/>
      <c r="M10" s="114"/>
      <c r="P10" s="65" t="s">
        <v>103</v>
      </c>
      <c r="Q10" s="65" t="s">
        <v>104</v>
      </c>
      <c r="S10" s="78">
        <f>U3</f>
        <v>3.0683333333333335E-3</v>
      </c>
      <c r="T10" s="61" t="s">
        <v>105</v>
      </c>
      <c r="U10">
        <f>N5</f>
        <v>21610</v>
      </c>
      <c r="V10" t="s">
        <v>106</v>
      </c>
    </row>
    <row r="11" spans="1:22" ht="30" x14ac:dyDescent="0.3">
      <c r="A11" s="4" t="s">
        <v>16</v>
      </c>
      <c r="B11" s="109">
        <f>(336.12*1000)/($O$1*$O$2)</f>
        <v>5.6020000000000003</v>
      </c>
      <c r="C11" s="110"/>
      <c r="D11" s="111"/>
      <c r="E11" s="109">
        <f>(1995.71*1000)/($O$1*$O$2)</f>
        <v>33.261833333333335</v>
      </c>
      <c r="F11" s="110"/>
      <c r="G11" s="111"/>
      <c r="H11" s="109">
        <f>(9999.6*1000)/($O$1*$O$2)</f>
        <v>166.66</v>
      </c>
      <c r="I11" s="110"/>
      <c r="J11" s="111"/>
      <c r="K11" s="109"/>
      <c r="L11" s="110"/>
      <c r="M11" s="111"/>
      <c r="O11" s="63" t="s">
        <v>101</v>
      </c>
      <c r="P11" s="55">
        <f>T9/(S10*U10)*1000</f>
        <v>45244.307951863069</v>
      </c>
      <c r="Q11" t="s">
        <v>107</v>
      </c>
      <c r="S11" s="61"/>
      <c r="T11" s="61"/>
    </row>
    <row r="12" spans="1:22" x14ac:dyDescent="0.25">
      <c r="S12" s="61"/>
      <c r="T12" s="61"/>
    </row>
    <row r="13" spans="1:22" x14ac:dyDescent="0.25">
      <c r="A13" s="104" t="s">
        <v>7</v>
      </c>
      <c r="B13" s="118" t="s">
        <v>93</v>
      </c>
      <c r="C13" s="119"/>
      <c r="D13" s="120"/>
      <c r="E13" s="118" t="s">
        <v>93</v>
      </c>
      <c r="F13" s="119"/>
      <c r="G13" s="120"/>
      <c r="H13" s="118" t="s">
        <v>93</v>
      </c>
      <c r="I13" s="119"/>
      <c r="J13" s="120"/>
      <c r="K13" s="92" t="s">
        <v>94</v>
      </c>
      <c r="L13" s="93"/>
      <c r="M13" s="94"/>
      <c r="S13" s="61"/>
      <c r="T13" s="61"/>
    </row>
    <row r="14" spans="1:22" x14ac:dyDescent="0.25">
      <c r="A14" s="105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95" t="s">
        <v>13</v>
      </c>
      <c r="B16" s="98">
        <f>407.7/1.1</f>
        <v>370.63636363636357</v>
      </c>
      <c r="C16" s="99"/>
      <c r="D16" s="100"/>
      <c r="E16" s="98">
        <f>1804.7/1.03</f>
        <v>1752.1359223300972</v>
      </c>
      <c r="F16" s="99"/>
      <c r="G16" s="100"/>
      <c r="H16" s="98">
        <f>1796.1/(31/60)</f>
        <v>3476.3225806451605</v>
      </c>
      <c r="I16" s="99"/>
      <c r="J16" s="100"/>
      <c r="K16" s="101"/>
      <c r="L16" s="102"/>
      <c r="M16" s="103"/>
    </row>
    <row r="17" spans="1:16" x14ac:dyDescent="0.25">
      <c r="A17" s="96"/>
      <c r="B17" s="98">
        <f>401.3/1.09</f>
        <v>368.16513761467888</v>
      </c>
      <c r="C17" s="99"/>
      <c r="D17" s="100"/>
      <c r="E17" s="98">
        <f>1744/1.01</f>
        <v>1726.7326732673266</v>
      </c>
      <c r="F17" s="99"/>
      <c r="G17" s="100"/>
      <c r="H17" s="98">
        <f>1690.7/(29/60)</f>
        <v>3498</v>
      </c>
      <c r="I17" s="99"/>
      <c r="J17" s="100"/>
      <c r="K17" s="98"/>
      <c r="L17" s="99"/>
      <c r="M17" s="100"/>
    </row>
    <row r="18" spans="1:16" x14ac:dyDescent="0.25">
      <c r="A18" s="96"/>
      <c r="B18" s="98">
        <f>413.2/1.12</f>
        <v>368.92857142857139</v>
      </c>
      <c r="C18" s="99"/>
      <c r="D18" s="100"/>
      <c r="E18" s="98">
        <f>1786/1.02</f>
        <v>1750.9803921568628</v>
      </c>
      <c r="F18" s="99"/>
      <c r="G18" s="100"/>
      <c r="H18" s="98">
        <f>1838/(31/60)</f>
        <v>3557.4193548387093</v>
      </c>
      <c r="I18" s="99"/>
      <c r="J18" s="100"/>
      <c r="K18" s="101"/>
      <c r="L18" s="102"/>
      <c r="M18" s="103"/>
    </row>
    <row r="19" spans="1:16" x14ac:dyDescent="0.25">
      <c r="A19" s="96"/>
      <c r="B19" s="98">
        <f>406.3/1.11</f>
        <v>366.03603603603602</v>
      </c>
      <c r="C19" s="99"/>
      <c r="D19" s="100"/>
      <c r="E19" s="98">
        <f>1801.7/1.02</f>
        <v>1766.372549019608</v>
      </c>
      <c r="F19" s="99"/>
      <c r="G19" s="100"/>
      <c r="H19" s="98">
        <f>1751/(30/60)</f>
        <v>3502</v>
      </c>
      <c r="I19" s="99"/>
      <c r="J19" s="100"/>
      <c r="K19" s="98"/>
      <c r="L19" s="99"/>
      <c r="M19" s="100"/>
    </row>
    <row r="20" spans="1:16" x14ac:dyDescent="0.25">
      <c r="A20" s="96"/>
      <c r="B20" s="98">
        <f>419.5/1.14</f>
        <v>367.98245614035091</v>
      </c>
      <c r="C20" s="99"/>
      <c r="D20" s="100"/>
      <c r="E20" s="98">
        <f>1738.2/1</f>
        <v>1738.2</v>
      </c>
      <c r="F20" s="99"/>
      <c r="G20" s="100"/>
      <c r="H20" s="98">
        <f>1933.9/(33/60)</f>
        <v>3516.181818181818</v>
      </c>
      <c r="I20" s="99"/>
      <c r="J20" s="100"/>
      <c r="K20" s="101"/>
      <c r="L20" s="102"/>
      <c r="M20" s="103"/>
    </row>
    <row r="21" spans="1:16" x14ac:dyDescent="0.25">
      <c r="A21" s="97"/>
      <c r="B21" s="98">
        <f>405.1/1.13</f>
        <v>358.49557522123899</v>
      </c>
      <c r="C21" s="99"/>
      <c r="D21" s="100"/>
      <c r="E21" s="98">
        <f>1734.7/1</f>
        <v>1734.7</v>
      </c>
      <c r="F21" s="99"/>
      <c r="G21" s="100"/>
      <c r="H21" s="98">
        <f>1697.8/(29/60)</f>
        <v>3512.6896551724135</v>
      </c>
      <c r="I21" s="99"/>
      <c r="J21" s="100"/>
      <c r="K21" s="101"/>
      <c r="L21" s="102"/>
      <c r="M21" s="103"/>
    </row>
    <row r="22" spans="1:16" x14ac:dyDescent="0.25">
      <c r="A22" s="6" t="s">
        <v>12</v>
      </c>
      <c r="B22" s="112" t="s">
        <v>73</v>
      </c>
      <c r="C22" s="113"/>
      <c r="D22" s="114"/>
      <c r="E22" s="112" t="s">
        <v>74</v>
      </c>
      <c r="F22" s="113"/>
      <c r="G22" s="114"/>
      <c r="H22" s="112" t="s">
        <v>75</v>
      </c>
      <c r="I22" s="113"/>
      <c r="J22" s="114"/>
      <c r="K22" s="112" t="s">
        <v>66</v>
      </c>
      <c r="L22" s="113"/>
      <c r="M22" s="114"/>
    </row>
    <row r="23" spans="1:16" x14ac:dyDescent="0.25">
      <c r="A23" s="4" t="s">
        <v>14</v>
      </c>
      <c r="B23" s="109">
        <f>(19999.15*1000)/($O$1*$O$2)</f>
        <v>333.31916666666666</v>
      </c>
      <c r="C23" s="110"/>
      <c r="D23" s="111"/>
      <c r="E23" s="109">
        <f>(99995.75*1000)/($O$1*$O$2)</f>
        <v>1666.5958333333333</v>
      </c>
      <c r="F23" s="110"/>
      <c r="G23" s="111"/>
      <c r="H23" s="109">
        <f>1*(199991.48*1000)/($O$1*$O$2)</f>
        <v>3333.1913333333332</v>
      </c>
      <c r="I23" s="110"/>
      <c r="J23" s="111"/>
      <c r="K23" s="115"/>
      <c r="L23" s="116"/>
      <c r="M23" s="117"/>
    </row>
    <row r="24" spans="1:16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N25" s="68" t="s">
        <v>84</v>
      </c>
      <c r="O25" s="68" t="s">
        <v>85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32</v>
      </c>
      <c r="J26" s="61">
        <f t="shared" ref="J26:J31" si="1">I26*$D$34+$G$34</f>
        <v>6.2972099999999998</v>
      </c>
      <c r="N26">
        <v>32</v>
      </c>
      <c r="O26" s="61">
        <v>5.2189300000000003</v>
      </c>
      <c r="P26" s="61">
        <v>0.22186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2">(B27-D27)/B27</f>
        <v>-9.754963583815196E-3</v>
      </c>
      <c r="I27">
        <v>190</v>
      </c>
      <c r="J27" s="61">
        <f t="shared" si="1"/>
        <v>35.667830000000002</v>
      </c>
      <c r="N27">
        <v>190</v>
      </c>
      <c r="O27" s="61">
        <v>33.292949999999998</v>
      </c>
      <c r="P27" s="61">
        <v>0.35124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2"/>
        <v>-1.3854435838151177E-3</v>
      </c>
      <c r="I28">
        <v>952</v>
      </c>
      <c r="J28" s="61">
        <f t="shared" si="1"/>
        <v>177.31600999999998</v>
      </c>
      <c r="N28">
        <v>952</v>
      </c>
      <c r="O28" s="61">
        <v>176.44907000000001</v>
      </c>
      <c r="P28" s="61">
        <v>1.82758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2"/>
        <v>-6.8798358381513933E-4</v>
      </c>
      <c r="I29">
        <v>1904</v>
      </c>
      <c r="J29" s="61">
        <f t="shared" si="1"/>
        <v>354.28328999999997</v>
      </c>
      <c r="N29">
        <v>1904</v>
      </c>
      <c r="O29" s="61">
        <v>366.70735999999999</v>
      </c>
      <c r="P29" s="61">
        <v>4.2896599999999996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2"/>
        <v>-3.3925358381515028E-4</v>
      </c>
      <c r="I30">
        <v>9520</v>
      </c>
      <c r="J30" s="61">
        <f t="shared" si="1"/>
        <v>1770.02153</v>
      </c>
      <c r="N30">
        <v>9520</v>
      </c>
      <c r="O30" s="61">
        <v>1744.8535899999999</v>
      </c>
      <c r="P30" s="61">
        <v>14.3483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2"/>
        <v>4.9769841618485771E-4</v>
      </c>
      <c r="I31">
        <v>19040</v>
      </c>
      <c r="J31" s="61">
        <f t="shared" si="1"/>
        <v>3539.6943300000003</v>
      </c>
      <c r="N31">
        <v>19040</v>
      </c>
      <c r="O31" s="61">
        <v>3510.4355700000001</v>
      </c>
      <c r="P31" s="61">
        <v>26.96321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2"/>
        <v>6.0231741618476916E-4</v>
      </c>
    </row>
    <row r="33" spans="1:19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2"/>
        <v>-4.0152900152099321E-4</v>
      </c>
      <c r="I33" s="65" t="s">
        <v>59</v>
      </c>
      <c r="J33" s="65" t="s">
        <v>60</v>
      </c>
      <c r="K33" s="65" t="s">
        <v>99</v>
      </c>
      <c r="L33" s="65" t="s">
        <v>63</v>
      </c>
      <c r="M33" s="65" t="s">
        <v>62</v>
      </c>
      <c r="N33" s="65" t="s">
        <v>100</v>
      </c>
    </row>
    <row r="34" spans="1:19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58" t="s">
        <v>58</v>
      </c>
      <c r="N34" s="62" t="s">
        <v>59</v>
      </c>
      <c r="O34" s="64" t="s">
        <v>60</v>
      </c>
      <c r="P34" s="59">
        <v>0.18410000000000001</v>
      </c>
      <c r="Q34" s="64" t="s">
        <v>61</v>
      </c>
      <c r="R34" s="64" t="s">
        <v>62</v>
      </c>
      <c r="S34" s="60">
        <v>2.2370000000000001</v>
      </c>
    </row>
    <row r="35" spans="1:19" ht="17.25" x14ac:dyDescent="0.25">
      <c r="B35" s="63" t="s">
        <v>64</v>
      </c>
      <c r="C35" s="65" t="s">
        <v>60</v>
      </c>
      <c r="D35">
        <v>1</v>
      </c>
      <c r="H35" s="66" t="s">
        <v>63</v>
      </c>
      <c r="I35" s="66" t="s">
        <v>79</v>
      </c>
      <c r="J35" s="66" t="s">
        <v>80</v>
      </c>
      <c r="N35" s="63" t="s">
        <v>64</v>
      </c>
      <c r="O35" s="65" t="s">
        <v>60</v>
      </c>
      <c r="P35">
        <v>0.99990000000000001</v>
      </c>
    </row>
    <row r="36" spans="1:19" x14ac:dyDescent="0.25">
      <c r="H36" s="74">
        <f>(J36-S34)/P34</f>
        <v>16283.340575774035</v>
      </c>
      <c r="I36" s="65">
        <f>J36*60</f>
        <v>180000</v>
      </c>
      <c r="J36">
        <v>3000</v>
      </c>
      <c r="K36" t="s">
        <v>4</v>
      </c>
    </row>
    <row r="37" spans="1:19" x14ac:dyDescent="0.25">
      <c r="H37" s="74">
        <v>16279</v>
      </c>
      <c r="I37">
        <v>180000</v>
      </c>
      <c r="J37" s="55">
        <f>1.8245*1000/(37/60)</f>
        <v>2958.6486486486483</v>
      </c>
      <c r="K37" t="s">
        <v>81</v>
      </c>
    </row>
    <row r="38" spans="1:19" x14ac:dyDescent="0.25">
      <c r="E38" s="71"/>
      <c r="J38" s="55">
        <f>1.9781*1000/(40/60)</f>
        <v>2967.15</v>
      </c>
    </row>
    <row r="39" spans="1:19" x14ac:dyDescent="0.25">
      <c r="J39" s="55">
        <f>1.8915*1000/(38/60)</f>
        <v>2986.5789473684213</v>
      </c>
    </row>
    <row r="40" spans="1:19" x14ac:dyDescent="0.25">
      <c r="J40" s="55">
        <f>1.9894*1000/(40/60)</f>
        <v>2984.1000000000004</v>
      </c>
    </row>
    <row r="41" spans="1:19" x14ac:dyDescent="0.25">
      <c r="J41" s="55">
        <f>1.9725*1000/(39/60)</f>
        <v>3034.6153846153843</v>
      </c>
    </row>
    <row r="42" spans="1:19" x14ac:dyDescent="0.25">
      <c r="J42" s="55">
        <f>1.8824*1000/(38/60)</f>
        <v>2972.2105263157896</v>
      </c>
    </row>
    <row r="43" spans="1:19" x14ac:dyDescent="0.25">
      <c r="J43" s="61">
        <f>SUM(J37:J42)/6</f>
        <v>2983.8839178247072</v>
      </c>
      <c r="K43" t="s">
        <v>82</v>
      </c>
    </row>
    <row r="44" spans="1:19" x14ac:dyDescent="0.25">
      <c r="J44" s="61">
        <f>(J36-J43)/J36*100</f>
        <v>0.53720273917642769</v>
      </c>
      <c r="K44" t="s">
        <v>83</v>
      </c>
    </row>
  </sheetData>
  <mergeCells count="79">
    <mergeCell ref="B23:D23"/>
    <mergeCell ref="E23:G23"/>
    <mergeCell ref="H23:J23"/>
    <mergeCell ref="K23:M23"/>
    <mergeCell ref="B22:D22"/>
    <mergeCell ref="E22:G22"/>
    <mergeCell ref="H22:J22"/>
    <mergeCell ref="K22:M22"/>
    <mergeCell ref="H17:J17"/>
    <mergeCell ref="K17:M17"/>
    <mergeCell ref="B18:D18"/>
    <mergeCell ref="E18:G18"/>
    <mergeCell ref="H18:J18"/>
    <mergeCell ref="K18:M18"/>
    <mergeCell ref="B21:D21"/>
    <mergeCell ref="E21:G21"/>
    <mergeCell ref="H21:J21"/>
    <mergeCell ref="K21:M21"/>
    <mergeCell ref="B20:D20"/>
    <mergeCell ref="E20:G20"/>
    <mergeCell ref="H20:J20"/>
    <mergeCell ref="K20:M2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K6:M6"/>
    <mergeCell ref="B11:D11"/>
    <mergeCell ref="E11:G11"/>
    <mergeCell ref="H11:J11"/>
    <mergeCell ref="K11:M11"/>
    <mergeCell ref="B10:D10"/>
    <mergeCell ref="E10:G10"/>
    <mergeCell ref="H10:J10"/>
    <mergeCell ref="K10:M10"/>
    <mergeCell ref="H7:J7"/>
    <mergeCell ref="K7:M7"/>
    <mergeCell ref="E5:G5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P7:Q7"/>
    <mergeCell ref="S7:T7"/>
    <mergeCell ref="P9:Q9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0</xdr:col>
                <xdr:colOff>57150</xdr:colOff>
                <xdr:row>35</xdr:row>
                <xdr:rowOff>38100</xdr:rowOff>
              </from>
              <to>
                <xdr:col>6</xdr:col>
                <xdr:colOff>466725</xdr:colOff>
                <xdr:row>53</xdr:row>
                <xdr:rowOff>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12</xdr:col>
                <xdr:colOff>19050</xdr:colOff>
                <xdr:row>35</xdr:row>
                <xdr:rowOff>19050</xdr:rowOff>
              </from>
              <to>
                <xdr:col>20</xdr:col>
                <xdr:colOff>352425</xdr:colOff>
                <xdr:row>53</xdr:row>
                <xdr:rowOff>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defaultColWidth="11.42578125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2019-12-02T17:28:46Z</dcterms:modified>
</cp:coreProperties>
</file>