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dec365-my.sharepoint.com/personal/fabian_medina_coordinador_cl/Documents/Escritorio/CEN_Fabian/Codigos/Fabi_Casa_CEN/Base2030/Datos/"/>
    </mc:Choice>
  </mc:AlternateContent>
  <xr:revisionPtr revIDLastSave="464" documentId="11_897ED2FDADD9CB35918F4EC301DAAA036CA13DC7" xr6:coauthVersionLast="47" xr6:coauthVersionMax="47" xr10:uidLastSave="{928C9D84-01DA-44D2-8333-864FBDF6D1E2}"/>
  <bookViews>
    <workbookView xWindow="28680" yWindow="480" windowWidth="19440" windowHeight="10440" activeTab="2" xr2:uid="{00000000-000D-0000-FFFF-FFFF00000000}"/>
  </bookViews>
  <sheets>
    <sheet name="PFV" sheetId="1" r:id="rId1"/>
    <sheet name="PE" sheetId="2" r:id="rId2"/>
    <sheet name="Cargas" sheetId="3" r:id="rId3"/>
    <sheet name="Resumen" sheetId="4" r:id="rId4"/>
  </sheets>
  <definedNames>
    <definedName name="_xlnm._FilterDatabase" localSheetId="2" hidden="1">Cargas!$A$1:$P$1</definedName>
    <definedName name="_xlnm._FilterDatabase" localSheetId="1" hidden="1">PE!$A$1:$Z$1</definedName>
    <definedName name="_xlnm._FilterDatabase" localSheetId="0" hidden="1">PFV!$A$1:$Y$1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4" l="1"/>
  <c r="E14" i="4"/>
  <c r="AA4" i="2"/>
  <c r="X4" i="2"/>
  <c r="H14" i="4"/>
  <c r="AB3" i="2"/>
  <c r="AB2" i="2"/>
  <c r="X34" i="1"/>
  <c r="W18" i="1"/>
  <c r="W6" i="1"/>
  <c r="W19" i="1"/>
  <c r="W5" i="1"/>
  <c r="W20" i="1"/>
  <c r="W4" i="1"/>
  <c r="W22" i="1"/>
  <c r="W21" i="1"/>
  <c r="W3" i="1"/>
  <c r="W2" i="1"/>
  <c r="AF11" i="2"/>
  <c r="AF10" i="2"/>
  <c r="AB5" i="2"/>
  <c r="AB6" i="2"/>
  <c r="AB7" i="2"/>
  <c r="AB8" i="2"/>
  <c r="AB9" i="2"/>
  <c r="AB10" i="2"/>
  <c r="AB4" i="2"/>
  <c r="AA5" i="2"/>
  <c r="AA6" i="2"/>
  <c r="AA7" i="2"/>
  <c r="AA8" i="2"/>
  <c r="AA9" i="2"/>
  <c r="AA10" i="2"/>
  <c r="S3" i="3"/>
  <c r="AF9" i="2"/>
  <c r="AF7" i="2"/>
  <c r="X9" i="2" s="1"/>
  <c r="X10" i="2" l="1"/>
  <c r="X8" i="2"/>
  <c r="X7" i="2"/>
  <c r="X6" i="2"/>
  <c r="X5" i="2"/>
  <c r="AG5" i="1" l="1"/>
  <c r="AG2" i="1"/>
  <c r="AF3" i="2"/>
  <c r="AG17" i="1"/>
  <c r="AG16" i="1"/>
  <c r="S11" i="3"/>
  <c r="S7" i="3"/>
  <c r="M6" i="3" l="1"/>
  <c r="M5" i="3"/>
  <c r="E6" i="4"/>
  <c r="G6" i="4" s="1"/>
  <c r="S5" i="3" s="1"/>
  <c r="S9" i="3" s="1"/>
  <c r="M32" i="3"/>
  <c r="M34" i="3"/>
  <c r="M33" i="3"/>
  <c r="M19" i="3"/>
  <c r="M18" i="3"/>
  <c r="M20" i="3"/>
  <c r="M47" i="3"/>
  <c r="M42" i="3"/>
  <c r="M28" i="3"/>
  <c r="M12" i="3"/>
  <c r="M41" i="3"/>
  <c r="M27" i="3"/>
  <c r="M11" i="3"/>
  <c r="M17" i="3"/>
  <c r="M40" i="3"/>
  <c r="M26" i="3"/>
  <c r="M10" i="3"/>
  <c r="M39" i="3"/>
  <c r="M25" i="3"/>
  <c r="AG18" i="1"/>
  <c r="M46" i="3"/>
  <c r="M38" i="3"/>
  <c r="M24" i="3"/>
  <c r="M16" i="3"/>
  <c r="M9" i="3"/>
  <c r="M45" i="3"/>
  <c r="M37" i="3"/>
  <c r="M31" i="3"/>
  <c r="M23" i="3"/>
  <c r="M15" i="3"/>
  <c r="M8" i="3"/>
  <c r="M44" i="3"/>
  <c r="M36" i="3"/>
  <c r="M30" i="3"/>
  <c r="M22" i="3"/>
  <c r="M14" i="3"/>
  <c r="M7" i="3"/>
  <c r="M43" i="3"/>
  <c r="M35" i="3"/>
  <c r="M29" i="3"/>
  <c r="M21" i="3"/>
  <c r="M13" i="3"/>
  <c r="N31" i="3" l="1"/>
  <c r="N27" i="3"/>
  <c r="N6" i="3"/>
  <c r="O6" i="3" s="1"/>
  <c r="N18" i="3"/>
  <c r="O18" i="3" s="1"/>
  <c r="N37" i="3"/>
  <c r="P37" i="3" s="1"/>
  <c r="N19" i="3"/>
  <c r="P19" i="3" s="1"/>
  <c r="N45" i="3"/>
  <c r="P45" i="3" s="1"/>
  <c r="N33" i="3"/>
  <c r="P33" i="3" s="1"/>
  <c r="N14" i="3"/>
  <c r="N22" i="3"/>
  <c r="N39" i="3"/>
  <c r="O39" i="3" s="1"/>
  <c r="N30" i="3"/>
  <c r="O30" i="3" s="1"/>
  <c r="N21" i="3"/>
  <c r="P21" i="3" s="1"/>
  <c r="N36" i="3"/>
  <c r="O36" i="3" s="1"/>
  <c r="N9" i="3"/>
  <c r="O9" i="3" s="1"/>
  <c r="N10" i="3"/>
  <c r="O10" i="3" s="1"/>
  <c r="N28" i="3"/>
  <c r="N34" i="3"/>
  <c r="O34" i="3" s="1"/>
  <c r="N46" i="3"/>
  <c r="P46" i="3" s="1"/>
  <c r="N41" i="3"/>
  <c r="O41" i="3" s="1"/>
  <c r="N13" i="3"/>
  <c r="O13" i="3" s="1"/>
  <c r="N29" i="3"/>
  <c r="O29" i="3" s="1"/>
  <c r="N44" i="3"/>
  <c r="O44" i="3" s="1"/>
  <c r="N16" i="3"/>
  <c r="P16" i="3" s="1"/>
  <c r="N26" i="3"/>
  <c r="N25" i="3"/>
  <c r="N43" i="3"/>
  <c r="O43" i="3" s="1"/>
  <c r="N15" i="3"/>
  <c r="P15" i="3" s="1"/>
  <c r="N17" i="3"/>
  <c r="P17" i="3" s="1"/>
  <c r="N35" i="3"/>
  <c r="O35" i="3" s="1"/>
  <c r="N8" i="3"/>
  <c r="P8" i="3" s="1"/>
  <c r="N24" i="3"/>
  <c r="O24" i="3" s="1"/>
  <c r="N40" i="3"/>
  <c r="O40" i="3" s="1"/>
  <c r="N47" i="3"/>
  <c r="O47" i="3" s="1"/>
  <c r="N7" i="3"/>
  <c r="O7" i="3" s="1"/>
  <c r="N23" i="3"/>
  <c r="P23" i="3" s="1"/>
  <c r="N38" i="3"/>
  <c r="O38" i="3" s="1"/>
  <c r="P6" i="3"/>
  <c r="N12" i="3"/>
  <c r="P12" i="3" s="1"/>
  <c r="N32" i="3"/>
  <c r="N11" i="3"/>
  <c r="O11" i="3" s="1"/>
  <c r="N42" i="3"/>
  <c r="O42" i="3" s="1"/>
  <c r="N20" i="3"/>
  <c r="P20" i="3" s="1"/>
  <c r="N5" i="3"/>
  <c r="O26" i="3"/>
  <c r="P26" i="3"/>
  <c r="P14" i="3"/>
  <c r="O14" i="3"/>
  <c r="O46" i="3"/>
  <c r="O25" i="3"/>
  <c r="P25" i="3"/>
  <c r="O27" i="3"/>
  <c r="P27" i="3"/>
  <c r="P47" i="3"/>
  <c r="P40" i="3"/>
  <c r="O28" i="3"/>
  <c r="P28" i="3"/>
  <c r="P22" i="3"/>
  <c r="O22" i="3"/>
  <c r="P36" i="3"/>
  <c r="O17" i="3"/>
  <c r="P31" i="3"/>
  <c r="O31" i="3"/>
  <c r="O16" i="3" l="1"/>
  <c r="P10" i="3"/>
  <c r="O12" i="3"/>
  <c r="P18" i="3"/>
  <c r="P24" i="3"/>
  <c r="O8" i="3"/>
  <c r="O15" i="3"/>
  <c r="O33" i="3"/>
  <c r="O45" i="3"/>
  <c r="P44" i="3"/>
  <c r="P41" i="3"/>
  <c r="P13" i="3"/>
  <c r="O21" i="3"/>
  <c r="P42" i="3"/>
  <c r="P39" i="3"/>
  <c r="P43" i="3"/>
  <c r="O20" i="3"/>
  <c r="P35" i="3"/>
  <c r="O19" i="3"/>
  <c r="O37" i="3"/>
  <c r="P30" i="3"/>
  <c r="P29" i="3"/>
  <c r="P38" i="3"/>
  <c r="P9" i="3"/>
  <c r="P34" i="3"/>
  <c r="P7" i="3"/>
  <c r="O23" i="3"/>
  <c r="P11" i="3"/>
  <c r="O32" i="3"/>
  <c r="P32" i="3"/>
  <c r="O5" i="3"/>
  <c r="W3" i="3" s="1"/>
  <c r="P5" i="3"/>
  <c r="W10" i="1" l="1"/>
  <c r="W7" i="1"/>
  <c r="W14" i="1"/>
  <c r="W13" i="1"/>
  <c r="W15" i="1"/>
  <c r="W9" i="1"/>
  <c r="W8" i="1"/>
  <c r="W11" i="1"/>
  <c r="W17" i="1"/>
  <c r="W16" i="1"/>
  <c r="W12" i="1"/>
  <c r="E13" i="4" l="1"/>
  <c r="E15" i="4" l="1"/>
  <c r="G14" i="4" l="1"/>
  <c r="AF4" i="2" s="1"/>
  <c r="F13" i="4"/>
  <c r="G13" i="4" s="1"/>
  <c r="H13" i="4" l="1"/>
  <c r="H15" i="4" s="1"/>
  <c r="H16" i="4" s="1"/>
  <c r="AF5" i="2"/>
  <c r="G15" i="4"/>
  <c r="AG3" i="1"/>
  <c r="Y5" i="2" l="1"/>
  <c r="Z5" i="2" s="1"/>
  <c r="Y10" i="2"/>
  <c r="Z10" i="2" s="1"/>
  <c r="Y9" i="2"/>
  <c r="Z9" i="2" s="1"/>
  <c r="Y6" i="2"/>
  <c r="Z6" i="2" s="1"/>
  <c r="Y7" i="2"/>
  <c r="Z7" i="2" s="1"/>
  <c r="Y4" i="2"/>
  <c r="Z4" i="2" s="1"/>
  <c r="Y8" i="2"/>
  <c r="Z8" i="2" s="1"/>
  <c r="AG4" i="1"/>
  <c r="X13" i="1" l="1"/>
  <c r="Y13" i="1" s="1"/>
  <c r="X14" i="1"/>
  <c r="Y14" i="1" s="1"/>
  <c r="X3" i="1"/>
  <c r="Y3" i="1" s="1"/>
  <c r="X11" i="1"/>
  <c r="Y11" i="1" s="1"/>
  <c r="X9" i="1"/>
  <c r="X17" i="1"/>
  <c r="Y17" i="1" s="1"/>
  <c r="X7" i="1"/>
  <c r="Y7" i="1" s="1"/>
  <c r="X8" i="1"/>
  <c r="Y8" i="1" s="1"/>
  <c r="X12" i="1"/>
  <c r="Y12" i="1" s="1"/>
  <c r="X6" i="1"/>
  <c r="Y6" i="1" s="1"/>
  <c r="X2" i="1"/>
  <c r="Y2" i="1" s="1"/>
  <c r="X5" i="1"/>
  <c r="Y5" i="1" s="1"/>
  <c r="X21" i="1"/>
  <c r="Y21" i="1" s="1"/>
  <c r="X15" i="1"/>
  <c r="Y15" i="1" s="1"/>
  <c r="X19" i="1"/>
  <c r="Y19" i="1" s="1"/>
  <c r="X4" i="1"/>
  <c r="Y4" i="1" s="1"/>
  <c r="X18" i="1"/>
  <c r="Y18" i="1" s="1"/>
  <c r="X16" i="1"/>
  <c r="Y16" i="1" s="1"/>
  <c r="X10" i="1"/>
  <c r="Y10" i="1" s="1"/>
  <c r="X22" i="1"/>
  <c r="Y22" i="1" s="1"/>
  <c r="X20" i="1"/>
  <c r="Y20" i="1" s="1"/>
  <c r="Z17" i="1" l="1"/>
  <c r="AA17" i="1" s="1"/>
  <c r="Z14" i="1"/>
  <c r="AA14" i="1" s="1"/>
  <c r="Z3" i="1"/>
  <c r="AA3" i="1" s="1"/>
  <c r="Z7" i="1"/>
  <c r="AA7" i="1" s="1"/>
  <c r="Z12" i="1"/>
  <c r="AA12" i="1" s="1"/>
  <c r="Z18" i="1"/>
  <c r="AA18" i="1" s="1"/>
  <c r="Z22" i="1"/>
  <c r="AA22" i="1" s="1"/>
  <c r="Z8" i="1"/>
  <c r="AA8" i="1" s="1"/>
  <c r="Z19" i="1"/>
  <c r="AA19" i="1" s="1"/>
  <c r="Z4" i="1"/>
  <c r="AA4" i="1" s="1"/>
  <c r="Z5" i="1"/>
  <c r="AA5" i="1" s="1"/>
  <c r="Z13" i="1"/>
  <c r="AA13" i="1" s="1"/>
  <c r="Z10" i="1"/>
  <c r="AA10" i="1" s="1"/>
  <c r="Z15" i="1"/>
  <c r="AA15" i="1" s="1"/>
  <c r="Z20" i="1"/>
  <c r="AA20" i="1" s="1"/>
  <c r="Z11" i="1"/>
  <c r="AA11" i="1" s="1"/>
  <c r="Z21" i="1"/>
  <c r="AA21" i="1" s="1"/>
  <c r="Z6" i="1"/>
  <c r="AA6" i="1" s="1"/>
  <c r="Y9" i="1"/>
  <c r="Z2" i="1" s="1"/>
  <c r="AG6" i="1"/>
  <c r="AG7" i="1" s="1"/>
  <c r="Z9" i="1" l="1"/>
  <c r="AA9" i="1" s="1"/>
  <c r="Z16" i="1"/>
  <c r="AA16" i="1" s="1"/>
  <c r="AA2" i="1"/>
  <c r="AG11" i="1" l="1"/>
  <c r="AG13" i="1" s="1"/>
  <c r="AG14" i="1"/>
  <c r="AG12" i="1" l="1"/>
  <c r="AB9" i="1"/>
  <c r="AC9" i="1" s="1"/>
  <c r="AD9" i="1" s="1"/>
  <c r="AB14" i="1"/>
  <c r="AC14" i="1" s="1"/>
  <c r="AD14" i="1" s="1"/>
  <c r="AB17" i="1"/>
  <c r="AC17" i="1" s="1"/>
  <c r="AD17" i="1" s="1"/>
  <c r="AB22" i="1"/>
  <c r="AC22" i="1" s="1"/>
  <c r="AD22" i="1" s="1"/>
  <c r="AB18" i="1"/>
  <c r="AC18" i="1" s="1"/>
  <c r="AD18" i="1" s="1"/>
  <c r="AB20" i="1"/>
  <c r="AC20" i="1" s="1"/>
  <c r="AD20" i="1" s="1"/>
  <c r="AB15" i="1"/>
  <c r="AC15" i="1" s="1"/>
  <c r="AD15" i="1" s="1"/>
  <c r="AB16" i="1"/>
  <c r="AC16" i="1" s="1"/>
  <c r="AD16" i="1" s="1"/>
  <c r="AB2" i="1"/>
  <c r="AC2" i="1" s="1"/>
  <c r="AD2" i="1" s="1"/>
  <c r="AB3" i="1"/>
  <c r="AC3" i="1" s="1"/>
  <c r="AD3" i="1" s="1"/>
  <c r="AB19" i="1"/>
  <c r="AC19" i="1" s="1"/>
  <c r="AD19" i="1" s="1"/>
  <c r="AB6" i="1"/>
  <c r="AC6" i="1" s="1"/>
  <c r="AD6" i="1" s="1"/>
  <c r="AB5" i="1"/>
  <c r="AC5" i="1" s="1"/>
  <c r="AD5" i="1" s="1"/>
  <c r="AB7" i="1"/>
  <c r="AC7" i="1" s="1"/>
  <c r="AD7" i="1" s="1"/>
  <c r="AB4" i="1"/>
  <c r="AC4" i="1" s="1"/>
  <c r="AD4" i="1" s="1"/>
  <c r="AB8" i="1"/>
  <c r="AC8" i="1" s="1"/>
  <c r="AD8" i="1" s="1"/>
  <c r="AB10" i="1"/>
  <c r="AC10" i="1" s="1"/>
  <c r="AD10" i="1" s="1"/>
  <c r="AB13" i="1"/>
  <c r="AC13" i="1" s="1"/>
  <c r="AD13" i="1" s="1"/>
  <c r="AB21" i="1"/>
  <c r="AC21" i="1" s="1"/>
  <c r="AD21" i="1" s="1"/>
  <c r="AB12" i="1"/>
  <c r="AC12" i="1" s="1"/>
  <c r="AD12" i="1" s="1"/>
  <c r="AB11" i="1"/>
  <c r="AC11" i="1" s="1"/>
  <c r="AD11" i="1" s="1"/>
</calcChain>
</file>

<file path=xl/sharedStrings.xml><?xml version="1.0" encoding="utf-8"?>
<sst xmlns="http://schemas.openxmlformats.org/spreadsheetml/2006/main" count="545" uniqueCount="169">
  <si>
    <t>Name_PV</t>
  </si>
  <si>
    <t>Name1</t>
  </si>
  <si>
    <t>Name2</t>
  </si>
  <si>
    <t>LibType</t>
  </si>
  <si>
    <t>Status1</t>
  </si>
  <si>
    <t>Status2</t>
  </si>
  <si>
    <t>StatusFinal</t>
  </si>
  <si>
    <t>N_PV_arrays</t>
  </si>
  <si>
    <t>N_PV_inServ</t>
  </si>
  <si>
    <t>S_spv</t>
  </si>
  <si>
    <t>Unit</t>
  </si>
  <si>
    <t>P_ctrlMode</t>
  </si>
  <si>
    <t>Active_ref</t>
  </si>
  <si>
    <t>Unit.1</t>
  </si>
  <si>
    <t>Q_ctrlMode</t>
  </si>
  <si>
    <t>Reactive_ref</t>
  </si>
  <si>
    <t>Unit.2</t>
  </si>
  <si>
    <t>s_nom</t>
  </si>
  <si>
    <t>p_mw</t>
  </si>
  <si>
    <t>q_mw</t>
  </si>
  <si>
    <t>p_pu</t>
  </si>
  <si>
    <t>q_pu</t>
  </si>
  <si>
    <t>PMGD_PFV_Chillan154</t>
  </si>
  <si>
    <t>-</t>
  </si>
  <si>
    <t>WECC PV park</t>
  </si>
  <si>
    <t>MVA</t>
  </si>
  <si>
    <t>pu</t>
  </si>
  <si>
    <t>PMGD_PFV_SJavier066</t>
  </si>
  <si>
    <t>PMGD_PFV_Itahue154</t>
  </si>
  <si>
    <t>PMGD_PFV_Linares154</t>
  </si>
  <si>
    <t>PMGD_PFV_Malloa154</t>
  </si>
  <si>
    <t>PMGD_PFV_Talca066</t>
  </si>
  <si>
    <t>PMGD_PFV_Paine154</t>
  </si>
  <si>
    <t>PMGD_PFV_Parral154</t>
  </si>
  <si>
    <t>PMGD_PFV_PCortes154</t>
  </si>
  <si>
    <t>PMGD_PFV_Rancagua154</t>
  </si>
  <si>
    <t>PMGD_PFV_Teno154</t>
  </si>
  <si>
    <t>PMGD_PFV_Tinguiririca154</t>
  </si>
  <si>
    <t>PMGD_PFV_Charrua066</t>
  </si>
  <si>
    <t>PMGD_PFV_Horcones066</t>
  </si>
  <si>
    <t>PMGD_PFV_Mulchen220</t>
  </si>
  <si>
    <t>PMGD_PFV_Duqueco220</t>
  </si>
  <si>
    <t>PMGD_PFV_Temuco066</t>
  </si>
  <si>
    <t>PFV_Gran_Teno_OG</t>
  </si>
  <si>
    <t>PFV_Tamango_OG</t>
  </si>
  <si>
    <t>PMG_Venezia_Solar_OG</t>
  </si>
  <si>
    <t>PFV_Ortega_Negrete_OG</t>
  </si>
  <si>
    <t>Name_WP</t>
  </si>
  <si>
    <t>N_wind_turbines</t>
  </si>
  <si>
    <t>N_WT_inServ</t>
  </si>
  <si>
    <t>Snom_WP</t>
  </si>
  <si>
    <t>Turbine Power</t>
  </si>
  <si>
    <t>WECC WP</t>
  </si>
  <si>
    <t>PE_Aurora</t>
  </si>
  <si>
    <t>PE_SanGabriel</t>
  </si>
  <si>
    <t>PE_MallecoNorte</t>
  </si>
  <si>
    <t>PE_MallecoSur</t>
  </si>
  <si>
    <t>PE_Los_Olmos</t>
  </si>
  <si>
    <t>PE_Tolpan_Sur</t>
  </si>
  <si>
    <t>PE_Lomas_de_Duqueco</t>
  </si>
  <si>
    <t>PE_Renaico_I</t>
  </si>
  <si>
    <t>PE_San_Matias_Etapa1_OG</t>
  </si>
  <si>
    <t>WECC Wind park</t>
  </si>
  <si>
    <t>Name_LoadLF</t>
  </si>
  <si>
    <t>P_loadLF</t>
  </si>
  <si>
    <t>Q_loadLF</t>
  </si>
  <si>
    <t>Np</t>
  </si>
  <si>
    <t>Nq</t>
  </si>
  <si>
    <t>connectionType</t>
  </si>
  <si>
    <t>TR_LPEU_N1</t>
  </si>
  <si>
    <t>MW</t>
  </si>
  <si>
    <t>MVAR</t>
  </si>
  <si>
    <t>Yg</t>
  </si>
  <si>
    <t>PICOLTUE_220</t>
  </si>
  <si>
    <t>TR_HUALP_N1</t>
  </si>
  <si>
    <t>CLAJA_220</t>
  </si>
  <si>
    <t>INFOR_220</t>
  </si>
  <si>
    <t>TCHOLG_220</t>
  </si>
  <si>
    <t>TR_STAFE_220</t>
  </si>
  <si>
    <t>TR_COLBUN_N1</t>
  </si>
  <si>
    <t>MINERO_220</t>
  </si>
  <si>
    <t>TR_TEMUCO66</t>
  </si>
  <si>
    <t>MAULE_220</t>
  </si>
  <si>
    <t>TR_CHILOE_110</t>
  </si>
  <si>
    <t>ATR_VALDIV_220</t>
  </si>
  <si>
    <t>ATR_LASTARR_220</t>
  </si>
  <si>
    <t>TR_HUALQUI_220</t>
  </si>
  <si>
    <t>TR_ITAHUE_N1</t>
  </si>
  <si>
    <t>CONCEPCION_220</t>
  </si>
  <si>
    <t>CHARRUA_154</t>
  </si>
  <si>
    <t>TINGUIRI_220</t>
  </si>
  <si>
    <t>TR_CPACIFICO</t>
  </si>
  <si>
    <t>TR_LGUINDOS</t>
  </si>
  <si>
    <t>l_CUNCO110</t>
  </si>
  <si>
    <t>TR_MARIQUINA</t>
  </si>
  <si>
    <t>ATR_PICHIRRO</t>
  </si>
  <si>
    <t>PILAUCO_220</t>
  </si>
  <si>
    <t>L_MAMPIL220</t>
  </si>
  <si>
    <t>L_RUCUE220</t>
  </si>
  <si>
    <t>FCR_154</t>
  </si>
  <si>
    <t>L_CMPC110</t>
  </si>
  <si>
    <t>L_STAMARIA220</t>
  </si>
  <si>
    <t>TR_DUQUE_N1</t>
  </si>
  <si>
    <t>TR_MATAQ_220</t>
  </si>
  <si>
    <t>TR_DICHATO</t>
  </si>
  <si>
    <t>TR_NVACAUQUE</t>
  </si>
  <si>
    <t>TR_NIRIVI</t>
  </si>
  <si>
    <t>TR_MAPA</t>
  </si>
  <si>
    <t>TR_VARONES</t>
  </si>
  <si>
    <t>ATR_METR_220_1</t>
  </si>
  <si>
    <t>TR_NVA_VALD</t>
  </si>
  <si>
    <t>Load2</t>
  </si>
  <si>
    <t>TR_PARGUA_220</t>
  </si>
  <si>
    <t>TR_MELIPULLI110</t>
  </si>
  <si>
    <t>L_LLANQUI</t>
  </si>
  <si>
    <t>L_PTOMONTT</t>
  </si>
  <si>
    <t>MELI_220_66</t>
  </si>
  <si>
    <t>TR_TUNICHE_N1</t>
  </si>
  <si>
    <t>P cargas original</t>
  </si>
  <si>
    <t>Monto a aumentar al original</t>
  </si>
  <si>
    <t>Delta desde Powerfactory</t>
  </si>
  <si>
    <t>Monto aumentar a prorata</t>
  </si>
  <si>
    <t>P cargas a proratear</t>
  </si>
  <si>
    <t>Participation factor</t>
  </si>
  <si>
    <t>P_new_3ph</t>
  </si>
  <si>
    <t>Delta P 3ph</t>
  </si>
  <si>
    <t>P_new</t>
  </si>
  <si>
    <t>Actual</t>
  </si>
  <si>
    <t>PF Confiabilidad V14</t>
  </si>
  <si>
    <t>Diferencia</t>
  </si>
  <si>
    <t xml:space="preserve">Cargas </t>
  </si>
  <si>
    <t>Participación</t>
  </si>
  <si>
    <t>Nuevo Monto</t>
  </si>
  <si>
    <t>PFV</t>
  </si>
  <si>
    <t>WP</t>
  </si>
  <si>
    <t>Generación</t>
  </si>
  <si>
    <t>P PFV total</t>
  </si>
  <si>
    <t>Nuevo P PFV</t>
  </si>
  <si>
    <t>Monto a aumentar</t>
  </si>
  <si>
    <t>suma previa</t>
  </si>
  <si>
    <t>suma nueva</t>
  </si>
  <si>
    <t>P PE total</t>
  </si>
  <si>
    <t>P PE Nuevo</t>
  </si>
  <si>
    <t>Suma PE participando</t>
  </si>
  <si>
    <t>SUR</t>
  </si>
  <si>
    <t>Esto ya esta check</t>
  </si>
  <si>
    <t>No usaremos PF</t>
  </si>
  <si>
    <t>p_mw_new_v0</t>
  </si>
  <si>
    <t>Suma PFV prorrata_v0</t>
  </si>
  <si>
    <t>Aumento_v0</t>
  </si>
  <si>
    <t>p_mw_new_v1</t>
  </si>
  <si>
    <t>P_pu_v1</t>
  </si>
  <si>
    <t>Monto a aumentar_v0</t>
  </si>
  <si>
    <t>Snom PFV Total</t>
  </si>
  <si>
    <t>p_pu_new_v0</t>
  </si>
  <si>
    <t>Participation factor_v1</t>
  </si>
  <si>
    <t>Sn_Total_Iteracion_1</t>
  </si>
  <si>
    <t>p_mw_new_vf</t>
  </si>
  <si>
    <t>P_pu_vf</t>
  </si>
  <si>
    <t>No se usa</t>
  </si>
  <si>
    <t>Despacho Nuevo</t>
  </si>
  <si>
    <t>Aumento</t>
  </si>
  <si>
    <t>p_pu_new</t>
  </si>
  <si>
    <t>Status</t>
  </si>
  <si>
    <t>P_new_v0</t>
  </si>
  <si>
    <t>P_new_v1</t>
  </si>
  <si>
    <t>p_pu_new_v1</t>
  </si>
  <si>
    <t>Monto Final</t>
  </si>
  <si>
    <t>Delta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</si>
</sst>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2" fontId="1" fillId="0" borderId="2" xfId="0" applyNumberFormat="1" applyFont="1" applyBorder="1" applyAlignment="1">
      <alignment horizontal="center" vertical="top"/>
    </xf>
    <xf numFmtId="1" fontId="1" fillId="0" borderId="2" xfId="0" applyNumberFormat="1" applyFont="1" applyBorder="1" applyAlignment="1">
      <alignment horizontal="center" vertical="top"/>
    </xf>
    <xf numFmtId="0" fontId="0" fillId="2" borderId="0" xfId="0" applyFill="1"/>
    <xf numFmtId="1" fontId="0" fillId="3" borderId="0" xfId="0" applyNumberFormat="1" applyFill="1"/>
    <xf numFmtId="2" fontId="0" fillId="0" borderId="0" xfId="0" applyNumberFormat="1"/>
    <xf numFmtId="1" fontId="0" fillId="2" borderId="0" xfId="0" applyNumberFormat="1" applyFill="1"/>
    <xf numFmtId="0" fontId="0" fillId="4" borderId="0" xfId="0" applyFill="1"/>
    <xf numFmtId="1" fontId="1" fillId="0" borderId="0" xfId="0" applyNumberFormat="1" applyFont="1" applyAlignment="1">
      <alignment horizontal="center" vertical="top"/>
    </xf>
    <xf numFmtId="0" fontId="0" fillId="5" borderId="0" xfId="0" applyFill="1"/>
    <xf numFmtId="1" fontId="0" fillId="5" borderId="0" xfId="0" applyNumberFormat="1" applyFill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4"/>
  <sheetViews>
    <sheetView topLeftCell="E1" zoomScale="55" zoomScaleNormal="55" workbookViewId="0">
      <selection activeCell="W34" sqref="W34"/>
    </sheetView>
  </sheetViews>
  <sheetFormatPr baseColWidth="10" defaultColWidth="9.08984375" defaultRowHeight="14.5" x14ac:dyDescent="0.35"/>
  <cols>
    <col min="1" max="1" width="25" bestFit="1" customWidth="1"/>
    <col min="2" max="2" width="15.7265625" customWidth="1"/>
    <col min="23" max="23" width="24" customWidth="1"/>
    <col min="24" max="24" width="17.36328125" customWidth="1"/>
    <col min="25" max="25" width="14.36328125" bestFit="1" customWidth="1"/>
    <col min="26" max="26" width="17.36328125" hidden="1" customWidth="1"/>
    <col min="27" max="27" width="12.81640625" hidden="1" customWidth="1"/>
    <col min="28" max="29" width="24.81640625" hidden="1" customWidth="1"/>
    <col min="30" max="30" width="11.1796875" hidden="1" customWidth="1"/>
    <col min="31" max="31" width="11.1796875" customWidth="1"/>
    <col min="32" max="32" width="19.453125" bestFit="1" customWidth="1"/>
  </cols>
  <sheetData>
    <row r="1" spans="1:3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123</v>
      </c>
      <c r="X1" s="1" t="s">
        <v>147</v>
      </c>
      <c r="Y1" s="1" t="s">
        <v>154</v>
      </c>
      <c r="Z1" s="4" t="s">
        <v>150</v>
      </c>
      <c r="AA1" s="10" t="s">
        <v>151</v>
      </c>
      <c r="AB1" s="3" t="s">
        <v>155</v>
      </c>
      <c r="AC1" s="4" t="s">
        <v>157</v>
      </c>
      <c r="AD1" s="10" t="s">
        <v>158</v>
      </c>
      <c r="AE1" s="10"/>
    </row>
    <row r="2" spans="1:33" x14ac:dyDescent="0.35">
      <c r="A2" t="s">
        <v>39</v>
      </c>
      <c r="B2" s="9" t="s">
        <v>39</v>
      </c>
      <c r="C2" t="s">
        <v>23</v>
      </c>
      <c r="D2" t="s">
        <v>24</v>
      </c>
      <c r="E2">
        <v>1</v>
      </c>
      <c r="F2" t="s">
        <v>23</v>
      </c>
      <c r="G2">
        <v>1</v>
      </c>
      <c r="H2">
        <v>33</v>
      </c>
      <c r="I2">
        <v>33</v>
      </c>
      <c r="J2">
        <v>1</v>
      </c>
      <c r="K2" t="s">
        <v>25</v>
      </c>
      <c r="L2">
        <v>2</v>
      </c>
      <c r="M2">
        <v>0.54777699999999996</v>
      </c>
      <c r="N2" t="s">
        <v>26</v>
      </c>
      <c r="O2">
        <v>1</v>
      </c>
      <c r="P2">
        <v>-0.1</v>
      </c>
      <c r="Q2" t="s">
        <v>26</v>
      </c>
      <c r="R2">
        <v>33</v>
      </c>
      <c r="S2">
        <v>18.076640999999999</v>
      </c>
      <c r="T2">
        <v>-3.3</v>
      </c>
      <c r="U2">
        <v>0.54777699999999996</v>
      </c>
      <c r="V2">
        <v>-0.1</v>
      </c>
      <c r="W2">
        <f>R2/$AG$5-0.004</f>
        <v>9.9064475347661191E-3</v>
      </c>
      <c r="X2">
        <f t="shared" ref="X2:X22" si="0">S2+W2*$AG$4</f>
        <v>23.692362070518371</v>
      </c>
      <c r="Y2">
        <f t="shared" ref="Y2:Y22" si="1">X2/R2</f>
        <v>0.71795036577328397</v>
      </c>
      <c r="Z2">
        <f t="shared" ref="Z2:Z22" si="2">IF(Y2&gt;=0.85,0.85*R2,S2)</f>
        <v>18.076640999999999</v>
      </c>
      <c r="AA2">
        <f t="shared" ref="AA2:AA22" si="3">Z2/R2</f>
        <v>0.54777699999999996</v>
      </c>
      <c r="AB2">
        <f t="shared" ref="AB2:AB22" si="4">IF(AA2&gt;0.8,0,R2/$AG$14)</f>
        <v>1.3906447534766119E-2</v>
      </c>
      <c r="AC2">
        <f t="shared" ref="AC2:AC22" si="5">IF(AA2=0.85,Z2,S2+AB2*$AG$13)</f>
        <v>25.959863533907875</v>
      </c>
      <c r="AD2">
        <f t="shared" ref="AD2:AD22" si="6">AC2/R2</f>
        <v>0.78666253133054165</v>
      </c>
      <c r="AF2" t="s">
        <v>136</v>
      </c>
      <c r="AG2">
        <f>SUM(S2:S22)</f>
        <v>522.46490792000009</v>
      </c>
    </row>
    <row r="3" spans="1:33" x14ac:dyDescent="0.35">
      <c r="A3" t="s">
        <v>46</v>
      </c>
      <c r="B3" s="9" t="s">
        <v>46</v>
      </c>
      <c r="C3" t="s">
        <v>23</v>
      </c>
      <c r="D3" t="s">
        <v>24</v>
      </c>
      <c r="E3">
        <v>1</v>
      </c>
      <c r="F3" t="s">
        <v>23</v>
      </c>
      <c r="G3">
        <v>1</v>
      </c>
      <c r="H3">
        <v>3</v>
      </c>
      <c r="I3">
        <v>3</v>
      </c>
      <c r="J3">
        <v>1</v>
      </c>
      <c r="K3" t="s">
        <v>25</v>
      </c>
      <c r="L3">
        <v>2</v>
      </c>
      <c r="M3">
        <v>0.54777699999999996</v>
      </c>
      <c r="N3" t="s">
        <v>26</v>
      </c>
      <c r="O3">
        <v>1</v>
      </c>
      <c r="P3">
        <v>-0.1</v>
      </c>
      <c r="Q3" t="s">
        <v>26</v>
      </c>
      <c r="R3">
        <v>3</v>
      </c>
      <c r="S3">
        <v>1.6433310000000001</v>
      </c>
      <c r="T3">
        <v>-0.3</v>
      </c>
      <c r="U3">
        <v>0.54777699999999996</v>
      </c>
      <c r="V3">
        <v>-0.1</v>
      </c>
      <c r="W3">
        <f>R3/$AG$5-0.0004</f>
        <v>8.642225031605564E-4</v>
      </c>
      <c r="X3">
        <f t="shared" si="0"/>
        <v>2.1332374476526752</v>
      </c>
      <c r="Y3">
        <f t="shared" si="1"/>
        <v>0.71107914921755844</v>
      </c>
      <c r="Z3">
        <f t="shared" si="2"/>
        <v>1.6433310000000001</v>
      </c>
      <c r="AA3">
        <f t="shared" si="3"/>
        <v>0.54777700000000007</v>
      </c>
      <c r="AB3">
        <f t="shared" si="4"/>
        <v>1.2642225031605564E-3</v>
      </c>
      <c r="AC3">
        <f t="shared" si="5"/>
        <v>2.3599875939916251</v>
      </c>
      <c r="AD3">
        <f t="shared" si="6"/>
        <v>0.78666253133054165</v>
      </c>
      <c r="AF3" t="s">
        <v>137</v>
      </c>
      <c r="AG3" s="2">
        <f>Resumen!G13</f>
        <v>1089.3402737673755</v>
      </c>
    </row>
    <row r="4" spans="1:33" x14ac:dyDescent="0.35">
      <c r="A4" t="s">
        <v>41</v>
      </c>
      <c r="B4" s="9" t="s">
        <v>41</v>
      </c>
      <c r="C4" t="s">
        <v>23</v>
      </c>
      <c r="D4" t="s">
        <v>24</v>
      </c>
      <c r="E4">
        <v>1</v>
      </c>
      <c r="F4" t="s">
        <v>23</v>
      </c>
      <c r="G4">
        <v>1</v>
      </c>
      <c r="H4">
        <v>29</v>
      </c>
      <c r="I4">
        <v>29</v>
      </c>
      <c r="J4">
        <v>1</v>
      </c>
      <c r="K4" t="s">
        <v>25</v>
      </c>
      <c r="L4">
        <v>2</v>
      </c>
      <c r="M4">
        <v>0.54777699999999996</v>
      </c>
      <c r="N4" t="s">
        <v>26</v>
      </c>
      <c r="O4">
        <v>1</v>
      </c>
      <c r="P4">
        <v>0</v>
      </c>
      <c r="Q4" t="s">
        <v>26</v>
      </c>
      <c r="R4">
        <v>29</v>
      </c>
      <c r="S4">
        <v>15.885533000000001</v>
      </c>
      <c r="T4">
        <v>0</v>
      </c>
      <c r="U4">
        <v>0.54777699999999996</v>
      </c>
      <c r="V4">
        <v>0</v>
      </c>
      <c r="W4">
        <f>R4/$AG$5-0.004</f>
        <v>8.2208175305520433E-3</v>
      </c>
      <c r="X4">
        <f t="shared" si="0"/>
        <v>20.545711945196206</v>
      </c>
      <c r="Y4">
        <f t="shared" si="1"/>
        <v>0.70847282569642089</v>
      </c>
      <c r="Z4">
        <f t="shared" si="2"/>
        <v>15.885533000000001</v>
      </c>
      <c r="AA4">
        <f t="shared" si="3"/>
        <v>0.54777700000000007</v>
      </c>
      <c r="AB4">
        <f t="shared" si="4"/>
        <v>1.2220817530552043E-2</v>
      </c>
      <c r="AC4">
        <f t="shared" si="5"/>
        <v>22.81321340858571</v>
      </c>
      <c r="AD4">
        <f t="shared" si="6"/>
        <v>0.78666253133054176</v>
      </c>
      <c r="AF4" t="s">
        <v>138</v>
      </c>
      <c r="AG4" s="2">
        <f>AG3-AG2</f>
        <v>566.87536584737541</v>
      </c>
    </row>
    <row r="5" spans="1:33" x14ac:dyDescent="0.35">
      <c r="A5" t="s">
        <v>42</v>
      </c>
      <c r="B5" s="9" t="s">
        <v>42</v>
      </c>
      <c r="C5" t="s">
        <v>23</v>
      </c>
      <c r="D5" t="s">
        <v>24</v>
      </c>
      <c r="E5">
        <v>1</v>
      </c>
      <c r="F5" t="s">
        <v>23</v>
      </c>
      <c r="G5">
        <v>1</v>
      </c>
      <c r="H5">
        <v>30</v>
      </c>
      <c r="I5">
        <v>30</v>
      </c>
      <c r="J5">
        <v>1</v>
      </c>
      <c r="K5" t="s">
        <v>25</v>
      </c>
      <c r="L5">
        <v>2</v>
      </c>
      <c r="M5">
        <v>0.54777699999999996</v>
      </c>
      <c r="N5" t="s">
        <v>26</v>
      </c>
      <c r="O5">
        <v>1</v>
      </c>
      <c r="P5">
        <v>-0.1</v>
      </c>
      <c r="Q5" t="s">
        <v>26</v>
      </c>
      <c r="R5">
        <v>30</v>
      </c>
      <c r="S5">
        <v>16.433309999999999</v>
      </c>
      <c r="T5">
        <v>-3</v>
      </c>
      <c r="U5">
        <v>0.54777699999999996</v>
      </c>
      <c r="V5">
        <v>-0.1</v>
      </c>
      <c r="W5">
        <f>R5/$AG$5-0.004</f>
        <v>8.6422250316055618E-3</v>
      </c>
      <c r="X5">
        <f t="shared" si="0"/>
        <v>21.332374476526745</v>
      </c>
      <c r="Y5">
        <f t="shared" si="1"/>
        <v>0.71107914921755822</v>
      </c>
      <c r="Z5">
        <f t="shared" si="2"/>
        <v>16.433309999999999</v>
      </c>
      <c r="AA5">
        <f t="shared" si="3"/>
        <v>0.54777699999999996</v>
      </c>
      <c r="AB5">
        <f t="shared" si="4"/>
        <v>1.2642225031605562E-2</v>
      </c>
      <c r="AC5">
        <f t="shared" si="5"/>
        <v>23.599875939916249</v>
      </c>
      <c r="AD5">
        <f t="shared" si="6"/>
        <v>0.78666253133054165</v>
      </c>
      <c r="AF5" t="s">
        <v>153</v>
      </c>
      <c r="AG5">
        <f>SUM(R2:R22)</f>
        <v>2373</v>
      </c>
    </row>
    <row r="6" spans="1:33" x14ac:dyDescent="0.35">
      <c r="A6" t="s">
        <v>44</v>
      </c>
      <c r="B6" s="9" t="s">
        <v>44</v>
      </c>
      <c r="C6" t="s">
        <v>23</v>
      </c>
      <c r="D6" t="s">
        <v>24</v>
      </c>
      <c r="E6">
        <v>1</v>
      </c>
      <c r="F6" t="s">
        <v>23</v>
      </c>
      <c r="G6">
        <v>1</v>
      </c>
      <c r="H6">
        <v>49</v>
      </c>
      <c r="I6">
        <v>49</v>
      </c>
      <c r="J6">
        <v>1</v>
      </c>
      <c r="K6" t="s">
        <v>25</v>
      </c>
      <c r="L6">
        <v>2</v>
      </c>
      <c r="M6">
        <v>0.54777699999999996</v>
      </c>
      <c r="N6" t="s">
        <v>26</v>
      </c>
      <c r="O6">
        <v>1</v>
      </c>
      <c r="P6">
        <v>-0.1</v>
      </c>
      <c r="Q6" t="s">
        <v>26</v>
      </c>
      <c r="R6">
        <v>49</v>
      </c>
      <c r="S6">
        <v>26.841073000000002</v>
      </c>
      <c r="T6">
        <v>-4.9000000000000004</v>
      </c>
      <c r="U6">
        <v>0.54777699999999996</v>
      </c>
      <c r="V6">
        <v>-0.1</v>
      </c>
      <c r="W6">
        <f>R6/$AG$5-0.007</f>
        <v>1.3648967551622419E-2</v>
      </c>
      <c r="X6">
        <f t="shared" si="0"/>
        <v>34.578336474264916</v>
      </c>
      <c r="Y6">
        <f t="shared" si="1"/>
        <v>0.70568033620948811</v>
      </c>
      <c r="Z6">
        <f t="shared" si="2"/>
        <v>26.841073000000002</v>
      </c>
      <c r="AA6">
        <f t="shared" si="3"/>
        <v>0.54777700000000007</v>
      </c>
      <c r="AB6">
        <f t="shared" si="4"/>
        <v>2.0648967551622419E-2</v>
      </c>
      <c r="AC6">
        <f t="shared" si="5"/>
        <v>38.546464035196543</v>
      </c>
      <c r="AD6">
        <f t="shared" si="6"/>
        <v>0.78666253133054165</v>
      </c>
      <c r="AF6" t="s">
        <v>160</v>
      </c>
      <c r="AG6">
        <f>SUM(X2:X22)</f>
        <v>1089.3402737673755</v>
      </c>
    </row>
    <row r="7" spans="1:33" x14ac:dyDescent="0.35">
      <c r="A7" t="s">
        <v>38</v>
      </c>
      <c r="B7" s="9" t="s">
        <v>38</v>
      </c>
      <c r="C7" t="s">
        <v>23</v>
      </c>
      <c r="D7" t="s">
        <v>24</v>
      </c>
      <c r="E7">
        <v>1</v>
      </c>
      <c r="F7" t="s">
        <v>23</v>
      </c>
      <c r="G7">
        <v>1</v>
      </c>
      <c r="H7">
        <v>249</v>
      </c>
      <c r="I7">
        <v>249</v>
      </c>
      <c r="J7">
        <v>1</v>
      </c>
      <c r="K7" t="s">
        <v>25</v>
      </c>
      <c r="L7">
        <v>2</v>
      </c>
      <c r="M7">
        <v>0.45</v>
      </c>
      <c r="N7" t="s">
        <v>26</v>
      </c>
      <c r="O7">
        <v>1</v>
      </c>
      <c r="P7">
        <v>-0.1</v>
      </c>
      <c r="Q7" t="s">
        <v>26</v>
      </c>
      <c r="R7">
        <v>249</v>
      </c>
      <c r="S7">
        <v>112.05</v>
      </c>
      <c r="T7">
        <v>-24.9</v>
      </c>
      <c r="U7">
        <v>0.45</v>
      </c>
      <c r="V7">
        <v>-0.1</v>
      </c>
      <c r="W7">
        <f t="shared" ref="W7:W17" si="7">R7/$AG$5</f>
        <v>0.10493046776232617</v>
      </c>
      <c r="X7">
        <f t="shared" si="0"/>
        <v>171.53249730130489</v>
      </c>
      <c r="Y7">
        <f t="shared" si="1"/>
        <v>0.68888553133054176</v>
      </c>
      <c r="Z7">
        <f t="shared" si="2"/>
        <v>112.05</v>
      </c>
      <c r="AA7">
        <f t="shared" si="3"/>
        <v>0.45</v>
      </c>
      <c r="AB7">
        <f t="shared" si="4"/>
        <v>0.10493046776232617</v>
      </c>
      <c r="AC7">
        <f t="shared" si="5"/>
        <v>171.53249730130489</v>
      </c>
      <c r="AD7">
        <f t="shared" si="6"/>
        <v>0.68888553133054176</v>
      </c>
      <c r="AF7" t="s">
        <v>161</v>
      </c>
      <c r="AG7">
        <f>AG6-AG2</f>
        <v>566.87536584737541</v>
      </c>
    </row>
    <row r="8" spans="1:33" x14ac:dyDescent="0.35">
      <c r="A8" t="s">
        <v>40</v>
      </c>
      <c r="B8" s="9" t="s">
        <v>40</v>
      </c>
      <c r="C8" t="s">
        <v>23</v>
      </c>
      <c r="D8" t="s">
        <v>24</v>
      </c>
      <c r="E8">
        <v>1</v>
      </c>
      <c r="F8" t="s">
        <v>23</v>
      </c>
      <c r="G8">
        <v>1</v>
      </c>
      <c r="H8">
        <v>91</v>
      </c>
      <c r="I8">
        <v>91</v>
      </c>
      <c r="J8">
        <v>1</v>
      </c>
      <c r="K8" t="s">
        <v>25</v>
      </c>
      <c r="L8">
        <v>2</v>
      </c>
      <c r="M8">
        <v>0.45</v>
      </c>
      <c r="N8" t="s">
        <v>26</v>
      </c>
      <c r="O8">
        <v>1</v>
      </c>
      <c r="P8">
        <v>-0.1</v>
      </c>
      <c r="Q8" t="s">
        <v>26</v>
      </c>
      <c r="R8">
        <v>91</v>
      </c>
      <c r="S8">
        <v>40.950000000000003</v>
      </c>
      <c r="T8">
        <v>-9.1</v>
      </c>
      <c r="U8">
        <v>0.45</v>
      </c>
      <c r="V8">
        <v>-0.1</v>
      </c>
      <c r="W8">
        <f t="shared" si="7"/>
        <v>3.8348082595870206E-2</v>
      </c>
      <c r="X8">
        <f t="shared" si="0"/>
        <v>62.688583351079295</v>
      </c>
      <c r="Y8">
        <f t="shared" si="1"/>
        <v>0.68888553133054176</v>
      </c>
      <c r="Z8">
        <f t="shared" si="2"/>
        <v>40.950000000000003</v>
      </c>
      <c r="AA8">
        <f t="shared" si="3"/>
        <v>0.45</v>
      </c>
      <c r="AB8">
        <f t="shared" si="4"/>
        <v>3.8348082595870206E-2</v>
      </c>
      <c r="AC8">
        <f t="shared" si="5"/>
        <v>62.688583351079295</v>
      </c>
      <c r="AD8">
        <f t="shared" si="6"/>
        <v>0.68888553133054176</v>
      </c>
    </row>
    <row r="9" spans="1:33" x14ac:dyDescent="0.35">
      <c r="A9" t="s">
        <v>22</v>
      </c>
      <c r="B9" s="9" t="s">
        <v>22</v>
      </c>
      <c r="C9" t="s">
        <v>23</v>
      </c>
      <c r="D9" t="s">
        <v>24</v>
      </c>
      <c r="E9">
        <v>1</v>
      </c>
      <c r="F9" t="s">
        <v>23</v>
      </c>
      <c r="G9">
        <v>1</v>
      </c>
      <c r="H9">
        <v>197</v>
      </c>
      <c r="I9">
        <v>197</v>
      </c>
      <c r="J9">
        <v>1</v>
      </c>
      <c r="K9" t="s">
        <v>25</v>
      </c>
      <c r="L9">
        <v>2</v>
      </c>
      <c r="M9">
        <v>0.45</v>
      </c>
      <c r="N9" t="s">
        <v>26</v>
      </c>
      <c r="O9">
        <v>1</v>
      </c>
      <c r="P9">
        <v>-0.1</v>
      </c>
      <c r="Q9" t="s">
        <v>26</v>
      </c>
      <c r="R9">
        <v>197</v>
      </c>
      <c r="S9">
        <v>88.65</v>
      </c>
      <c r="T9">
        <v>-19.7</v>
      </c>
      <c r="U9">
        <v>0.45</v>
      </c>
      <c r="V9">
        <v>-0.1</v>
      </c>
      <c r="W9">
        <f t="shared" si="7"/>
        <v>8.3017277707543191E-2</v>
      </c>
      <c r="X9">
        <f t="shared" si="0"/>
        <v>135.71044967211671</v>
      </c>
      <c r="Y9">
        <f t="shared" si="1"/>
        <v>0.68888553133054165</v>
      </c>
      <c r="Z9">
        <f t="shared" si="2"/>
        <v>88.65</v>
      </c>
      <c r="AA9">
        <f t="shared" si="3"/>
        <v>0.45</v>
      </c>
      <c r="AB9">
        <f t="shared" si="4"/>
        <v>8.3017277707543191E-2</v>
      </c>
      <c r="AC9">
        <f t="shared" si="5"/>
        <v>135.71044967211671</v>
      </c>
      <c r="AD9">
        <f t="shared" si="6"/>
        <v>0.68888553133054165</v>
      </c>
    </row>
    <row r="10" spans="1:33" x14ac:dyDescent="0.35">
      <c r="A10" t="s">
        <v>33</v>
      </c>
      <c r="B10" s="9" t="s">
        <v>33</v>
      </c>
      <c r="C10" t="s">
        <v>23</v>
      </c>
      <c r="D10" t="s">
        <v>24</v>
      </c>
      <c r="E10">
        <v>1</v>
      </c>
      <c r="F10" t="s">
        <v>23</v>
      </c>
      <c r="G10">
        <v>1</v>
      </c>
      <c r="H10">
        <v>154</v>
      </c>
      <c r="I10">
        <v>154</v>
      </c>
      <c r="J10">
        <v>1</v>
      </c>
      <c r="K10" t="s">
        <v>25</v>
      </c>
      <c r="L10">
        <v>2</v>
      </c>
      <c r="M10">
        <v>0.45</v>
      </c>
      <c r="N10" t="s">
        <v>26</v>
      </c>
      <c r="O10">
        <v>1</v>
      </c>
      <c r="P10">
        <v>-0.1</v>
      </c>
      <c r="Q10" t="s">
        <v>26</v>
      </c>
      <c r="R10">
        <v>154</v>
      </c>
      <c r="S10">
        <v>69.3</v>
      </c>
      <c r="T10">
        <v>-15.4</v>
      </c>
      <c r="U10">
        <v>0.45</v>
      </c>
      <c r="V10">
        <v>-0.1</v>
      </c>
      <c r="W10">
        <f t="shared" si="7"/>
        <v>6.4896755162241887E-2</v>
      </c>
      <c r="X10">
        <f t="shared" si="0"/>
        <v>106.08837182490342</v>
      </c>
      <c r="Y10">
        <f t="shared" si="1"/>
        <v>0.68888553133054165</v>
      </c>
      <c r="Z10">
        <f t="shared" si="2"/>
        <v>69.3</v>
      </c>
      <c r="AA10">
        <f t="shared" si="3"/>
        <v>0.44999999999999996</v>
      </c>
      <c r="AB10">
        <f t="shared" si="4"/>
        <v>6.4896755162241887E-2</v>
      </c>
      <c r="AC10">
        <f t="shared" si="5"/>
        <v>106.08837182490342</v>
      </c>
      <c r="AD10">
        <f t="shared" si="6"/>
        <v>0.68888553133054165</v>
      </c>
      <c r="AF10" s="11" t="s">
        <v>159</v>
      </c>
    </row>
    <row r="11" spans="1:33" x14ac:dyDescent="0.35">
      <c r="A11" t="s">
        <v>32</v>
      </c>
      <c r="B11" t="s">
        <v>32</v>
      </c>
      <c r="C11" t="s">
        <v>23</v>
      </c>
      <c r="D11" t="s">
        <v>24</v>
      </c>
      <c r="E11">
        <v>1</v>
      </c>
      <c r="F11" t="s">
        <v>23</v>
      </c>
      <c r="G11">
        <v>1</v>
      </c>
      <c r="H11">
        <v>177</v>
      </c>
      <c r="I11">
        <v>177</v>
      </c>
      <c r="J11">
        <v>1</v>
      </c>
      <c r="K11" t="s">
        <v>25</v>
      </c>
      <c r="L11">
        <v>2</v>
      </c>
      <c r="M11">
        <v>0.1</v>
      </c>
      <c r="N11" t="s">
        <v>26</v>
      </c>
      <c r="O11">
        <v>1</v>
      </c>
      <c r="P11">
        <v>-0.05</v>
      </c>
      <c r="Q11" t="s">
        <v>26</v>
      </c>
      <c r="R11">
        <v>177</v>
      </c>
      <c r="S11">
        <v>17.7</v>
      </c>
      <c r="T11">
        <v>-8.85</v>
      </c>
      <c r="U11">
        <v>0.1</v>
      </c>
      <c r="V11">
        <v>-0.05</v>
      </c>
      <c r="W11">
        <f t="shared" si="7"/>
        <v>7.4589127686472814E-2</v>
      </c>
      <c r="X11">
        <f t="shared" si="0"/>
        <v>59.98273904550588</v>
      </c>
      <c r="Y11">
        <f t="shared" si="1"/>
        <v>0.33888553133054172</v>
      </c>
      <c r="Z11">
        <f t="shared" si="2"/>
        <v>17.7</v>
      </c>
      <c r="AA11">
        <f t="shared" si="3"/>
        <v>9.9999999999999992E-2</v>
      </c>
      <c r="AB11">
        <f t="shared" si="4"/>
        <v>7.4589127686472814E-2</v>
      </c>
      <c r="AC11">
        <f t="shared" si="5"/>
        <v>59.98273904550588</v>
      </c>
      <c r="AD11">
        <f t="shared" si="6"/>
        <v>0.33888553133054172</v>
      </c>
      <c r="AF11" s="11" t="s">
        <v>148</v>
      </c>
      <c r="AG11" s="11">
        <f>SUM(Z2:Z22)</f>
        <v>522.46490792000009</v>
      </c>
    </row>
    <row r="12" spans="1:33" x14ac:dyDescent="0.35">
      <c r="A12" t="s">
        <v>45</v>
      </c>
      <c r="B12" t="s">
        <v>45</v>
      </c>
      <c r="C12" t="s">
        <v>23</v>
      </c>
      <c r="D12" t="s">
        <v>24</v>
      </c>
      <c r="E12">
        <v>1</v>
      </c>
      <c r="F12" t="s">
        <v>23</v>
      </c>
      <c r="G12">
        <v>1</v>
      </c>
      <c r="H12">
        <v>11</v>
      </c>
      <c r="I12">
        <v>11</v>
      </c>
      <c r="J12">
        <v>1</v>
      </c>
      <c r="K12" t="s">
        <v>25</v>
      </c>
      <c r="L12">
        <v>2</v>
      </c>
      <c r="M12">
        <v>0.1</v>
      </c>
      <c r="N12" t="s">
        <v>26</v>
      </c>
      <c r="O12">
        <v>1</v>
      </c>
      <c r="P12">
        <v>-0.1</v>
      </c>
      <c r="Q12" t="s">
        <v>26</v>
      </c>
      <c r="R12">
        <v>11</v>
      </c>
      <c r="S12">
        <v>1.1000000000000001</v>
      </c>
      <c r="T12">
        <v>-1.1000000000000001</v>
      </c>
      <c r="U12">
        <v>0.1</v>
      </c>
      <c r="V12">
        <v>-0.1</v>
      </c>
      <c r="W12">
        <f t="shared" si="7"/>
        <v>4.6354825115887061E-3</v>
      </c>
      <c r="X12">
        <f t="shared" si="0"/>
        <v>3.7277408446359583</v>
      </c>
      <c r="Y12">
        <f t="shared" si="1"/>
        <v>0.33888553133054167</v>
      </c>
      <c r="Z12">
        <f t="shared" si="2"/>
        <v>1.1000000000000001</v>
      </c>
      <c r="AA12">
        <f t="shared" si="3"/>
        <v>0.1</v>
      </c>
      <c r="AB12">
        <f t="shared" si="4"/>
        <v>4.6354825115887061E-3</v>
      </c>
      <c r="AC12">
        <f t="shared" si="5"/>
        <v>3.7277408446359583</v>
      </c>
      <c r="AD12">
        <f t="shared" si="6"/>
        <v>0.33888553133054167</v>
      </c>
      <c r="AF12" s="11" t="s">
        <v>149</v>
      </c>
      <c r="AG12" s="11">
        <f>AG11-AG2</f>
        <v>0</v>
      </c>
    </row>
    <row r="13" spans="1:33" x14ac:dyDescent="0.35">
      <c r="A13" t="s">
        <v>30</v>
      </c>
      <c r="B13" t="s">
        <v>30</v>
      </c>
      <c r="C13" t="s">
        <v>23</v>
      </c>
      <c r="D13" t="s">
        <v>24</v>
      </c>
      <c r="E13">
        <v>1</v>
      </c>
      <c r="F13" t="s">
        <v>23</v>
      </c>
      <c r="G13">
        <v>1</v>
      </c>
      <c r="H13">
        <v>110</v>
      </c>
      <c r="I13">
        <v>110</v>
      </c>
      <c r="J13">
        <v>1</v>
      </c>
      <c r="K13" t="s">
        <v>25</v>
      </c>
      <c r="L13">
        <v>2</v>
      </c>
      <c r="M13">
        <v>0.1</v>
      </c>
      <c r="N13" t="s">
        <v>26</v>
      </c>
      <c r="O13">
        <v>1</v>
      </c>
      <c r="P13">
        <v>-0.05</v>
      </c>
      <c r="Q13" t="s">
        <v>26</v>
      </c>
      <c r="R13">
        <v>110</v>
      </c>
      <c r="S13">
        <v>11</v>
      </c>
      <c r="T13">
        <v>-5.5</v>
      </c>
      <c r="U13">
        <v>0.1</v>
      </c>
      <c r="V13">
        <v>-0.05</v>
      </c>
      <c r="W13">
        <f t="shared" si="7"/>
        <v>4.6354825115887066E-2</v>
      </c>
      <c r="X13">
        <f t="shared" si="0"/>
        <v>37.277408446359587</v>
      </c>
      <c r="Y13">
        <f t="shared" si="1"/>
        <v>0.33888553133054172</v>
      </c>
      <c r="Z13">
        <f t="shared" si="2"/>
        <v>11</v>
      </c>
      <c r="AA13">
        <f t="shared" si="3"/>
        <v>0.1</v>
      </c>
      <c r="AB13">
        <f t="shared" si="4"/>
        <v>4.6354825115887066E-2</v>
      </c>
      <c r="AC13">
        <f t="shared" si="5"/>
        <v>37.277408446359587</v>
      </c>
      <c r="AD13">
        <f t="shared" si="6"/>
        <v>0.33888553133054172</v>
      </c>
      <c r="AF13" s="11" t="s">
        <v>152</v>
      </c>
      <c r="AG13" s="12">
        <f>AG3-AG11</f>
        <v>566.87536584737541</v>
      </c>
    </row>
    <row r="14" spans="1:33" x14ac:dyDescent="0.35">
      <c r="A14" t="s">
        <v>34</v>
      </c>
      <c r="B14" t="s">
        <v>34</v>
      </c>
      <c r="C14" t="s">
        <v>23</v>
      </c>
      <c r="D14" t="s">
        <v>24</v>
      </c>
      <c r="E14">
        <v>1</v>
      </c>
      <c r="F14" t="s">
        <v>23</v>
      </c>
      <c r="G14">
        <v>1</v>
      </c>
      <c r="H14">
        <v>52</v>
      </c>
      <c r="I14">
        <v>52</v>
      </c>
      <c r="J14">
        <v>1</v>
      </c>
      <c r="K14" t="s">
        <v>25</v>
      </c>
      <c r="L14">
        <v>2</v>
      </c>
      <c r="M14">
        <v>0.1</v>
      </c>
      <c r="N14" t="s">
        <v>26</v>
      </c>
      <c r="O14">
        <v>1</v>
      </c>
      <c r="P14">
        <v>0</v>
      </c>
      <c r="Q14" t="s">
        <v>26</v>
      </c>
      <c r="R14">
        <v>52</v>
      </c>
      <c r="S14">
        <v>5.2</v>
      </c>
      <c r="T14">
        <v>0</v>
      </c>
      <c r="U14">
        <v>0.1</v>
      </c>
      <c r="V14">
        <v>0</v>
      </c>
      <c r="W14">
        <f t="shared" si="7"/>
        <v>2.1913190054782976E-2</v>
      </c>
      <c r="X14">
        <f t="shared" si="0"/>
        <v>17.622047629188167</v>
      </c>
      <c r="Y14">
        <f t="shared" si="1"/>
        <v>0.33888553133054167</v>
      </c>
      <c r="Z14">
        <f t="shared" si="2"/>
        <v>5.2</v>
      </c>
      <c r="AA14">
        <f t="shared" si="3"/>
        <v>0.1</v>
      </c>
      <c r="AB14">
        <f t="shared" si="4"/>
        <v>2.1913190054782976E-2</v>
      </c>
      <c r="AC14">
        <f t="shared" si="5"/>
        <v>17.622047629188167</v>
      </c>
      <c r="AD14">
        <f t="shared" si="6"/>
        <v>0.33888553133054167</v>
      </c>
      <c r="AF14" s="11" t="s">
        <v>156</v>
      </c>
      <c r="AG14" s="11">
        <f>SUM(R2:R22)-SUMIF(AA2:AA22,"&gt;0.82",R2:R22)</f>
        <v>2373</v>
      </c>
    </row>
    <row r="15" spans="1:33" x14ac:dyDescent="0.35">
      <c r="A15" t="s">
        <v>36</v>
      </c>
      <c r="B15" t="s">
        <v>36</v>
      </c>
      <c r="C15" t="s">
        <v>23</v>
      </c>
      <c r="D15" t="s">
        <v>24</v>
      </c>
      <c r="E15">
        <v>1</v>
      </c>
      <c r="F15" t="s">
        <v>23</v>
      </c>
      <c r="G15">
        <v>1</v>
      </c>
      <c r="H15">
        <v>186</v>
      </c>
      <c r="I15">
        <v>186</v>
      </c>
      <c r="J15">
        <v>1</v>
      </c>
      <c r="K15" t="s">
        <v>25</v>
      </c>
      <c r="L15">
        <v>2</v>
      </c>
      <c r="M15">
        <v>0.1</v>
      </c>
      <c r="N15" t="s">
        <v>26</v>
      </c>
      <c r="O15">
        <v>1</v>
      </c>
      <c r="P15">
        <v>0</v>
      </c>
      <c r="Q15" t="s">
        <v>26</v>
      </c>
      <c r="R15">
        <v>186</v>
      </c>
      <c r="S15">
        <v>18.600000000000001</v>
      </c>
      <c r="T15">
        <v>0</v>
      </c>
      <c r="U15">
        <v>0.1</v>
      </c>
      <c r="V15">
        <v>0</v>
      </c>
      <c r="W15">
        <f t="shared" si="7"/>
        <v>7.8381795195954493E-2</v>
      </c>
      <c r="X15">
        <f t="shared" si="0"/>
        <v>63.032708827480754</v>
      </c>
      <c r="Y15">
        <f t="shared" si="1"/>
        <v>0.33888553133054167</v>
      </c>
      <c r="Z15">
        <f t="shared" si="2"/>
        <v>18.600000000000001</v>
      </c>
      <c r="AA15">
        <f t="shared" si="3"/>
        <v>0.1</v>
      </c>
      <c r="AB15">
        <f t="shared" si="4"/>
        <v>7.8381795195954493E-2</v>
      </c>
      <c r="AC15">
        <f t="shared" si="5"/>
        <v>63.032708827480754</v>
      </c>
      <c r="AD15">
        <f t="shared" si="6"/>
        <v>0.33888553133054167</v>
      </c>
      <c r="AF15" s="11"/>
      <c r="AG15" s="11"/>
    </row>
    <row r="16" spans="1:33" x14ac:dyDescent="0.35">
      <c r="A16" t="s">
        <v>37</v>
      </c>
      <c r="B16" t="s">
        <v>37</v>
      </c>
      <c r="C16" t="s">
        <v>23</v>
      </c>
      <c r="D16" t="s">
        <v>24</v>
      </c>
      <c r="E16">
        <v>1</v>
      </c>
      <c r="F16" t="s">
        <v>23</v>
      </c>
      <c r="G16">
        <v>1</v>
      </c>
      <c r="H16">
        <v>115</v>
      </c>
      <c r="I16">
        <v>115</v>
      </c>
      <c r="J16">
        <v>1</v>
      </c>
      <c r="K16" t="s">
        <v>25</v>
      </c>
      <c r="L16">
        <v>2</v>
      </c>
      <c r="M16">
        <v>0.1</v>
      </c>
      <c r="N16" t="s">
        <v>26</v>
      </c>
      <c r="O16">
        <v>1</v>
      </c>
      <c r="P16">
        <v>-0.1</v>
      </c>
      <c r="Q16" t="s">
        <v>26</v>
      </c>
      <c r="R16">
        <v>115</v>
      </c>
      <c r="S16">
        <v>11.5</v>
      </c>
      <c r="T16">
        <v>-11.5</v>
      </c>
      <c r="U16">
        <v>0.1</v>
      </c>
      <c r="V16">
        <v>-0.1</v>
      </c>
      <c r="W16">
        <f t="shared" si="7"/>
        <v>4.8461862621154657E-2</v>
      </c>
      <c r="X16">
        <f t="shared" si="0"/>
        <v>38.971836103012294</v>
      </c>
      <c r="Y16">
        <f t="shared" si="1"/>
        <v>0.33888553133054167</v>
      </c>
      <c r="Z16">
        <f t="shared" si="2"/>
        <v>11.5</v>
      </c>
      <c r="AA16">
        <f t="shared" si="3"/>
        <v>0.1</v>
      </c>
      <c r="AB16">
        <f t="shared" si="4"/>
        <v>4.8461862621154657E-2</v>
      </c>
      <c r="AC16">
        <f t="shared" si="5"/>
        <v>38.971836103012294</v>
      </c>
      <c r="AD16">
        <f t="shared" si="6"/>
        <v>0.33888553133054167</v>
      </c>
      <c r="AF16" s="11" t="s">
        <v>139</v>
      </c>
      <c r="AG16" s="11">
        <f>SUM(N2:N7)</f>
        <v>0</v>
      </c>
    </row>
    <row r="17" spans="1:33" x14ac:dyDescent="0.35">
      <c r="A17" t="s">
        <v>43</v>
      </c>
      <c r="B17" t="s">
        <v>43</v>
      </c>
      <c r="C17" t="s">
        <v>23</v>
      </c>
      <c r="D17" t="s">
        <v>24</v>
      </c>
      <c r="E17">
        <v>1</v>
      </c>
      <c r="F17" t="s">
        <v>23</v>
      </c>
      <c r="G17">
        <v>1</v>
      </c>
      <c r="H17">
        <v>241</v>
      </c>
      <c r="I17">
        <v>241</v>
      </c>
      <c r="J17">
        <v>1</v>
      </c>
      <c r="K17" t="s">
        <v>25</v>
      </c>
      <c r="L17">
        <v>2</v>
      </c>
      <c r="M17">
        <v>0.1</v>
      </c>
      <c r="N17" t="s">
        <v>26</v>
      </c>
      <c r="O17">
        <v>1</v>
      </c>
      <c r="P17">
        <v>-0.1</v>
      </c>
      <c r="Q17" t="s">
        <v>26</v>
      </c>
      <c r="R17">
        <v>241</v>
      </c>
      <c r="S17">
        <v>24.1</v>
      </c>
      <c r="T17">
        <v>-24.1</v>
      </c>
      <c r="U17">
        <v>0.1</v>
      </c>
      <c r="V17">
        <v>-0.1</v>
      </c>
      <c r="W17">
        <f t="shared" si="7"/>
        <v>0.10155920775389803</v>
      </c>
      <c r="X17">
        <f t="shared" si="0"/>
        <v>81.671413050660547</v>
      </c>
      <c r="Y17">
        <f t="shared" si="1"/>
        <v>0.33888553133054167</v>
      </c>
      <c r="Z17">
        <f t="shared" si="2"/>
        <v>24.1</v>
      </c>
      <c r="AA17">
        <f t="shared" si="3"/>
        <v>0.1</v>
      </c>
      <c r="AB17">
        <f t="shared" si="4"/>
        <v>0.10155920775389803</v>
      </c>
      <c r="AC17">
        <f t="shared" si="5"/>
        <v>81.671413050660547</v>
      </c>
      <c r="AD17">
        <f t="shared" si="6"/>
        <v>0.33888553133054167</v>
      </c>
      <c r="AF17" s="11" t="s">
        <v>140</v>
      </c>
      <c r="AG17" s="12">
        <f>SUM(S8:S53)</f>
        <v>331.53501992000002</v>
      </c>
    </row>
    <row r="18" spans="1:33" x14ac:dyDescent="0.35">
      <c r="A18" t="s">
        <v>35</v>
      </c>
      <c r="B18" t="s">
        <v>35</v>
      </c>
      <c r="C18" t="s">
        <v>23</v>
      </c>
      <c r="D18" t="s">
        <v>24</v>
      </c>
      <c r="E18">
        <v>1</v>
      </c>
      <c r="F18" t="s">
        <v>23</v>
      </c>
      <c r="G18">
        <v>1</v>
      </c>
      <c r="H18">
        <v>201</v>
      </c>
      <c r="I18">
        <v>201</v>
      </c>
      <c r="J18">
        <v>1</v>
      </c>
      <c r="K18" t="s">
        <v>25</v>
      </c>
      <c r="L18">
        <v>2</v>
      </c>
      <c r="M18">
        <v>0.1</v>
      </c>
      <c r="N18" t="s">
        <v>26</v>
      </c>
      <c r="O18">
        <v>1</v>
      </c>
      <c r="P18">
        <v>0</v>
      </c>
      <c r="Q18" t="s">
        <v>26</v>
      </c>
      <c r="R18">
        <v>201</v>
      </c>
      <c r="S18">
        <v>20.100000000000001</v>
      </c>
      <c r="T18">
        <v>0</v>
      </c>
      <c r="U18">
        <v>0.1</v>
      </c>
      <c r="V18">
        <v>0</v>
      </c>
      <c r="W18">
        <f>R18/$AG$5+0.007</f>
        <v>9.1702907711757278E-2</v>
      </c>
      <c r="X18">
        <f t="shared" si="0"/>
        <v>72.084119358370515</v>
      </c>
      <c r="Y18">
        <f t="shared" si="1"/>
        <v>0.35862745949438068</v>
      </c>
      <c r="Z18">
        <f t="shared" si="2"/>
        <v>20.100000000000001</v>
      </c>
      <c r="AA18">
        <f t="shared" si="3"/>
        <v>0.1</v>
      </c>
      <c r="AB18">
        <f t="shared" si="4"/>
        <v>8.4702907711757272E-2</v>
      </c>
      <c r="AC18">
        <f t="shared" si="5"/>
        <v>68.11599179743888</v>
      </c>
      <c r="AD18">
        <f t="shared" si="6"/>
        <v>0.33888553133054167</v>
      </c>
      <c r="AF18" s="11"/>
      <c r="AG18" s="11">
        <f>SUM(AG16:AG17)</f>
        <v>331.53501992000002</v>
      </c>
    </row>
    <row r="19" spans="1:33" x14ac:dyDescent="0.35">
      <c r="A19" t="s">
        <v>31</v>
      </c>
      <c r="B19" t="s">
        <v>31</v>
      </c>
      <c r="C19" t="s">
        <v>23</v>
      </c>
      <c r="D19" t="s">
        <v>24</v>
      </c>
      <c r="E19">
        <v>1</v>
      </c>
      <c r="F19" t="s">
        <v>23</v>
      </c>
      <c r="G19">
        <v>1</v>
      </c>
      <c r="H19">
        <v>135</v>
      </c>
      <c r="I19">
        <v>135</v>
      </c>
      <c r="J19">
        <v>1</v>
      </c>
      <c r="K19" t="s">
        <v>25</v>
      </c>
      <c r="L19">
        <v>2</v>
      </c>
      <c r="M19">
        <v>5.2438247E-2</v>
      </c>
      <c r="N19" t="s">
        <v>26</v>
      </c>
      <c r="O19">
        <v>1</v>
      </c>
      <c r="P19">
        <v>-0.05</v>
      </c>
      <c r="Q19" t="s">
        <v>26</v>
      </c>
      <c r="R19">
        <v>135</v>
      </c>
      <c r="S19">
        <v>7.07916335</v>
      </c>
      <c r="T19">
        <v>-6.75</v>
      </c>
      <c r="U19">
        <v>5.2438249999999999E-2</v>
      </c>
      <c r="V19">
        <v>-0.05</v>
      </c>
      <c r="W19">
        <f>R19/$AG$5+0.004</f>
        <v>6.089001264222503E-2</v>
      </c>
      <c r="X19">
        <f t="shared" si="0"/>
        <v>41.596211543012629</v>
      </c>
      <c r="Y19">
        <f t="shared" si="1"/>
        <v>0.30812008550379727</v>
      </c>
      <c r="Z19">
        <f t="shared" si="2"/>
        <v>7.07916335</v>
      </c>
      <c r="AA19">
        <f t="shared" si="3"/>
        <v>5.2438247037037033E-2</v>
      </c>
      <c r="AB19">
        <f t="shared" si="4"/>
        <v>5.6890012642225034E-2</v>
      </c>
      <c r="AC19">
        <f t="shared" si="5"/>
        <v>39.328710079623129</v>
      </c>
      <c r="AD19">
        <f t="shared" si="6"/>
        <v>0.29132377836757872</v>
      </c>
    </row>
    <row r="20" spans="1:33" x14ac:dyDescent="0.35">
      <c r="A20" t="s">
        <v>29</v>
      </c>
      <c r="B20" t="s">
        <v>29</v>
      </c>
      <c r="C20" t="s">
        <v>23</v>
      </c>
      <c r="D20" t="s">
        <v>24</v>
      </c>
      <c r="E20">
        <v>1</v>
      </c>
      <c r="F20" t="s">
        <v>23</v>
      </c>
      <c r="G20">
        <v>1</v>
      </c>
      <c r="H20">
        <v>157</v>
      </c>
      <c r="I20">
        <v>157</v>
      </c>
      <c r="J20">
        <v>1</v>
      </c>
      <c r="K20" t="s">
        <v>25</v>
      </c>
      <c r="L20">
        <v>2</v>
      </c>
      <c r="M20">
        <v>5.2438247E-2</v>
      </c>
      <c r="N20" t="s">
        <v>26</v>
      </c>
      <c r="O20">
        <v>1</v>
      </c>
      <c r="P20">
        <v>-0.1</v>
      </c>
      <c r="Q20" t="s">
        <v>26</v>
      </c>
      <c r="R20">
        <v>157</v>
      </c>
      <c r="S20">
        <v>8.2328047800000004</v>
      </c>
      <c r="T20">
        <v>-15.7</v>
      </c>
      <c r="U20">
        <v>5.2438249999999999E-2</v>
      </c>
      <c r="V20">
        <v>-0.1</v>
      </c>
      <c r="W20">
        <f>R20/$AG$5+0.004</f>
        <v>7.0160977665402441E-2</v>
      </c>
      <c r="X20">
        <f t="shared" si="0"/>
        <v>48.005334662284547</v>
      </c>
      <c r="Y20">
        <f t="shared" si="1"/>
        <v>0.30576646281709902</v>
      </c>
      <c r="Z20">
        <f t="shared" si="2"/>
        <v>8.2328047800000004</v>
      </c>
      <c r="AA20">
        <f t="shared" si="3"/>
        <v>5.2438247006369426E-2</v>
      </c>
      <c r="AB20">
        <f t="shared" si="4"/>
        <v>6.6160977665402437E-2</v>
      </c>
      <c r="AC20">
        <f t="shared" si="5"/>
        <v>45.737833198895039</v>
      </c>
      <c r="AD20">
        <f t="shared" si="6"/>
        <v>0.29132377833691109</v>
      </c>
    </row>
    <row r="21" spans="1:33" x14ac:dyDescent="0.35">
      <c r="A21" t="s">
        <v>28</v>
      </c>
      <c r="B21" t="s">
        <v>28</v>
      </c>
      <c r="C21" t="s">
        <v>23</v>
      </c>
      <c r="D21" t="s">
        <v>24</v>
      </c>
      <c r="E21">
        <v>1</v>
      </c>
      <c r="F21" t="s">
        <v>23</v>
      </c>
      <c r="G21">
        <v>1</v>
      </c>
      <c r="H21">
        <v>100</v>
      </c>
      <c r="I21">
        <v>100</v>
      </c>
      <c r="J21">
        <v>1</v>
      </c>
      <c r="K21" t="s">
        <v>25</v>
      </c>
      <c r="L21">
        <v>2</v>
      </c>
      <c r="M21">
        <v>5.2438247E-2</v>
      </c>
      <c r="N21" t="s">
        <v>26</v>
      </c>
      <c r="O21">
        <v>1</v>
      </c>
      <c r="P21">
        <v>-0.05</v>
      </c>
      <c r="Q21" t="s">
        <v>26</v>
      </c>
      <c r="R21">
        <v>100</v>
      </c>
      <c r="S21">
        <v>5.2438247000000002</v>
      </c>
      <c r="T21">
        <v>-5</v>
      </c>
      <c r="U21">
        <v>5.2438249999999999E-2</v>
      </c>
      <c r="V21">
        <v>-0.05</v>
      </c>
      <c r="W21">
        <f>R21/$AG$5+0.0004</f>
        <v>4.2540750105351875E-2</v>
      </c>
      <c r="X21">
        <f t="shared" si="0"/>
        <v>29.359127979393119</v>
      </c>
      <c r="Y21">
        <f t="shared" si="1"/>
        <v>0.29359127979393118</v>
      </c>
      <c r="Z21">
        <f t="shared" si="2"/>
        <v>5.2438247000000002</v>
      </c>
      <c r="AA21">
        <f t="shared" si="3"/>
        <v>5.2438247E-2</v>
      </c>
      <c r="AB21">
        <f t="shared" si="4"/>
        <v>4.2140750105351878E-2</v>
      </c>
      <c r="AC21">
        <f t="shared" si="5"/>
        <v>29.132377833054171</v>
      </c>
      <c r="AD21">
        <f t="shared" si="6"/>
        <v>0.29132377833054174</v>
      </c>
    </row>
    <row r="22" spans="1:33" x14ac:dyDescent="0.35">
      <c r="A22" t="s">
        <v>27</v>
      </c>
      <c r="B22" t="s">
        <v>27</v>
      </c>
      <c r="C22" t="s">
        <v>23</v>
      </c>
      <c r="D22" t="s">
        <v>24</v>
      </c>
      <c r="E22">
        <v>1</v>
      </c>
      <c r="F22" t="s">
        <v>23</v>
      </c>
      <c r="G22">
        <v>1</v>
      </c>
      <c r="H22">
        <v>53</v>
      </c>
      <c r="I22">
        <v>53</v>
      </c>
      <c r="J22">
        <v>1</v>
      </c>
      <c r="K22" t="s">
        <v>25</v>
      </c>
      <c r="L22">
        <v>2</v>
      </c>
      <c r="M22">
        <v>5.2438247E-2</v>
      </c>
      <c r="N22" t="s">
        <v>26</v>
      </c>
      <c r="O22">
        <v>1</v>
      </c>
      <c r="P22">
        <v>0</v>
      </c>
      <c r="Q22" t="s">
        <v>26</v>
      </c>
      <c r="R22">
        <v>53</v>
      </c>
      <c r="S22">
        <v>2.77922709</v>
      </c>
      <c r="T22">
        <v>0</v>
      </c>
      <c r="U22">
        <v>5.2438249999999999E-2</v>
      </c>
      <c r="V22">
        <v>0</v>
      </c>
      <c r="W22">
        <f>R22/$AG$5+0.004</f>
        <v>2.6334597555836493E-2</v>
      </c>
      <c r="X22">
        <f t="shared" si="0"/>
        <v>17.707661713908209</v>
      </c>
      <c r="Y22">
        <f t="shared" si="1"/>
        <v>0.3341068247907209</v>
      </c>
      <c r="Z22">
        <f t="shared" si="2"/>
        <v>2.77922709</v>
      </c>
      <c r="AA22">
        <f t="shared" si="3"/>
        <v>5.2438246981132072E-2</v>
      </c>
      <c r="AB22">
        <f t="shared" si="4"/>
        <v>2.2334597555836493E-2</v>
      </c>
      <c r="AC22">
        <f t="shared" si="5"/>
        <v>15.440160250518709</v>
      </c>
      <c r="AD22">
        <f t="shared" si="6"/>
        <v>0.29132377831167372</v>
      </c>
    </row>
    <row r="34" spans="24:24" x14ac:dyDescent="0.35">
      <c r="X34">
        <f>881+1575</f>
        <v>2456</v>
      </c>
    </row>
  </sheetData>
  <autoFilter ref="A1:Y1" xr:uid="{00000000-0001-0000-0000-000000000000}">
    <sortState xmlns:xlrd2="http://schemas.microsoft.com/office/spreadsheetml/2017/richdata2" ref="A2:Y22">
      <sortCondition descending="1" ref="Y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"/>
  <sheetViews>
    <sheetView topLeftCell="Q1" workbookViewId="0">
      <selection activeCell="AA4" sqref="AA4"/>
    </sheetView>
  </sheetViews>
  <sheetFormatPr baseColWidth="10" defaultColWidth="9.08984375" defaultRowHeight="14.5" x14ac:dyDescent="0.35"/>
  <cols>
    <col min="1" max="1" width="27.36328125" customWidth="1"/>
    <col min="2" max="2" width="11.54296875" customWidth="1"/>
    <col min="12" max="12" width="13.1796875" customWidth="1"/>
    <col min="16" max="16" width="16.08984375" customWidth="1"/>
    <col min="17" max="17" width="12.6328125" bestFit="1" customWidth="1"/>
    <col min="22" max="22" width="13.90625" customWidth="1"/>
    <col min="24" max="24" width="18.453125" customWidth="1"/>
    <col min="25" max="25" width="14.90625" customWidth="1"/>
    <col min="26" max="26" width="15.26953125" customWidth="1"/>
    <col min="31" max="31" width="15.453125" customWidth="1"/>
  </cols>
  <sheetData>
    <row r="1" spans="1:32" x14ac:dyDescent="0.35">
      <c r="A1" s="1" t="s">
        <v>47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1" t="s">
        <v>49</v>
      </c>
      <c r="J1" s="1" t="s">
        <v>50</v>
      </c>
      <c r="K1" s="1" t="s">
        <v>10</v>
      </c>
      <c r="L1" s="1" t="s">
        <v>12</v>
      </c>
      <c r="M1" s="1" t="s">
        <v>10</v>
      </c>
      <c r="N1" s="1" t="s">
        <v>51</v>
      </c>
      <c r="O1" s="1" t="s">
        <v>10</v>
      </c>
      <c r="P1" s="1" t="s">
        <v>14</v>
      </c>
      <c r="Q1" s="1" t="s">
        <v>15</v>
      </c>
      <c r="R1" s="1" t="s">
        <v>10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123</v>
      </c>
      <c r="Y1" s="1" t="s">
        <v>164</v>
      </c>
      <c r="Z1" s="1" t="s">
        <v>162</v>
      </c>
      <c r="AA1" s="1" t="s">
        <v>165</v>
      </c>
      <c r="AB1" s="1" t="s">
        <v>166</v>
      </c>
      <c r="AC1" s="13"/>
    </row>
    <row r="2" spans="1:32" x14ac:dyDescent="0.35">
      <c r="A2" t="s">
        <v>60</v>
      </c>
      <c r="B2" t="s">
        <v>60</v>
      </c>
      <c r="C2" t="s">
        <v>23</v>
      </c>
      <c r="D2" t="s">
        <v>52</v>
      </c>
      <c r="E2">
        <v>1</v>
      </c>
      <c r="F2" t="s">
        <v>23</v>
      </c>
      <c r="G2">
        <v>1</v>
      </c>
      <c r="H2">
        <v>56</v>
      </c>
      <c r="I2">
        <v>56</v>
      </c>
      <c r="J2">
        <v>1.667</v>
      </c>
      <c r="K2" t="s">
        <v>25</v>
      </c>
      <c r="L2">
        <v>1</v>
      </c>
      <c r="M2" t="s">
        <v>25</v>
      </c>
      <c r="O2" t="s">
        <v>25</v>
      </c>
      <c r="P2">
        <v>1</v>
      </c>
      <c r="Q2">
        <v>-0.14000000000000001</v>
      </c>
      <c r="R2" t="s">
        <v>25</v>
      </c>
      <c r="S2">
        <v>93.352000000000004</v>
      </c>
      <c r="T2">
        <v>93.352000000000004</v>
      </c>
      <c r="U2">
        <v>-13.069279999999999</v>
      </c>
      <c r="V2">
        <v>1</v>
      </c>
      <c r="W2">
        <v>-0.14000000000000001</v>
      </c>
      <c r="AB2">
        <f>V2</f>
        <v>1</v>
      </c>
    </row>
    <row r="3" spans="1:32" x14ac:dyDescent="0.35">
      <c r="A3" t="s">
        <v>53</v>
      </c>
      <c r="B3" t="s">
        <v>53</v>
      </c>
      <c r="C3" t="s">
        <v>23</v>
      </c>
      <c r="D3" t="s">
        <v>52</v>
      </c>
      <c r="E3">
        <v>1</v>
      </c>
      <c r="F3" t="s">
        <v>23</v>
      </c>
      <c r="G3">
        <v>1</v>
      </c>
      <c r="H3">
        <v>74</v>
      </c>
      <c r="I3">
        <v>74</v>
      </c>
      <c r="J3">
        <v>1.667</v>
      </c>
      <c r="K3" t="s">
        <v>25</v>
      </c>
      <c r="L3">
        <v>0.94</v>
      </c>
      <c r="M3" t="s">
        <v>25</v>
      </c>
      <c r="O3" t="s">
        <v>25</v>
      </c>
      <c r="P3">
        <v>1</v>
      </c>
      <c r="Q3">
        <v>-0.10100000000000001</v>
      </c>
      <c r="R3" t="s">
        <v>25</v>
      </c>
      <c r="S3">
        <v>123.358</v>
      </c>
      <c r="T3">
        <v>115.95652</v>
      </c>
      <c r="U3">
        <v>-12.459158</v>
      </c>
      <c r="V3">
        <v>0.94</v>
      </c>
      <c r="W3">
        <v>-0.10100000000000001</v>
      </c>
      <c r="AB3">
        <f>V3</f>
        <v>0.94</v>
      </c>
      <c r="AE3" t="s">
        <v>141</v>
      </c>
      <c r="AF3">
        <f>SUM(T2:T10)</f>
        <v>655.9764538500001</v>
      </c>
    </row>
    <row r="4" spans="1:32" x14ac:dyDescent="0.35">
      <c r="A4" t="s">
        <v>54</v>
      </c>
      <c r="B4" t="s">
        <v>54</v>
      </c>
      <c r="C4" t="s">
        <v>23</v>
      </c>
      <c r="D4" t="s">
        <v>52</v>
      </c>
      <c r="E4">
        <v>1</v>
      </c>
      <c r="F4" t="s">
        <v>23</v>
      </c>
      <c r="G4">
        <v>1</v>
      </c>
      <c r="H4">
        <v>110</v>
      </c>
      <c r="I4">
        <v>110</v>
      </c>
      <c r="J4">
        <v>1.667</v>
      </c>
      <c r="K4" t="s">
        <v>25</v>
      </c>
      <c r="L4">
        <v>0.62029999999999996</v>
      </c>
      <c r="M4" t="s">
        <v>25</v>
      </c>
      <c r="O4" t="s">
        <v>25</v>
      </c>
      <c r="P4">
        <v>1</v>
      </c>
      <c r="Q4">
        <v>-2.7000000000000001E-3</v>
      </c>
      <c r="R4" t="s">
        <v>25</v>
      </c>
      <c r="S4">
        <v>183.37</v>
      </c>
      <c r="T4">
        <v>113.744411</v>
      </c>
      <c r="U4">
        <v>-0.49509900000000001</v>
      </c>
      <c r="V4">
        <v>0.62029999999999996</v>
      </c>
      <c r="W4">
        <v>-2.7000000000000001E-3</v>
      </c>
      <c r="X4">
        <f>S4/$AF$7</f>
        <v>0.23177887155529603</v>
      </c>
      <c r="Y4">
        <f t="shared" ref="Y4:Y10" si="0">T4+X4*$AF$5</f>
        <v>278.70969299763135</v>
      </c>
      <c r="Z4">
        <f t="shared" ref="Z4:Z10" si="1">Y4/S4</f>
        <v>1.5199307029374016</v>
      </c>
      <c r="AA4">
        <f>0.85*S4</f>
        <v>155.86449999999999</v>
      </c>
      <c r="AB4">
        <f>AA4/S4</f>
        <v>0.85</v>
      </c>
      <c r="AE4" t="s">
        <v>142</v>
      </c>
      <c r="AF4" s="2">
        <f>Resumen!G14</f>
        <v>1367.7120874333018</v>
      </c>
    </row>
    <row r="5" spans="1:32" x14ac:dyDescent="0.35">
      <c r="A5" t="s">
        <v>55</v>
      </c>
      <c r="B5" t="s">
        <v>55</v>
      </c>
      <c r="C5" t="s">
        <v>23</v>
      </c>
      <c r="D5" t="s">
        <v>52</v>
      </c>
      <c r="E5">
        <v>1</v>
      </c>
      <c r="F5" t="s">
        <v>23</v>
      </c>
      <c r="G5">
        <v>1</v>
      </c>
      <c r="H5">
        <v>83</v>
      </c>
      <c r="I5">
        <v>83</v>
      </c>
      <c r="J5">
        <v>1.667</v>
      </c>
      <c r="K5" t="s">
        <v>25</v>
      </c>
      <c r="L5">
        <v>0.54777699999999996</v>
      </c>
      <c r="M5" t="s">
        <v>25</v>
      </c>
      <c r="O5" t="s">
        <v>25</v>
      </c>
      <c r="P5">
        <v>1</v>
      </c>
      <c r="Q5">
        <v>-5.5399999999999998E-2</v>
      </c>
      <c r="R5" t="s">
        <v>25</v>
      </c>
      <c r="S5">
        <v>138.36099999999999</v>
      </c>
      <c r="T5">
        <v>75.790973500000007</v>
      </c>
      <c r="U5">
        <v>-7.6651993999999997</v>
      </c>
      <c r="V5">
        <v>0.54777699999999996</v>
      </c>
      <c r="W5">
        <v>-5.5399999999999998E-2</v>
      </c>
      <c r="X5">
        <f t="shared" ref="X4:X10" si="2">S5/$AF$7</f>
        <v>0.17488769399172335</v>
      </c>
      <c r="Y5">
        <f t="shared" si="0"/>
        <v>200.26477718912182</v>
      </c>
      <c r="Z5">
        <f t="shared" si="1"/>
        <v>1.4474077029590842</v>
      </c>
      <c r="AA5">
        <f t="shared" ref="AA5:AA10" si="3">0.85*S5</f>
        <v>117.60684999999999</v>
      </c>
      <c r="AB5">
        <f t="shared" ref="AB5:AB10" si="4">AA5/S5</f>
        <v>0.85</v>
      </c>
      <c r="AE5" t="s">
        <v>138</v>
      </c>
      <c r="AF5" s="2">
        <f>AF4-AF3</f>
        <v>711.73563358330171</v>
      </c>
    </row>
    <row r="6" spans="1:32" x14ac:dyDescent="0.35">
      <c r="A6" t="s">
        <v>56</v>
      </c>
      <c r="B6" t="s">
        <v>56</v>
      </c>
      <c r="C6" t="s">
        <v>23</v>
      </c>
      <c r="D6" t="s">
        <v>52</v>
      </c>
      <c r="E6">
        <v>1</v>
      </c>
      <c r="F6" t="s">
        <v>23</v>
      </c>
      <c r="G6">
        <v>1</v>
      </c>
      <c r="H6">
        <v>81</v>
      </c>
      <c r="I6">
        <v>81</v>
      </c>
      <c r="J6">
        <v>1.667</v>
      </c>
      <c r="K6" t="s">
        <v>25</v>
      </c>
      <c r="L6">
        <v>0.54777699999999996</v>
      </c>
      <c r="M6" t="s">
        <v>25</v>
      </c>
      <c r="O6" t="s">
        <v>25</v>
      </c>
      <c r="P6">
        <v>1</v>
      </c>
      <c r="Q6">
        <v>-0.13728395099999999</v>
      </c>
      <c r="R6" t="s">
        <v>25</v>
      </c>
      <c r="S6">
        <v>135.02699999999999</v>
      </c>
      <c r="T6">
        <v>73.964684980000001</v>
      </c>
      <c r="U6">
        <v>-18.537039920000002</v>
      </c>
      <c r="V6">
        <v>0.54777699999999996</v>
      </c>
      <c r="W6">
        <v>-0.13728394999999999</v>
      </c>
      <c r="X6">
        <f t="shared" si="2"/>
        <v>0.17067353269071797</v>
      </c>
      <c r="Y6">
        <f t="shared" si="0"/>
        <v>195.43911990552851</v>
      </c>
      <c r="Z6">
        <f t="shared" si="1"/>
        <v>1.4474077029448076</v>
      </c>
      <c r="AA6">
        <f t="shared" si="3"/>
        <v>114.77294999999998</v>
      </c>
      <c r="AB6">
        <f t="shared" si="4"/>
        <v>0.85</v>
      </c>
    </row>
    <row r="7" spans="1:32" x14ac:dyDescent="0.35">
      <c r="A7" t="s">
        <v>57</v>
      </c>
      <c r="B7" t="s">
        <v>57</v>
      </c>
      <c r="C7" t="s">
        <v>23</v>
      </c>
      <c r="D7" t="s">
        <v>52</v>
      </c>
      <c r="E7">
        <v>1</v>
      </c>
      <c r="F7" t="s">
        <v>23</v>
      </c>
      <c r="G7">
        <v>1</v>
      </c>
      <c r="H7">
        <v>65</v>
      </c>
      <c r="I7">
        <v>65</v>
      </c>
      <c r="J7">
        <v>1.667</v>
      </c>
      <c r="K7" t="s">
        <v>25</v>
      </c>
      <c r="L7">
        <v>0.54777699999999996</v>
      </c>
      <c r="M7" t="s">
        <v>25</v>
      </c>
      <c r="O7" t="s">
        <v>25</v>
      </c>
      <c r="P7">
        <v>1</v>
      </c>
      <c r="Q7">
        <v>-0.1056</v>
      </c>
      <c r="R7" t="s">
        <v>25</v>
      </c>
      <c r="S7">
        <v>108.355</v>
      </c>
      <c r="T7">
        <v>59.35437684</v>
      </c>
      <c r="U7">
        <v>-11.442288</v>
      </c>
      <c r="V7">
        <v>0.54777699999999996</v>
      </c>
      <c r="W7">
        <v>-0.1056</v>
      </c>
      <c r="X7">
        <f t="shared" si="2"/>
        <v>0.13696024228267492</v>
      </c>
      <c r="Y7">
        <f t="shared" si="0"/>
        <v>156.83386165678215</v>
      </c>
      <c r="Z7">
        <f t="shared" si="1"/>
        <v>1.4474077029835462</v>
      </c>
      <c r="AA7">
        <f t="shared" si="3"/>
        <v>92.101749999999996</v>
      </c>
      <c r="AB7">
        <f t="shared" si="4"/>
        <v>0.85</v>
      </c>
      <c r="AE7" t="s">
        <v>143</v>
      </c>
      <c r="AF7">
        <f>SUM(S4:S10)</f>
        <v>791.14199999999994</v>
      </c>
    </row>
    <row r="8" spans="1:32" x14ac:dyDescent="0.35">
      <c r="A8" t="s">
        <v>58</v>
      </c>
      <c r="B8" t="s">
        <v>58</v>
      </c>
      <c r="C8" t="s">
        <v>23</v>
      </c>
      <c r="D8" t="s">
        <v>52</v>
      </c>
      <c r="E8">
        <v>1</v>
      </c>
      <c r="F8" t="s">
        <v>23</v>
      </c>
      <c r="G8">
        <v>1</v>
      </c>
      <c r="H8">
        <v>50</v>
      </c>
      <c r="I8">
        <v>50</v>
      </c>
      <c r="J8">
        <v>1.667</v>
      </c>
      <c r="K8" t="s">
        <v>25</v>
      </c>
      <c r="L8">
        <v>0.54777699999999996</v>
      </c>
      <c r="M8" t="s">
        <v>25</v>
      </c>
      <c r="O8" t="s">
        <v>25</v>
      </c>
      <c r="P8">
        <v>1</v>
      </c>
      <c r="Q8">
        <v>-5.5399999999999998E-2</v>
      </c>
      <c r="R8" t="s">
        <v>25</v>
      </c>
      <c r="S8">
        <v>83.350000000000009</v>
      </c>
      <c r="T8">
        <v>45.657212950000002</v>
      </c>
      <c r="U8">
        <v>-4.6175899999999999</v>
      </c>
      <c r="V8">
        <v>0.54777699999999996</v>
      </c>
      <c r="W8">
        <v>-5.5399999999999998E-2</v>
      </c>
      <c r="X8">
        <f t="shared" si="2"/>
        <v>0.10535403252513457</v>
      </c>
      <c r="Y8">
        <f t="shared" si="0"/>
        <v>120.64143203983244</v>
      </c>
      <c r="Z8">
        <f t="shared" si="1"/>
        <v>1.4474077029374017</v>
      </c>
      <c r="AA8">
        <f t="shared" si="3"/>
        <v>70.847500000000011</v>
      </c>
      <c r="AB8">
        <f t="shared" si="4"/>
        <v>0.85000000000000009</v>
      </c>
    </row>
    <row r="9" spans="1:32" x14ac:dyDescent="0.35">
      <c r="A9" t="s">
        <v>59</v>
      </c>
      <c r="B9" t="s">
        <v>59</v>
      </c>
      <c r="C9" t="s">
        <v>23</v>
      </c>
      <c r="D9" t="s">
        <v>52</v>
      </c>
      <c r="E9">
        <v>1</v>
      </c>
      <c r="F9" t="s">
        <v>23</v>
      </c>
      <c r="G9">
        <v>1</v>
      </c>
      <c r="H9">
        <v>37</v>
      </c>
      <c r="I9">
        <v>37</v>
      </c>
      <c r="J9">
        <v>1.667</v>
      </c>
      <c r="K9" t="s">
        <v>25</v>
      </c>
      <c r="L9">
        <v>0.54777699999999996</v>
      </c>
      <c r="M9" t="s">
        <v>25</v>
      </c>
      <c r="O9" t="s">
        <v>25</v>
      </c>
      <c r="P9">
        <v>1</v>
      </c>
      <c r="Q9">
        <v>-3.2432429999999998E-3</v>
      </c>
      <c r="R9" t="s">
        <v>25</v>
      </c>
      <c r="S9">
        <v>61.679000000000002</v>
      </c>
      <c r="T9">
        <v>33.786337580000001</v>
      </c>
      <c r="U9">
        <v>-0.20003979999999999</v>
      </c>
      <c r="V9">
        <v>0.54777699999999996</v>
      </c>
      <c r="W9">
        <v>-3.2432400000000001E-3</v>
      </c>
      <c r="X9">
        <f t="shared" si="2"/>
        <v>7.7961984068599582E-2</v>
      </c>
      <c r="Y9">
        <f t="shared" si="0"/>
        <v>89.274659706476001</v>
      </c>
      <c r="Z9">
        <f t="shared" si="1"/>
        <v>1.4474077028887629</v>
      </c>
      <c r="AA9">
        <f t="shared" si="3"/>
        <v>52.427149999999997</v>
      </c>
      <c r="AB9">
        <f t="shared" si="4"/>
        <v>0.85</v>
      </c>
      <c r="AE9" t="s">
        <v>139</v>
      </c>
      <c r="AF9">
        <f>SUM(T2:T3)</f>
        <v>209.30851999999999</v>
      </c>
    </row>
    <row r="10" spans="1:32" x14ac:dyDescent="0.35">
      <c r="A10" t="s">
        <v>61</v>
      </c>
      <c r="B10" t="s">
        <v>61</v>
      </c>
      <c r="C10" t="s">
        <v>23</v>
      </c>
      <c r="D10" t="s">
        <v>62</v>
      </c>
      <c r="E10">
        <v>1</v>
      </c>
      <c r="F10" t="s">
        <v>23</v>
      </c>
      <c r="G10">
        <v>1</v>
      </c>
      <c r="H10">
        <v>81</v>
      </c>
      <c r="I10">
        <v>81</v>
      </c>
      <c r="J10">
        <v>1</v>
      </c>
      <c r="K10" t="s">
        <v>25</v>
      </c>
      <c r="L10">
        <v>0.54777699999999996</v>
      </c>
      <c r="M10" t="s">
        <v>25</v>
      </c>
      <c r="O10" t="s">
        <v>25</v>
      </c>
      <c r="P10">
        <v>1</v>
      </c>
      <c r="Q10">
        <v>0</v>
      </c>
      <c r="R10" t="s">
        <v>25</v>
      </c>
      <c r="S10">
        <v>81</v>
      </c>
      <c r="T10">
        <v>44.369937</v>
      </c>
      <c r="U10">
        <v>0</v>
      </c>
      <c r="V10">
        <v>0.54777699999999996</v>
      </c>
      <c r="W10">
        <v>0</v>
      </c>
      <c r="X10">
        <f t="shared" si="2"/>
        <v>0.10238364288585362</v>
      </c>
      <c r="Y10">
        <f t="shared" si="0"/>
        <v>117.24002393792952</v>
      </c>
      <c r="Z10">
        <f t="shared" si="1"/>
        <v>1.4474077029374015</v>
      </c>
      <c r="AA10">
        <f t="shared" si="3"/>
        <v>68.849999999999994</v>
      </c>
      <c r="AB10">
        <f t="shared" si="4"/>
        <v>0.85</v>
      </c>
      <c r="AE10" t="s">
        <v>140</v>
      </c>
      <c r="AF10" s="7">
        <f>SUM(AA4:AA10)</f>
        <v>672.47069999999997</v>
      </c>
    </row>
    <row r="11" spans="1:32" x14ac:dyDescent="0.35">
      <c r="AF11" s="7">
        <f>AF9+AF10</f>
        <v>881.7792199999999</v>
      </c>
    </row>
  </sheetData>
  <autoFilter ref="A1:Z1" xr:uid="{00000000-0001-0000-0100-000000000000}">
    <sortState xmlns:xlrd2="http://schemas.microsoft.com/office/spreadsheetml/2017/richdata2" ref="A2:Z16">
      <sortCondition descending="1" ref="V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7"/>
  <sheetViews>
    <sheetView tabSelected="1" zoomScale="85" zoomScaleNormal="85" workbookViewId="0">
      <selection activeCell="B4" sqref="B4"/>
    </sheetView>
  </sheetViews>
  <sheetFormatPr baseColWidth="10" defaultColWidth="9.08984375" defaultRowHeight="14.5" x14ac:dyDescent="0.35"/>
  <cols>
    <col min="1" max="1" width="17.36328125" bestFit="1" customWidth="1"/>
    <col min="2" max="2" width="17.36328125" customWidth="1"/>
    <col min="3" max="3" width="10.26953125" customWidth="1"/>
    <col min="5" max="5" width="4.1796875" customWidth="1"/>
    <col min="10" max="10" width="3.08984375" customWidth="1"/>
    <col min="11" max="11" width="3.1796875" customWidth="1"/>
    <col min="12" max="12" width="5.26953125" customWidth="1"/>
    <col min="13" max="13" width="23.36328125" customWidth="1"/>
    <col min="14" max="14" width="18" customWidth="1"/>
    <col min="15" max="15" width="15.1796875" customWidth="1"/>
    <col min="16" max="16" width="11" customWidth="1"/>
    <col min="18" max="18" width="21.6328125" customWidth="1"/>
  </cols>
  <sheetData>
    <row r="1" spans="1:23" x14ac:dyDescent="0.35">
      <c r="A1" s="1" t="s">
        <v>63</v>
      </c>
      <c r="B1" s="1"/>
      <c r="C1" s="1" t="s">
        <v>163</v>
      </c>
      <c r="D1" s="1" t="s">
        <v>64</v>
      </c>
      <c r="E1" s="1" t="s">
        <v>10</v>
      </c>
      <c r="F1" s="1" t="s">
        <v>65</v>
      </c>
      <c r="G1" s="1" t="s">
        <v>13</v>
      </c>
      <c r="H1" s="1" t="s">
        <v>18</v>
      </c>
      <c r="I1" s="1" t="s">
        <v>19</v>
      </c>
      <c r="J1" s="1" t="s">
        <v>66</v>
      </c>
      <c r="K1" s="1" t="s">
        <v>67</v>
      </c>
      <c r="L1" s="1" t="s">
        <v>68</v>
      </c>
      <c r="M1" s="3" t="s">
        <v>123</v>
      </c>
      <c r="N1" s="3" t="s">
        <v>124</v>
      </c>
      <c r="O1" s="3" t="s">
        <v>125</v>
      </c>
      <c r="P1" s="3" t="s">
        <v>126</v>
      </c>
    </row>
    <row r="2" spans="1:23" x14ac:dyDescent="0.35">
      <c r="A2" t="s">
        <v>77</v>
      </c>
      <c r="C2">
        <v>0</v>
      </c>
      <c r="D2">
        <v>4.5333333333340002</v>
      </c>
      <c r="E2" t="s">
        <v>70</v>
      </c>
      <c r="F2">
        <v>1.9333333333334</v>
      </c>
      <c r="G2" t="s">
        <v>71</v>
      </c>
      <c r="H2">
        <v>13.600000000002</v>
      </c>
      <c r="I2">
        <v>5.8000000000001997</v>
      </c>
      <c r="J2">
        <v>0</v>
      </c>
      <c r="K2">
        <v>0</v>
      </c>
      <c r="L2" t="s">
        <v>72</v>
      </c>
      <c r="M2" s="7"/>
      <c r="N2" s="2"/>
      <c r="O2" s="2"/>
      <c r="P2" s="2"/>
    </row>
    <row r="3" spans="1:23" x14ac:dyDescent="0.35">
      <c r="A3" t="s">
        <v>100</v>
      </c>
      <c r="C3">
        <v>0</v>
      </c>
      <c r="D3">
        <v>9.9333333334000002</v>
      </c>
      <c r="E3" t="s">
        <v>70</v>
      </c>
      <c r="F3">
        <v>2.9333333333999998</v>
      </c>
      <c r="G3" t="s">
        <v>71</v>
      </c>
      <c r="H3">
        <v>29.800000000200001</v>
      </c>
      <c r="I3">
        <v>8.800000000199999</v>
      </c>
      <c r="J3">
        <v>0</v>
      </c>
      <c r="K3">
        <v>0</v>
      </c>
      <c r="L3" t="s">
        <v>72</v>
      </c>
      <c r="M3" s="7"/>
      <c r="N3" s="2"/>
      <c r="O3" s="2"/>
      <c r="P3" s="2"/>
      <c r="R3" t="s">
        <v>118</v>
      </c>
      <c r="S3" s="2">
        <f>SUM(H5:H47)</f>
        <v>2128.3890005693229</v>
      </c>
      <c r="V3" t="s">
        <v>168</v>
      </c>
      <c r="W3" s="2">
        <f>SUM(O5:O50)</f>
        <v>1278.6109994306769</v>
      </c>
    </row>
    <row r="4" spans="1:23" x14ac:dyDescent="0.35">
      <c r="A4" t="s">
        <v>101</v>
      </c>
      <c r="C4">
        <v>0</v>
      </c>
      <c r="D4">
        <v>0.6</v>
      </c>
      <c r="E4" t="s">
        <v>70</v>
      </c>
      <c r="F4">
        <v>0.63333333999999997</v>
      </c>
      <c r="G4" t="s">
        <v>71</v>
      </c>
      <c r="H4">
        <v>1.8</v>
      </c>
      <c r="I4">
        <v>1.90000002</v>
      </c>
      <c r="J4">
        <v>0</v>
      </c>
      <c r="K4">
        <v>0</v>
      </c>
      <c r="L4" t="s">
        <v>72</v>
      </c>
      <c r="M4" s="7"/>
      <c r="N4" s="2"/>
      <c r="O4" s="2"/>
      <c r="P4" s="2"/>
      <c r="S4" s="2"/>
    </row>
    <row r="5" spans="1:23" x14ac:dyDescent="0.35">
      <c r="A5" t="s">
        <v>69</v>
      </c>
      <c r="C5">
        <v>1</v>
      </c>
      <c r="D5">
        <v>10.81</v>
      </c>
      <c r="E5" t="s">
        <v>70</v>
      </c>
      <c r="F5">
        <v>4.6666666670000003</v>
      </c>
      <c r="G5" t="s">
        <v>71</v>
      </c>
      <c r="H5">
        <v>32.43</v>
      </c>
      <c r="I5">
        <v>14.000000001</v>
      </c>
      <c r="J5">
        <v>0</v>
      </c>
      <c r="K5">
        <v>0</v>
      </c>
      <c r="L5" t="s">
        <v>72</v>
      </c>
      <c r="M5" s="7">
        <f t="shared" ref="M5:M47" si="0">H5/$S$3</f>
        <v>1.5236876337608068E-2</v>
      </c>
      <c r="N5" s="2">
        <f t="shared" ref="N5:N47" si="1">H5+M5*$S$5</f>
        <v>51.912037682230689</v>
      </c>
      <c r="O5" s="2">
        <f t="shared" ref="O5:O47" si="2">N5-H5</f>
        <v>19.48203768223069</v>
      </c>
      <c r="P5" s="2">
        <f t="shared" ref="P5:P47" si="3">N5/3</f>
        <v>17.304012560743562</v>
      </c>
      <c r="R5" t="s">
        <v>119</v>
      </c>
      <c r="S5" s="2">
        <f>Resumen!G6</f>
        <v>1278.6109994306771</v>
      </c>
    </row>
    <row r="6" spans="1:23" x14ac:dyDescent="0.35">
      <c r="A6" t="s">
        <v>73</v>
      </c>
      <c r="C6">
        <v>1</v>
      </c>
      <c r="D6">
        <v>2.2166666666600001</v>
      </c>
      <c r="E6" t="s">
        <v>70</v>
      </c>
      <c r="F6">
        <v>3.166666666666667</v>
      </c>
      <c r="G6" t="s">
        <v>71</v>
      </c>
      <c r="H6">
        <v>6.6499999999800004</v>
      </c>
      <c r="I6">
        <v>9.5</v>
      </c>
      <c r="J6">
        <v>0</v>
      </c>
      <c r="K6">
        <v>0</v>
      </c>
      <c r="L6" t="s">
        <v>72</v>
      </c>
      <c r="M6" s="7">
        <f t="shared" si="0"/>
        <v>3.1244288512114991E-3</v>
      </c>
      <c r="N6" s="2">
        <f t="shared" si="1"/>
        <v>10.644929096077577</v>
      </c>
      <c r="O6" s="2">
        <f t="shared" si="2"/>
        <v>3.994929096097577</v>
      </c>
      <c r="P6" s="2">
        <f t="shared" si="3"/>
        <v>3.5483096986925258</v>
      </c>
      <c r="S6" s="2"/>
    </row>
    <row r="7" spans="1:23" x14ac:dyDescent="0.35">
      <c r="A7" t="s">
        <v>74</v>
      </c>
      <c r="C7">
        <v>1</v>
      </c>
      <c r="D7">
        <v>28.3</v>
      </c>
      <c r="E7" t="s">
        <v>70</v>
      </c>
      <c r="F7">
        <v>-8.2133333329999996</v>
      </c>
      <c r="G7" t="s">
        <v>71</v>
      </c>
      <c r="H7">
        <v>84.9</v>
      </c>
      <c r="I7">
        <v>-24.639999999</v>
      </c>
      <c r="J7">
        <v>0</v>
      </c>
      <c r="K7">
        <v>0</v>
      </c>
      <c r="L7" t="s">
        <v>72</v>
      </c>
      <c r="M7" s="7">
        <f t="shared" si="0"/>
        <v>3.9889324732128431E-2</v>
      </c>
      <c r="N7" s="2">
        <f t="shared" si="1"/>
        <v>135.90292936236156</v>
      </c>
      <c r="O7" s="2">
        <f t="shared" si="2"/>
        <v>51.002929362361556</v>
      </c>
      <c r="P7" s="2">
        <f t="shared" si="3"/>
        <v>45.300976454120523</v>
      </c>
      <c r="R7" t="s">
        <v>120</v>
      </c>
      <c r="S7" s="2">
        <f>SUM(K3:K50)</f>
        <v>0</v>
      </c>
      <c r="T7" t="s">
        <v>146</v>
      </c>
    </row>
    <row r="8" spans="1:23" x14ac:dyDescent="0.35">
      <c r="A8" t="s">
        <v>75</v>
      </c>
      <c r="C8">
        <v>1</v>
      </c>
      <c r="D8">
        <v>3.5366666659999999</v>
      </c>
      <c r="E8" t="s">
        <v>70</v>
      </c>
      <c r="F8">
        <v>-2.686666666666667</v>
      </c>
      <c r="G8" t="s">
        <v>71</v>
      </c>
      <c r="H8">
        <v>10.609999997999999</v>
      </c>
      <c r="I8">
        <v>-8.0599999999999987</v>
      </c>
      <c r="J8">
        <v>0</v>
      </c>
      <c r="K8">
        <v>0</v>
      </c>
      <c r="L8" t="s">
        <v>72</v>
      </c>
      <c r="M8" s="7">
        <f t="shared" si="0"/>
        <v>4.984990993263886E-3</v>
      </c>
      <c r="N8" s="2">
        <f t="shared" si="1"/>
        <v>16.983864314050059</v>
      </c>
      <c r="O8" s="2">
        <f t="shared" si="2"/>
        <v>6.3738643160500601</v>
      </c>
      <c r="P8" s="2">
        <f t="shared" si="3"/>
        <v>5.6612881046833534</v>
      </c>
      <c r="S8" s="2"/>
    </row>
    <row r="9" spans="1:23" x14ac:dyDescent="0.35">
      <c r="A9" t="s">
        <v>76</v>
      </c>
      <c r="C9">
        <v>1</v>
      </c>
      <c r="D9">
        <v>5.84</v>
      </c>
      <c r="E9" t="s">
        <v>70</v>
      </c>
      <c r="F9">
        <v>2.3366666600000001</v>
      </c>
      <c r="G9" t="s">
        <v>71</v>
      </c>
      <c r="H9">
        <v>17.52</v>
      </c>
      <c r="I9">
        <v>7.0099999799999999</v>
      </c>
      <c r="J9">
        <v>0</v>
      </c>
      <c r="K9">
        <v>0</v>
      </c>
      <c r="L9" t="s">
        <v>72</v>
      </c>
      <c r="M9" s="7">
        <f t="shared" si="0"/>
        <v>8.2315779659233226E-3</v>
      </c>
      <c r="N9" s="2">
        <f t="shared" si="1"/>
        <v>28.044986129900757</v>
      </c>
      <c r="O9" s="2">
        <f t="shared" si="2"/>
        <v>10.524986129900757</v>
      </c>
      <c r="P9" s="2">
        <f t="shared" si="3"/>
        <v>9.3483287099669194</v>
      </c>
      <c r="R9" t="s">
        <v>121</v>
      </c>
      <c r="S9" s="2">
        <f>S5-S7</f>
        <v>1278.6109994306771</v>
      </c>
    </row>
    <row r="10" spans="1:23" x14ac:dyDescent="0.35">
      <c r="A10" t="s">
        <v>78</v>
      </c>
      <c r="C10">
        <v>1</v>
      </c>
      <c r="D10">
        <v>14.372999999999999</v>
      </c>
      <c r="E10" t="s">
        <v>70</v>
      </c>
      <c r="F10">
        <v>3.81</v>
      </c>
      <c r="G10" t="s">
        <v>71</v>
      </c>
      <c r="H10">
        <v>43.119</v>
      </c>
      <c r="I10">
        <v>11.43</v>
      </c>
      <c r="J10">
        <v>0</v>
      </c>
      <c r="K10">
        <v>0</v>
      </c>
      <c r="L10" t="s">
        <v>72</v>
      </c>
      <c r="M10" s="7">
        <f t="shared" si="0"/>
        <v>2.0258984606886285E-2</v>
      </c>
      <c r="N10" s="2">
        <f t="shared" si="1"/>
        <v>69.022360555661578</v>
      </c>
      <c r="O10" s="2">
        <f t="shared" si="2"/>
        <v>25.903360555661578</v>
      </c>
      <c r="P10" s="2">
        <f t="shared" si="3"/>
        <v>23.007453518553859</v>
      </c>
      <c r="S10" s="2"/>
    </row>
    <row r="11" spans="1:23" x14ac:dyDescent="0.35">
      <c r="A11" t="s">
        <v>79</v>
      </c>
      <c r="C11">
        <v>1</v>
      </c>
      <c r="D11">
        <v>32.746666599999998</v>
      </c>
      <c r="E11" t="s">
        <v>70</v>
      </c>
      <c r="F11">
        <v>11.093333333</v>
      </c>
      <c r="G11" t="s">
        <v>71</v>
      </c>
      <c r="H11">
        <v>98.239999800000007</v>
      </c>
      <c r="I11">
        <v>33.279999998999998</v>
      </c>
      <c r="J11">
        <v>0</v>
      </c>
      <c r="K11">
        <v>0</v>
      </c>
      <c r="L11" t="s">
        <v>72</v>
      </c>
      <c r="M11" s="7">
        <f t="shared" si="0"/>
        <v>4.6156975897602266E-2</v>
      </c>
      <c r="N11" s="2">
        <f t="shared" si="1"/>
        <v>157.25681688313091</v>
      </c>
      <c r="O11" s="2">
        <f t="shared" si="2"/>
        <v>59.016817083130903</v>
      </c>
      <c r="P11" s="2">
        <f t="shared" si="3"/>
        <v>52.418938961043636</v>
      </c>
      <c r="R11" t="s">
        <v>122</v>
      </c>
      <c r="S11" s="2">
        <f>SUM(E22:E50)</f>
        <v>0</v>
      </c>
    </row>
    <row r="12" spans="1:23" x14ac:dyDescent="0.35">
      <c r="A12" t="s">
        <v>80</v>
      </c>
      <c r="C12">
        <v>1</v>
      </c>
      <c r="D12">
        <v>56.4</v>
      </c>
      <c r="E12" t="s">
        <v>70</v>
      </c>
      <c r="F12">
        <v>13.2</v>
      </c>
      <c r="G12" t="s">
        <v>71</v>
      </c>
      <c r="H12">
        <v>169.2</v>
      </c>
      <c r="I12">
        <v>39.6</v>
      </c>
      <c r="J12">
        <v>0</v>
      </c>
      <c r="K12">
        <v>0</v>
      </c>
      <c r="L12" t="s">
        <v>72</v>
      </c>
      <c r="M12" s="7">
        <f t="shared" si="0"/>
        <v>7.9496746109259483E-2</v>
      </c>
      <c r="N12" s="2">
        <f t="shared" si="1"/>
        <v>270.84541399424705</v>
      </c>
      <c r="O12" s="2">
        <f t="shared" si="2"/>
        <v>101.64541399424706</v>
      </c>
      <c r="P12" s="2">
        <f t="shared" si="3"/>
        <v>90.281804664749018</v>
      </c>
      <c r="S12" s="2"/>
    </row>
    <row r="13" spans="1:23" x14ac:dyDescent="0.35">
      <c r="A13" t="s">
        <v>81</v>
      </c>
      <c r="C13">
        <v>1</v>
      </c>
      <c r="D13">
        <v>30.41</v>
      </c>
      <c r="E13" t="s">
        <v>70</v>
      </c>
      <c r="F13">
        <v>9.52</v>
      </c>
      <c r="G13" t="s">
        <v>71</v>
      </c>
      <c r="H13">
        <v>91.23</v>
      </c>
      <c r="I13">
        <v>28.56</v>
      </c>
      <c r="J13">
        <v>0</v>
      </c>
      <c r="K13">
        <v>0</v>
      </c>
      <c r="L13" t="s">
        <v>72</v>
      </c>
      <c r="M13" s="7">
        <f t="shared" si="0"/>
        <v>4.2863405127350727E-2</v>
      </c>
      <c r="N13" s="2">
        <f t="shared" si="1"/>
        <v>146.03562126888392</v>
      </c>
      <c r="O13" s="2">
        <f t="shared" si="2"/>
        <v>54.805621268883911</v>
      </c>
      <c r="P13" s="2">
        <f t="shared" si="3"/>
        <v>48.678540422961305</v>
      </c>
      <c r="S13" s="2"/>
    </row>
    <row r="14" spans="1:23" x14ac:dyDescent="0.35">
      <c r="A14" t="s">
        <v>82</v>
      </c>
      <c r="C14">
        <v>1</v>
      </c>
      <c r="D14">
        <v>30.88</v>
      </c>
      <c r="E14" t="s">
        <v>70</v>
      </c>
      <c r="F14">
        <v>8</v>
      </c>
      <c r="G14" t="s">
        <v>71</v>
      </c>
      <c r="H14">
        <v>92.64</v>
      </c>
      <c r="I14">
        <v>24</v>
      </c>
      <c r="J14">
        <v>0</v>
      </c>
      <c r="K14">
        <v>0</v>
      </c>
      <c r="L14" t="s">
        <v>72</v>
      </c>
      <c r="M14" s="7">
        <f t="shared" si="0"/>
        <v>4.3525878011594556E-2</v>
      </c>
      <c r="N14" s="2">
        <f t="shared" si="1"/>
        <v>148.29266638550266</v>
      </c>
      <c r="O14" s="2">
        <f t="shared" si="2"/>
        <v>55.652666385502656</v>
      </c>
      <c r="P14" s="2">
        <f t="shared" si="3"/>
        <v>49.430888795167554</v>
      </c>
    </row>
    <row r="15" spans="1:23" x14ac:dyDescent="0.35">
      <c r="A15" t="s">
        <v>83</v>
      </c>
      <c r="C15">
        <v>1</v>
      </c>
      <c r="D15">
        <v>11.3866666667</v>
      </c>
      <c r="E15" t="s">
        <v>70</v>
      </c>
      <c r="F15">
        <v>1</v>
      </c>
      <c r="G15" t="s">
        <v>71</v>
      </c>
      <c r="H15">
        <v>34.160000000099998</v>
      </c>
      <c r="I15">
        <v>3</v>
      </c>
      <c r="J15">
        <v>0</v>
      </c>
      <c r="K15">
        <v>0</v>
      </c>
      <c r="L15" t="s">
        <v>72</v>
      </c>
      <c r="M15" s="7">
        <f t="shared" si="0"/>
        <v>1.6049697677897479E-2</v>
      </c>
      <c r="N15" s="2">
        <f t="shared" si="1"/>
        <v>54.681319988596712</v>
      </c>
      <c r="O15" s="2">
        <f t="shared" si="2"/>
        <v>20.521319988496714</v>
      </c>
      <c r="P15" s="2">
        <f t="shared" si="3"/>
        <v>18.22710666286557</v>
      </c>
    </row>
    <row r="16" spans="1:23" x14ac:dyDescent="0.35">
      <c r="A16" t="s">
        <v>84</v>
      </c>
      <c r="C16">
        <v>1</v>
      </c>
      <c r="D16">
        <v>13.1</v>
      </c>
      <c r="E16" t="s">
        <v>70</v>
      </c>
      <c r="F16">
        <v>2.4700000000000002</v>
      </c>
      <c r="G16" t="s">
        <v>71</v>
      </c>
      <c r="H16">
        <v>39.299999999999997</v>
      </c>
      <c r="I16">
        <v>7.41</v>
      </c>
      <c r="J16">
        <v>0</v>
      </c>
      <c r="K16">
        <v>0</v>
      </c>
      <c r="L16" t="s">
        <v>72</v>
      </c>
      <c r="M16" s="7">
        <f t="shared" si="0"/>
        <v>1.8464669752327998E-2</v>
      </c>
      <c r="N16" s="2">
        <f t="shared" si="1"/>
        <v>62.909129846181493</v>
      </c>
      <c r="O16" s="2">
        <f t="shared" si="2"/>
        <v>23.609129846181496</v>
      </c>
      <c r="P16" s="2">
        <f t="shared" si="3"/>
        <v>20.969709948727164</v>
      </c>
    </row>
    <row r="17" spans="1:16" x14ac:dyDescent="0.35">
      <c r="A17" t="s">
        <v>85</v>
      </c>
      <c r="C17">
        <v>1</v>
      </c>
      <c r="D17">
        <v>8.93</v>
      </c>
      <c r="E17" t="s">
        <v>70</v>
      </c>
      <c r="F17">
        <v>-0.35333333</v>
      </c>
      <c r="G17" t="s">
        <v>71</v>
      </c>
      <c r="H17">
        <v>26.79</v>
      </c>
      <c r="I17">
        <v>-1.0599999899999999</v>
      </c>
      <c r="J17">
        <v>0</v>
      </c>
      <c r="K17">
        <v>0</v>
      </c>
      <c r="L17" t="s">
        <v>72</v>
      </c>
      <c r="M17" s="7">
        <f t="shared" si="0"/>
        <v>1.2586984800632752E-2</v>
      </c>
      <c r="N17" s="2">
        <f t="shared" si="1"/>
        <v>42.883857215755782</v>
      </c>
      <c r="O17" s="2">
        <f t="shared" si="2"/>
        <v>16.093857215755783</v>
      </c>
      <c r="P17" s="2">
        <f t="shared" si="3"/>
        <v>14.294619071918595</v>
      </c>
    </row>
    <row r="18" spans="1:16" x14ac:dyDescent="0.35">
      <c r="A18" t="s">
        <v>86</v>
      </c>
      <c r="C18">
        <v>1</v>
      </c>
      <c r="D18">
        <v>10.94</v>
      </c>
      <c r="E18" t="s">
        <v>70</v>
      </c>
      <c r="F18">
        <v>1.683333333</v>
      </c>
      <c r="G18" t="s">
        <v>71</v>
      </c>
      <c r="H18">
        <v>32.82</v>
      </c>
      <c r="I18">
        <v>5.0499999989999997</v>
      </c>
      <c r="J18">
        <v>0</v>
      </c>
      <c r="K18">
        <v>0</v>
      </c>
      <c r="L18" t="s">
        <v>72</v>
      </c>
      <c r="M18" s="7">
        <f t="shared" si="0"/>
        <v>1.542011351835636E-2</v>
      </c>
      <c r="N18" s="2">
        <f t="shared" si="1"/>
        <v>52.536326757040122</v>
      </c>
      <c r="O18" s="2">
        <f t="shared" si="2"/>
        <v>19.716326757040122</v>
      </c>
      <c r="P18" s="2">
        <f t="shared" si="3"/>
        <v>17.512108919013375</v>
      </c>
    </row>
    <row r="19" spans="1:16" x14ac:dyDescent="0.35">
      <c r="A19" t="s">
        <v>87</v>
      </c>
      <c r="C19">
        <v>1</v>
      </c>
      <c r="D19">
        <v>22.743333333399999</v>
      </c>
      <c r="E19" t="s">
        <v>70</v>
      </c>
      <c r="F19">
        <v>8.8933333300000008</v>
      </c>
      <c r="G19" t="s">
        <v>71</v>
      </c>
      <c r="H19">
        <v>68.230000000199993</v>
      </c>
      <c r="I19">
        <v>26.679999989999999</v>
      </c>
      <c r="J19">
        <v>0</v>
      </c>
      <c r="K19">
        <v>0</v>
      </c>
      <c r="L19" t="s">
        <v>72</v>
      </c>
      <c r="M19" s="7">
        <f t="shared" si="0"/>
        <v>3.2057109852545354E-2</v>
      </c>
      <c r="N19" s="2">
        <f t="shared" si="1"/>
        <v>109.21857326762202</v>
      </c>
      <c r="O19" s="2">
        <f t="shared" si="2"/>
        <v>40.988573267422026</v>
      </c>
      <c r="P19" s="2">
        <f t="shared" si="3"/>
        <v>36.40619108920734</v>
      </c>
    </row>
    <row r="20" spans="1:16" x14ac:dyDescent="0.35">
      <c r="A20" t="s">
        <v>88</v>
      </c>
      <c r="C20">
        <v>1</v>
      </c>
      <c r="D20">
        <v>42.8</v>
      </c>
      <c r="E20" t="s">
        <v>70</v>
      </c>
      <c r="F20">
        <v>11.8</v>
      </c>
      <c r="G20" t="s">
        <v>71</v>
      </c>
      <c r="H20">
        <v>128.4</v>
      </c>
      <c r="I20">
        <v>35.400000000000013</v>
      </c>
      <c r="J20">
        <v>0</v>
      </c>
      <c r="K20">
        <v>0</v>
      </c>
      <c r="L20" t="s">
        <v>72</v>
      </c>
      <c r="M20" s="7">
        <f t="shared" si="0"/>
        <v>6.0327317969438049E-2</v>
      </c>
      <c r="N20" s="2">
        <f t="shared" si="1"/>
        <v>205.53517232187545</v>
      </c>
      <c r="O20" s="2">
        <f t="shared" si="2"/>
        <v>77.135172321875444</v>
      </c>
      <c r="P20" s="2">
        <f t="shared" si="3"/>
        <v>68.511724107291812</v>
      </c>
    </row>
    <row r="21" spans="1:16" x14ac:dyDescent="0.35">
      <c r="A21" t="s">
        <v>89</v>
      </c>
      <c r="C21">
        <v>1</v>
      </c>
      <c r="D21">
        <v>51.68</v>
      </c>
      <c r="E21" t="s">
        <v>70</v>
      </c>
      <c r="F21">
        <v>20.816666666669999</v>
      </c>
      <c r="G21" t="s">
        <v>71</v>
      </c>
      <c r="H21">
        <v>155.04</v>
      </c>
      <c r="I21">
        <v>62.450000000009993</v>
      </c>
      <c r="J21">
        <v>0</v>
      </c>
      <c r="K21">
        <v>0</v>
      </c>
      <c r="L21" t="s">
        <v>72</v>
      </c>
      <c r="M21" s="7">
        <f t="shared" si="0"/>
        <v>7.2843826931321451E-2</v>
      </c>
      <c r="N21" s="2">
        <f t="shared" si="1"/>
        <v>248.17891835501217</v>
      </c>
      <c r="O21" s="2">
        <f t="shared" si="2"/>
        <v>93.13891835501218</v>
      </c>
      <c r="P21" s="2">
        <f t="shared" si="3"/>
        <v>82.726306118337391</v>
      </c>
    </row>
    <row r="22" spans="1:16" x14ac:dyDescent="0.35">
      <c r="A22" t="s">
        <v>90</v>
      </c>
      <c r="C22">
        <v>1</v>
      </c>
      <c r="D22">
        <v>66.706666600000005</v>
      </c>
      <c r="E22" t="s">
        <v>70</v>
      </c>
      <c r="F22">
        <v>26.606666665999999</v>
      </c>
      <c r="G22" t="s">
        <v>71</v>
      </c>
      <c r="H22">
        <v>200.11999979999999</v>
      </c>
      <c r="I22">
        <v>79.819999998</v>
      </c>
      <c r="J22">
        <v>0</v>
      </c>
      <c r="K22">
        <v>0</v>
      </c>
      <c r="L22" t="s">
        <v>72</v>
      </c>
      <c r="M22" s="7">
        <f t="shared" si="0"/>
        <v>9.4024165576156365E-2</v>
      </c>
      <c r="N22" s="2">
        <f t="shared" si="1"/>
        <v>320.34033211796475</v>
      </c>
      <c r="O22" s="2">
        <f t="shared" si="2"/>
        <v>120.22033231796476</v>
      </c>
      <c r="P22" s="2">
        <f t="shared" si="3"/>
        <v>106.78011070598825</v>
      </c>
    </row>
    <row r="23" spans="1:16" x14ac:dyDescent="0.35">
      <c r="A23" t="s">
        <v>91</v>
      </c>
      <c r="C23">
        <v>1</v>
      </c>
      <c r="D23">
        <v>6.0166666666699999</v>
      </c>
      <c r="E23" t="s">
        <v>70</v>
      </c>
      <c r="F23">
        <v>3.1866666666699999</v>
      </c>
      <c r="G23" t="s">
        <v>71</v>
      </c>
      <c r="H23">
        <v>18.050000000010002</v>
      </c>
      <c r="I23">
        <v>9.5600000000099996</v>
      </c>
      <c r="J23">
        <v>0</v>
      </c>
      <c r="K23">
        <v>0</v>
      </c>
      <c r="L23" t="s">
        <v>72</v>
      </c>
      <c r="M23" s="7">
        <f t="shared" si="0"/>
        <v>8.4805925961757012E-3</v>
      </c>
      <c r="N23" s="2">
        <f t="shared" si="1"/>
        <v>28.893378975170613</v>
      </c>
      <c r="O23" s="2">
        <f t="shared" si="2"/>
        <v>10.843378975160611</v>
      </c>
      <c r="P23" s="2">
        <f t="shared" si="3"/>
        <v>9.6311263250568704</v>
      </c>
    </row>
    <row r="24" spans="1:16" x14ac:dyDescent="0.35">
      <c r="A24" t="s">
        <v>92</v>
      </c>
      <c r="C24">
        <v>1</v>
      </c>
      <c r="D24">
        <v>13.24333333</v>
      </c>
      <c r="E24" t="s">
        <v>70</v>
      </c>
      <c r="F24">
        <v>4.2933333332999997</v>
      </c>
      <c r="G24" t="s">
        <v>71</v>
      </c>
      <c r="H24">
        <v>39.729999990000003</v>
      </c>
      <c r="I24">
        <v>12.879999999900001</v>
      </c>
      <c r="J24">
        <v>0</v>
      </c>
      <c r="K24">
        <v>0</v>
      </c>
      <c r="L24" t="s">
        <v>72</v>
      </c>
      <c r="M24" s="7">
        <f t="shared" si="0"/>
        <v>1.8666700485377732E-2</v>
      </c>
      <c r="N24" s="2">
        <f t="shared" si="1"/>
        <v>63.597448553681929</v>
      </c>
      <c r="O24" s="2">
        <f t="shared" si="2"/>
        <v>23.867448563681926</v>
      </c>
      <c r="P24" s="2">
        <f t="shared" si="3"/>
        <v>21.199149517893975</v>
      </c>
    </row>
    <row r="25" spans="1:16" x14ac:dyDescent="0.35">
      <c r="A25" t="s">
        <v>93</v>
      </c>
      <c r="C25">
        <v>1</v>
      </c>
      <c r="D25">
        <v>0</v>
      </c>
      <c r="E25" t="s">
        <v>70</v>
      </c>
      <c r="F25">
        <v>-0.93333333340000002</v>
      </c>
      <c r="G25" t="s">
        <v>71</v>
      </c>
      <c r="H25">
        <v>0</v>
      </c>
      <c r="I25">
        <v>-2.8000000001999998</v>
      </c>
      <c r="J25">
        <v>0</v>
      </c>
      <c r="K25">
        <v>0</v>
      </c>
      <c r="L25" t="s">
        <v>72</v>
      </c>
      <c r="M25" s="7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35">
      <c r="A26" t="s">
        <v>94</v>
      </c>
      <c r="C26">
        <v>1</v>
      </c>
      <c r="D26">
        <v>5.12</v>
      </c>
      <c r="E26" t="s">
        <v>70</v>
      </c>
      <c r="F26">
        <v>1.1033333332999999</v>
      </c>
      <c r="G26" t="s">
        <v>71</v>
      </c>
      <c r="H26">
        <v>15.36</v>
      </c>
      <c r="I26">
        <v>3.3099999999</v>
      </c>
      <c r="J26">
        <v>0</v>
      </c>
      <c r="K26">
        <v>0</v>
      </c>
      <c r="L26" t="s">
        <v>72</v>
      </c>
      <c r="M26" s="7">
        <f t="shared" si="0"/>
        <v>7.2167258879327753E-3</v>
      </c>
      <c r="N26" s="2">
        <f t="shared" si="1"/>
        <v>24.587385100186964</v>
      </c>
      <c r="O26" s="2">
        <f t="shared" si="2"/>
        <v>9.2273851001869645</v>
      </c>
      <c r="P26" s="2">
        <f t="shared" si="3"/>
        <v>8.1957950333956546</v>
      </c>
    </row>
    <row r="27" spans="1:16" x14ac:dyDescent="0.35">
      <c r="A27" t="s">
        <v>95</v>
      </c>
      <c r="C27">
        <v>1</v>
      </c>
      <c r="D27">
        <v>14.7</v>
      </c>
      <c r="E27" t="s">
        <v>70</v>
      </c>
      <c r="F27">
        <v>2.7333333334000001</v>
      </c>
      <c r="G27" t="s">
        <v>71</v>
      </c>
      <c r="H27">
        <v>44.1</v>
      </c>
      <c r="I27">
        <v>8.2000000001999993</v>
      </c>
      <c r="J27">
        <v>0</v>
      </c>
      <c r="K27">
        <v>0</v>
      </c>
      <c r="L27" t="s">
        <v>72</v>
      </c>
      <c r="M27" s="7">
        <f t="shared" si="0"/>
        <v>2.0719896592306993E-2</v>
      </c>
      <c r="N27" s="2">
        <f t="shared" si="1"/>
        <v>70.59268768998993</v>
      </c>
      <c r="O27" s="2">
        <f t="shared" si="2"/>
        <v>26.492687689989928</v>
      </c>
      <c r="P27" s="2">
        <f t="shared" si="3"/>
        <v>23.53089589666331</v>
      </c>
    </row>
    <row r="28" spans="1:16" x14ac:dyDescent="0.35">
      <c r="A28" t="s">
        <v>96</v>
      </c>
      <c r="C28">
        <v>1</v>
      </c>
      <c r="D28">
        <v>19.066666666669999</v>
      </c>
      <c r="E28" t="s">
        <v>70</v>
      </c>
      <c r="F28">
        <v>1.1333333333333999</v>
      </c>
      <c r="G28" t="s">
        <v>71</v>
      </c>
      <c r="H28">
        <v>57.200000000009993</v>
      </c>
      <c r="I28">
        <v>3.4000000000002002</v>
      </c>
      <c r="J28">
        <v>0</v>
      </c>
      <c r="K28">
        <v>0</v>
      </c>
      <c r="L28" t="s">
        <v>72</v>
      </c>
      <c r="M28" s="7">
        <f t="shared" si="0"/>
        <v>2.6874786509754355E-2</v>
      </c>
      <c r="N28" s="2">
        <f t="shared" si="1"/>
        <v>91.562397638733088</v>
      </c>
      <c r="O28" s="2">
        <f t="shared" si="2"/>
        <v>34.362397638723095</v>
      </c>
      <c r="P28" s="2">
        <f t="shared" si="3"/>
        <v>30.520799212911029</v>
      </c>
    </row>
    <row r="29" spans="1:16" x14ac:dyDescent="0.35">
      <c r="A29" t="s">
        <v>97</v>
      </c>
      <c r="C29">
        <v>1</v>
      </c>
      <c r="D29">
        <v>0.62</v>
      </c>
      <c r="E29" t="s">
        <v>70</v>
      </c>
      <c r="F29">
        <v>0.06</v>
      </c>
      <c r="G29" t="s">
        <v>71</v>
      </c>
      <c r="H29">
        <v>1.86</v>
      </c>
      <c r="I29">
        <v>0.18</v>
      </c>
      <c r="J29">
        <v>0</v>
      </c>
      <c r="K29">
        <v>0</v>
      </c>
      <c r="L29" t="s">
        <v>72</v>
      </c>
      <c r="M29" s="7">
        <f t="shared" si="0"/>
        <v>8.7390040049185966E-4</v>
      </c>
      <c r="N29" s="2">
        <f t="shared" si="1"/>
        <v>2.9773786644757658</v>
      </c>
      <c r="O29" s="2">
        <f t="shared" si="2"/>
        <v>1.1173786644757657</v>
      </c>
      <c r="P29" s="2">
        <f t="shared" si="3"/>
        <v>0.99245955482525527</v>
      </c>
    </row>
    <row r="30" spans="1:16" x14ac:dyDescent="0.35">
      <c r="A30" t="s">
        <v>98</v>
      </c>
      <c r="C30">
        <v>1</v>
      </c>
      <c r="D30">
        <v>0.43</v>
      </c>
      <c r="E30" t="s">
        <v>70</v>
      </c>
      <c r="F30">
        <v>0.09</v>
      </c>
      <c r="G30" t="s">
        <v>71</v>
      </c>
      <c r="H30">
        <v>1.29</v>
      </c>
      <c r="I30">
        <v>0.27</v>
      </c>
      <c r="J30">
        <v>0</v>
      </c>
      <c r="K30">
        <v>0</v>
      </c>
      <c r="L30" t="s">
        <v>72</v>
      </c>
      <c r="M30" s="7">
        <f t="shared" si="0"/>
        <v>6.0609221324435427E-4</v>
      </c>
      <c r="N30" s="2">
        <f t="shared" si="1"/>
        <v>2.0649561705235149</v>
      </c>
      <c r="O30" s="2">
        <f t="shared" si="2"/>
        <v>0.77495617052351484</v>
      </c>
      <c r="P30" s="2">
        <f t="shared" si="3"/>
        <v>0.68831872350783829</v>
      </c>
    </row>
    <row r="31" spans="1:16" x14ac:dyDescent="0.35">
      <c r="A31" t="s">
        <v>99</v>
      </c>
      <c r="C31">
        <v>1</v>
      </c>
      <c r="D31">
        <v>30.173333332999999</v>
      </c>
      <c r="E31" t="s">
        <v>70</v>
      </c>
      <c r="F31">
        <v>15.273333333</v>
      </c>
      <c r="G31" t="s">
        <v>71</v>
      </c>
      <c r="H31">
        <v>90.519999999000007</v>
      </c>
      <c r="I31">
        <v>45.819999998999997</v>
      </c>
      <c r="J31">
        <v>0</v>
      </c>
      <c r="K31">
        <v>0</v>
      </c>
      <c r="L31" t="s">
        <v>72</v>
      </c>
      <c r="M31" s="7">
        <f t="shared" si="0"/>
        <v>4.2529819490133999E-2</v>
      </c>
      <c r="N31" s="2">
        <f t="shared" si="1"/>
        <v>144.89909500288653</v>
      </c>
      <c r="O31" s="2">
        <f t="shared" si="2"/>
        <v>54.379095003886519</v>
      </c>
      <c r="P31" s="2">
        <f t="shared" si="3"/>
        <v>48.299698334295506</v>
      </c>
    </row>
    <row r="32" spans="1:16" x14ac:dyDescent="0.35">
      <c r="A32" t="s">
        <v>102</v>
      </c>
      <c r="C32">
        <v>1</v>
      </c>
      <c r="D32">
        <v>5.38666666666</v>
      </c>
      <c r="E32" t="s">
        <v>70</v>
      </c>
      <c r="F32">
        <v>0.18666666670000001</v>
      </c>
      <c r="G32" t="s">
        <v>71</v>
      </c>
      <c r="H32">
        <v>16.159999999979998</v>
      </c>
      <c r="I32">
        <v>0.56000000010000006</v>
      </c>
      <c r="J32">
        <v>0</v>
      </c>
      <c r="K32">
        <v>0</v>
      </c>
      <c r="L32" t="s">
        <v>72</v>
      </c>
      <c r="M32" s="7">
        <f t="shared" si="0"/>
        <v>7.5925970279198769E-3</v>
      </c>
      <c r="N32" s="2">
        <f t="shared" si="1"/>
        <v>25.867978074123023</v>
      </c>
      <c r="O32" s="2">
        <f t="shared" si="2"/>
        <v>9.7079780741430248</v>
      </c>
      <c r="P32" s="2">
        <f t="shared" si="3"/>
        <v>8.6226593580410071</v>
      </c>
    </row>
    <row r="33" spans="1:16" x14ac:dyDescent="0.35">
      <c r="A33" t="s">
        <v>103</v>
      </c>
      <c r="C33">
        <v>1</v>
      </c>
      <c r="D33">
        <v>5.6566666659999996</v>
      </c>
      <c r="E33" t="s">
        <v>70</v>
      </c>
      <c r="F33">
        <v>-0.67666665999999998</v>
      </c>
      <c r="G33" t="s">
        <v>71</v>
      </c>
      <c r="H33">
        <v>16.969999997999999</v>
      </c>
      <c r="I33">
        <v>-2.0299999799999999</v>
      </c>
      <c r="J33">
        <v>0</v>
      </c>
      <c r="K33">
        <v>0</v>
      </c>
      <c r="L33" t="s">
        <v>72</v>
      </c>
      <c r="M33" s="7">
        <f t="shared" si="0"/>
        <v>7.9731665562360506E-3</v>
      </c>
      <c r="N33" s="2">
        <f t="shared" si="1"/>
        <v>27.164578457096226</v>
      </c>
      <c r="O33" s="2">
        <f t="shared" si="2"/>
        <v>10.194578459096228</v>
      </c>
      <c r="P33" s="2">
        <f t="shared" si="3"/>
        <v>9.0548594856987421</v>
      </c>
    </row>
    <row r="34" spans="1:16" x14ac:dyDescent="0.35">
      <c r="A34" t="s">
        <v>104</v>
      </c>
      <c r="C34">
        <v>1</v>
      </c>
      <c r="D34">
        <v>12.276666666000001</v>
      </c>
      <c r="E34" t="s">
        <v>70</v>
      </c>
      <c r="F34">
        <v>2.16</v>
      </c>
      <c r="G34" t="s">
        <v>71</v>
      </c>
      <c r="H34">
        <v>36.829999998000012</v>
      </c>
      <c r="I34">
        <v>6.48</v>
      </c>
      <c r="J34">
        <v>0</v>
      </c>
      <c r="K34">
        <v>0</v>
      </c>
      <c r="L34" t="s">
        <v>72</v>
      </c>
      <c r="M34" s="7">
        <f t="shared" si="0"/>
        <v>1.7304167606649139E-2</v>
      </c>
      <c r="N34" s="2">
        <f t="shared" si="1"/>
        <v>58.955299035853614</v>
      </c>
      <c r="O34" s="2">
        <f t="shared" si="2"/>
        <v>22.125299037853601</v>
      </c>
      <c r="P34" s="2">
        <f t="shared" si="3"/>
        <v>19.651766345284539</v>
      </c>
    </row>
    <row r="35" spans="1:16" x14ac:dyDescent="0.35">
      <c r="A35" t="s">
        <v>105</v>
      </c>
      <c r="C35">
        <v>1</v>
      </c>
      <c r="D35">
        <v>10.736666666</v>
      </c>
      <c r="E35" t="s">
        <v>70</v>
      </c>
      <c r="F35">
        <v>6.2533333332999996</v>
      </c>
      <c r="G35" t="s">
        <v>71</v>
      </c>
      <c r="H35">
        <v>32.209999998000001</v>
      </c>
      <c r="I35">
        <v>18.7599999999</v>
      </c>
      <c r="J35">
        <v>0</v>
      </c>
      <c r="K35">
        <v>0</v>
      </c>
      <c r="L35" t="s">
        <v>72</v>
      </c>
      <c r="M35" s="7">
        <f t="shared" si="0"/>
        <v>1.5133511773169354E-2</v>
      </c>
      <c r="N35" s="2">
        <f t="shared" si="1"/>
        <v>51.559874611187986</v>
      </c>
      <c r="O35" s="2">
        <f t="shared" si="2"/>
        <v>19.349874613187986</v>
      </c>
      <c r="P35" s="2">
        <f t="shared" si="3"/>
        <v>17.186624870395995</v>
      </c>
    </row>
    <row r="36" spans="1:16" x14ac:dyDescent="0.35">
      <c r="A36" t="s">
        <v>106</v>
      </c>
      <c r="C36">
        <v>1</v>
      </c>
      <c r="D36">
        <v>9.91</v>
      </c>
      <c r="E36" t="s">
        <v>70</v>
      </c>
      <c r="F36">
        <v>4.18</v>
      </c>
      <c r="G36" t="s">
        <v>71</v>
      </c>
      <c r="H36">
        <v>29.73</v>
      </c>
      <c r="I36">
        <v>12.54</v>
      </c>
      <c r="J36">
        <v>0</v>
      </c>
      <c r="K36">
        <v>0</v>
      </c>
      <c r="L36" t="s">
        <v>72</v>
      </c>
      <c r="M36" s="7">
        <f t="shared" si="0"/>
        <v>1.3968311240119885E-2</v>
      </c>
      <c r="N36" s="2">
        <f t="shared" si="1"/>
        <v>47.590036395088447</v>
      </c>
      <c r="O36" s="2">
        <f t="shared" si="2"/>
        <v>17.860036395088446</v>
      </c>
      <c r="P36" s="2">
        <f t="shared" si="3"/>
        <v>15.863345465029482</v>
      </c>
    </row>
    <row r="37" spans="1:16" x14ac:dyDescent="0.35">
      <c r="A37" t="s">
        <v>107</v>
      </c>
      <c r="C37">
        <v>1</v>
      </c>
      <c r="D37">
        <v>11.03333333</v>
      </c>
      <c r="E37" t="s">
        <v>70</v>
      </c>
      <c r="F37">
        <v>-6.3</v>
      </c>
      <c r="G37" t="s">
        <v>71</v>
      </c>
      <c r="H37">
        <v>33.099999990000001</v>
      </c>
      <c r="I37">
        <v>-18.899999999999999</v>
      </c>
      <c r="J37">
        <v>0</v>
      </c>
      <c r="K37">
        <v>0</v>
      </c>
      <c r="L37" t="s">
        <v>72</v>
      </c>
      <c r="M37" s="7">
        <f t="shared" si="0"/>
        <v>1.5551668412656747E-2</v>
      </c>
      <c r="N37" s="2">
        <f t="shared" si="1"/>
        <v>52.98453428192154</v>
      </c>
      <c r="O37" s="2">
        <f t="shared" si="2"/>
        <v>19.88453429192154</v>
      </c>
      <c r="P37" s="2">
        <f t="shared" si="3"/>
        <v>17.661511427307179</v>
      </c>
    </row>
    <row r="38" spans="1:16" x14ac:dyDescent="0.35">
      <c r="A38" t="s">
        <v>108</v>
      </c>
      <c r="C38">
        <v>1</v>
      </c>
      <c r="D38">
        <v>12.386666666669999</v>
      </c>
      <c r="E38" t="s">
        <v>70</v>
      </c>
      <c r="F38">
        <v>2.2666666666666671</v>
      </c>
      <c r="G38" t="s">
        <v>71</v>
      </c>
      <c r="H38">
        <v>37.160000000010001</v>
      </c>
      <c r="I38">
        <v>6.8</v>
      </c>
      <c r="J38">
        <v>0</v>
      </c>
      <c r="K38">
        <v>0</v>
      </c>
      <c r="L38" t="s">
        <v>72</v>
      </c>
      <c r="M38" s="7">
        <f t="shared" si="0"/>
        <v>1.7459214452842067E-2</v>
      </c>
      <c r="N38" s="2">
        <f t="shared" si="1"/>
        <v>59.48354364083292</v>
      </c>
      <c r="O38" s="2">
        <f t="shared" si="2"/>
        <v>22.323543640822919</v>
      </c>
      <c r="P38" s="2">
        <f t="shared" si="3"/>
        <v>19.827847880277641</v>
      </c>
    </row>
    <row r="39" spans="1:16" x14ac:dyDescent="0.35">
      <c r="A39" t="s">
        <v>109</v>
      </c>
      <c r="C39">
        <v>1</v>
      </c>
      <c r="D39">
        <v>16.063333333333329</v>
      </c>
      <c r="E39" t="s">
        <v>70</v>
      </c>
      <c r="F39">
        <v>-1.3033333330000001</v>
      </c>
      <c r="G39" t="s">
        <v>71</v>
      </c>
      <c r="H39">
        <v>48.19</v>
      </c>
      <c r="I39">
        <v>-3.9099999990000001</v>
      </c>
      <c r="J39">
        <v>0</v>
      </c>
      <c r="K39">
        <v>0</v>
      </c>
      <c r="L39" t="s">
        <v>72</v>
      </c>
      <c r="M39" s="7">
        <f t="shared" si="0"/>
        <v>2.2641537795539093E-2</v>
      </c>
      <c r="N39" s="2">
        <f t="shared" si="1"/>
        <v>77.139719269401695</v>
      </c>
      <c r="O39" s="2">
        <f t="shared" si="2"/>
        <v>28.949719269401697</v>
      </c>
      <c r="P39" s="2">
        <f t="shared" si="3"/>
        <v>25.713239756467232</v>
      </c>
    </row>
    <row r="40" spans="1:16" x14ac:dyDescent="0.35">
      <c r="A40" t="s">
        <v>110</v>
      </c>
      <c r="C40">
        <v>1</v>
      </c>
      <c r="D40">
        <v>5.5866666666700002</v>
      </c>
      <c r="E40" t="s">
        <v>70</v>
      </c>
      <c r="F40">
        <v>2.3333333333300001</v>
      </c>
      <c r="G40" t="s">
        <v>71</v>
      </c>
      <c r="H40">
        <v>16.760000000009999</v>
      </c>
      <c r="I40">
        <v>6.9999999999900009</v>
      </c>
      <c r="J40">
        <v>0</v>
      </c>
      <c r="K40">
        <v>0</v>
      </c>
      <c r="L40" t="s">
        <v>72</v>
      </c>
      <c r="M40" s="7">
        <f t="shared" si="0"/>
        <v>7.8745003829313459E-3</v>
      </c>
      <c r="N40" s="2">
        <f t="shared" si="1"/>
        <v>26.828422804647097</v>
      </c>
      <c r="O40" s="2">
        <f t="shared" si="2"/>
        <v>10.068422804637098</v>
      </c>
      <c r="P40" s="2">
        <f t="shared" si="3"/>
        <v>8.942807601549033</v>
      </c>
    </row>
    <row r="41" spans="1:16" x14ac:dyDescent="0.35">
      <c r="A41" t="s">
        <v>111</v>
      </c>
      <c r="C41">
        <v>1</v>
      </c>
      <c r="D41">
        <v>10.926666665999999</v>
      </c>
      <c r="E41" t="s">
        <v>70</v>
      </c>
      <c r="F41">
        <v>1.9466666666000001</v>
      </c>
      <c r="G41" t="s">
        <v>71</v>
      </c>
      <c r="H41">
        <v>32.779999997999987</v>
      </c>
      <c r="I41">
        <v>5.8399999997999998</v>
      </c>
      <c r="J41">
        <v>0</v>
      </c>
      <c r="K41">
        <v>0</v>
      </c>
      <c r="L41" t="s">
        <v>72</v>
      </c>
      <c r="M41" s="7">
        <f t="shared" si="0"/>
        <v>1.5401319960416852E-2</v>
      </c>
      <c r="N41" s="2">
        <f t="shared" si="1"/>
        <v>52.472297105140214</v>
      </c>
      <c r="O41" s="2">
        <f t="shared" si="2"/>
        <v>19.692297107140227</v>
      </c>
      <c r="P41" s="2">
        <f t="shared" si="3"/>
        <v>17.490765701713404</v>
      </c>
    </row>
    <row r="42" spans="1:16" x14ac:dyDescent="0.35">
      <c r="A42" t="s">
        <v>112</v>
      </c>
      <c r="C42">
        <v>1</v>
      </c>
      <c r="D42">
        <v>5.0333333333340002</v>
      </c>
      <c r="E42" t="s">
        <v>70</v>
      </c>
      <c r="F42">
        <v>3.1333333333339999</v>
      </c>
      <c r="G42" t="s">
        <v>71</v>
      </c>
      <c r="H42">
        <v>15.100000000002</v>
      </c>
      <c r="I42">
        <v>9.4000000000019988</v>
      </c>
      <c r="J42">
        <v>0</v>
      </c>
      <c r="K42">
        <v>0</v>
      </c>
      <c r="L42" t="s">
        <v>72</v>
      </c>
      <c r="M42" s="7">
        <f t="shared" si="0"/>
        <v>7.0945677674348531E-3</v>
      </c>
      <c r="N42" s="2">
        <f t="shared" si="1"/>
        <v>24.171192383650546</v>
      </c>
      <c r="O42" s="2">
        <f t="shared" si="2"/>
        <v>9.0711923836485457</v>
      </c>
      <c r="P42" s="2">
        <f t="shared" si="3"/>
        <v>8.0570641278835158</v>
      </c>
    </row>
    <row r="43" spans="1:16" x14ac:dyDescent="0.35">
      <c r="A43" t="s">
        <v>113</v>
      </c>
      <c r="C43">
        <v>1</v>
      </c>
      <c r="D43">
        <v>20.733333333339999</v>
      </c>
      <c r="E43" t="s">
        <v>70</v>
      </c>
      <c r="F43">
        <v>2.2333333333334</v>
      </c>
      <c r="G43" t="s">
        <v>71</v>
      </c>
      <c r="H43">
        <v>62.200000000019998</v>
      </c>
      <c r="I43">
        <v>6.7000000000002</v>
      </c>
      <c r="J43">
        <v>0</v>
      </c>
      <c r="K43">
        <v>0</v>
      </c>
      <c r="L43" t="s">
        <v>72</v>
      </c>
      <c r="M43" s="7">
        <f t="shared" si="0"/>
        <v>2.9223981134737172E-2</v>
      </c>
      <c r="N43" s="2">
        <f t="shared" si="1"/>
        <v>99.566103726049548</v>
      </c>
      <c r="O43" s="2">
        <f t="shared" si="2"/>
        <v>37.36610372602955</v>
      </c>
      <c r="P43" s="2">
        <f t="shared" si="3"/>
        <v>33.188701242016514</v>
      </c>
    </row>
    <row r="44" spans="1:16" x14ac:dyDescent="0.35">
      <c r="A44" t="s">
        <v>114</v>
      </c>
      <c r="C44">
        <v>1</v>
      </c>
      <c r="D44">
        <v>10.666667</v>
      </c>
      <c r="E44" t="s">
        <v>70</v>
      </c>
      <c r="F44">
        <v>2.6</v>
      </c>
      <c r="G44" t="s">
        <v>71</v>
      </c>
      <c r="H44">
        <v>32.000000999999997</v>
      </c>
      <c r="I44">
        <v>7.8000000000000007</v>
      </c>
      <c r="J44">
        <v>0</v>
      </c>
      <c r="K44">
        <v>0</v>
      </c>
      <c r="L44" t="s">
        <v>72</v>
      </c>
      <c r="M44" s="7">
        <f t="shared" si="0"/>
        <v>1.5034846069698873E-2</v>
      </c>
      <c r="N44" s="2">
        <f t="shared" si="1"/>
        <v>51.223720559464056</v>
      </c>
      <c r="O44" s="2">
        <f t="shared" si="2"/>
        <v>19.223719559464058</v>
      </c>
      <c r="P44" s="2">
        <f t="shared" si="3"/>
        <v>17.074573519821353</v>
      </c>
    </row>
    <row r="45" spans="1:16" x14ac:dyDescent="0.35">
      <c r="A45" t="s">
        <v>115</v>
      </c>
      <c r="C45">
        <v>1</v>
      </c>
      <c r="D45">
        <v>8</v>
      </c>
      <c r="E45" t="s">
        <v>70</v>
      </c>
      <c r="F45">
        <v>0.13333333333399999</v>
      </c>
      <c r="G45" t="s">
        <v>71</v>
      </c>
      <c r="H45">
        <v>24</v>
      </c>
      <c r="I45">
        <v>0.40000000000199998</v>
      </c>
      <c r="J45">
        <v>0</v>
      </c>
      <c r="K45">
        <v>0</v>
      </c>
      <c r="L45" t="s">
        <v>72</v>
      </c>
      <c r="M45" s="7">
        <f t="shared" si="0"/>
        <v>1.1276134199894962E-2</v>
      </c>
      <c r="N45" s="2">
        <f t="shared" si="1"/>
        <v>38.417789219042135</v>
      </c>
      <c r="O45" s="2">
        <f t="shared" si="2"/>
        <v>14.417789219042135</v>
      </c>
      <c r="P45" s="2">
        <f t="shared" si="3"/>
        <v>12.805929739680712</v>
      </c>
    </row>
    <row r="46" spans="1:16" x14ac:dyDescent="0.35">
      <c r="A46" t="s">
        <v>116</v>
      </c>
      <c r="C46">
        <v>1</v>
      </c>
      <c r="D46">
        <v>12.666666666667</v>
      </c>
      <c r="E46" t="s">
        <v>70</v>
      </c>
      <c r="F46">
        <v>4.0333333333333998</v>
      </c>
      <c r="G46" t="s">
        <v>71</v>
      </c>
      <c r="H46">
        <v>38.000000000001002</v>
      </c>
      <c r="I46">
        <v>12.1000000000002</v>
      </c>
      <c r="J46">
        <v>0</v>
      </c>
      <c r="K46">
        <v>0</v>
      </c>
      <c r="L46" t="s">
        <v>72</v>
      </c>
      <c r="M46" s="7">
        <f t="shared" si="0"/>
        <v>1.7853879149834162E-2</v>
      </c>
      <c r="N46" s="2">
        <f t="shared" si="1"/>
        <v>60.828166263484988</v>
      </c>
      <c r="O46" s="2">
        <f t="shared" si="2"/>
        <v>22.828166263483986</v>
      </c>
      <c r="P46" s="2">
        <f t="shared" si="3"/>
        <v>20.276055421161661</v>
      </c>
    </row>
    <row r="47" spans="1:16" x14ac:dyDescent="0.35">
      <c r="A47" t="s">
        <v>117</v>
      </c>
      <c r="C47">
        <v>1</v>
      </c>
      <c r="D47">
        <v>19.23</v>
      </c>
      <c r="E47" t="s">
        <v>70</v>
      </c>
      <c r="F47">
        <v>-0.2</v>
      </c>
      <c r="G47" t="s">
        <v>71</v>
      </c>
      <c r="H47">
        <v>57.69</v>
      </c>
      <c r="I47">
        <v>-0.60000000000000009</v>
      </c>
      <c r="J47">
        <v>0</v>
      </c>
      <c r="K47">
        <v>0</v>
      </c>
      <c r="L47" t="s">
        <v>72</v>
      </c>
      <c r="M47" s="7">
        <f t="shared" si="0"/>
        <v>2.7105007582997515E-2</v>
      </c>
      <c r="N47" s="2">
        <f t="shared" si="1"/>
        <v>92.346760835272534</v>
      </c>
      <c r="O47" s="2">
        <f t="shared" si="2"/>
        <v>34.656760835272536</v>
      </c>
      <c r="P47" s="2">
        <f t="shared" si="3"/>
        <v>30.782253611757511</v>
      </c>
    </row>
  </sheetData>
  <autoFilter ref="A1:P1" xr:uid="{00000000-0001-0000-0200-000000000000}">
    <sortState xmlns:xlrd2="http://schemas.microsoft.com/office/spreadsheetml/2017/richdata2" ref="A2:P47">
      <sortCondition ref="C1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C0F7A-8CB5-4BF4-954A-EF2BE8382E66}">
  <dimension ref="C4:H21"/>
  <sheetViews>
    <sheetView topLeftCell="A2" workbookViewId="0">
      <selection activeCell="G17" sqref="G17"/>
    </sheetView>
  </sheetViews>
  <sheetFormatPr baseColWidth="10" defaultColWidth="11.54296875" defaultRowHeight="14.5" x14ac:dyDescent="0.35"/>
  <cols>
    <col min="7" max="7" width="14.54296875" customWidth="1"/>
  </cols>
  <sheetData>
    <row r="4" spans="3:8" x14ac:dyDescent="0.35">
      <c r="C4" t="s">
        <v>144</v>
      </c>
      <c r="D4" t="s">
        <v>145</v>
      </c>
      <c r="E4" s="2"/>
    </row>
    <row r="5" spans="3:8" x14ac:dyDescent="0.35">
      <c r="E5" s="2" t="s">
        <v>127</v>
      </c>
      <c r="F5" t="s">
        <v>128</v>
      </c>
      <c r="G5" t="s">
        <v>129</v>
      </c>
    </row>
    <row r="6" spans="3:8" x14ac:dyDescent="0.35">
      <c r="D6" t="s">
        <v>130</v>
      </c>
      <c r="E6" s="2">
        <f>SUM(Cargas!S3)</f>
        <v>2128.3890005693229</v>
      </c>
      <c r="F6" s="5">
        <v>3407</v>
      </c>
      <c r="G6" s="6">
        <f>F6-E6</f>
        <v>1278.6109994306771</v>
      </c>
    </row>
    <row r="7" spans="3:8" x14ac:dyDescent="0.35">
      <c r="E7" s="2"/>
    </row>
    <row r="8" spans="3:8" x14ac:dyDescent="0.35">
      <c r="E8" s="2"/>
    </row>
    <row r="9" spans="3:8" x14ac:dyDescent="0.35">
      <c r="E9" s="2"/>
    </row>
    <row r="10" spans="3:8" x14ac:dyDescent="0.35">
      <c r="E10" s="2"/>
    </row>
    <row r="11" spans="3:8" x14ac:dyDescent="0.35">
      <c r="E11" s="2"/>
    </row>
    <row r="12" spans="3:8" x14ac:dyDescent="0.35">
      <c r="E12" s="2" t="s">
        <v>127</v>
      </c>
      <c r="F12" t="s">
        <v>131</v>
      </c>
      <c r="G12" t="s">
        <v>132</v>
      </c>
      <c r="H12" t="s">
        <v>167</v>
      </c>
    </row>
    <row r="13" spans="3:8" x14ac:dyDescent="0.35">
      <c r="D13" t="s">
        <v>133</v>
      </c>
      <c r="E13" s="2">
        <f>PFV!AG2</f>
        <v>522.46490792000009</v>
      </c>
      <c r="F13" s="7">
        <f>E13/E15</f>
        <v>0.44335248648712239</v>
      </c>
      <c r="G13" s="2">
        <f>E13+F13*$G$6</f>
        <v>1089.3402737673755</v>
      </c>
      <c r="H13" s="2">
        <f>E13+F13*$G$6+(G14-PE!AF11)</f>
        <v>1575.2731412006774</v>
      </c>
    </row>
    <row r="14" spans="3:8" x14ac:dyDescent="0.35">
      <c r="D14" t="s">
        <v>134</v>
      </c>
      <c r="E14" s="2">
        <f>PE!AF3</f>
        <v>655.9764538500001</v>
      </c>
      <c r="F14" s="7">
        <f>E14/E15</f>
        <v>0.55664751351287767</v>
      </c>
      <c r="G14" s="2">
        <f>E14+F14*$G$6</f>
        <v>1367.7120874333018</v>
      </c>
      <c r="H14" s="7">
        <f>PE!AF11</f>
        <v>881.7792199999999</v>
      </c>
    </row>
    <row r="15" spans="3:8" x14ac:dyDescent="0.35">
      <c r="D15" t="s">
        <v>135</v>
      </c>
      <c r="E15" s="2">
        <f>SUM(E13:E14)</f>
        <v>1178.4413617700002</v>
      </c>
      <c r="G15" s="8">
        <f>SUM(G13:G14)</f>
        <v>2457.0523612006773</v>
      </c>
      <c r="H15" s="8">
        <f>SUM(H13:H14)</f>
        <v>2457.0523612006773</v>
      </c>
    </row>
    <row r="16" spans="3:8" x14ac:dyDescent="0.35">
      <c r="E16" s="2"/>
      <c r="H16" s="2">
        <f>H15-E15</f>
        <v>1278.6109994306771</v>
      </c>
    </row>
    <row r="17" spans="5:7" x14ac:dyDescent="0.35">
      <c r="E17" s="2"/>
    </row>
    <row r="19" spans="5:7" x14ac:dyDescent="0.35">
      <c r="G19" s="2"/>
    </row>
    <row r="21" spans="5:7" x14ac:dyDescent="0.35">
      <c r="E2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ae8f006-6180-4298-be24-7e1edfed6d78">
      <Terms xmlns="http://schemas.microsoft.com/office/infopath/2007/PartnerControls"/>
    </lcf76f155ced4ddcb4097134ff3c332f>
    <TaxCatchAll xmlns="4006fa61-7528-46c8-9a62-79cae923260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5B8B653BAF5A04C920FE02D8CB7B14C" ma:contentTypeVersion="11" ma:contentTypeDescription="Crear nuevo documento." ma:contentTypeScope="" ma:versionID="a0fd875c5ad3b0bba89ec0f53e20502e">
  <xsd:schema xmlns:xsd="http://www.w3.org/2001/XMLSchema" xmlns:xs="http://www.w3.org/2001/XMLSchema" xmlns:p="http://schemas.microsoft.com/office/2006/metadata/properties" xmlns:ns2="eae8f006-6180-4298-be24-7e1edfed6d78" xmlns:ns3="4006fa61-7528-46c8-9a62-79cae923260a" targetNamespace="http://schemas.microsoft.com/office/2006/metadata/properties" ma:root="true" ma:fieldsID="f0bb3ba205a4c82aa4989dba1a12f415" ns2:_="" ns3:_="">
    <xsd:import namespace="eae8f006-6180-4298-be24-7e1edfed6d78"/>
    <xsd:import namespace="4006fa61-7528-46c8-9a62-79cae92326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8f006-6180-4298-be24-7e1edfed6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7f2717a-120e-4188-aa79-9b0d3006e3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06fa61-7528-46c8-9a62-79cae923260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be01dde-6564-421f-82ee-5faa7f023030}" ma:internalName="TaxCatchAll" ma:showField="CatchAllData" ma:web="4006fa61-7528-46c8-9a62-79cae92326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419FE2-164B-42EE-91F3-C8DFA501FF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DF7DEF-29FD-4B21-B9FA-89BA7F7A0F9E}">
  <ds:schemaRefs>
    <ds:schemaRef ds:uri="http://schemas.microsoft.com/office/2006/metadata/properties"/>
    <ds:schemaRef ds:uri="http://schemas.microsoft.com/office/infopath/2007/PartnerControls"/>
    <ds:schemaRef ds:uri="eae8f006-6180-4298-be24-7e1edfed6d78"/>
    <ds:schemaRef ds:uri="4006fa61-7528-46c8-9a62-79cae923260a"/>
  </ds:schemaRefs>
</ds:datastoreItem>
</file>

<file path=customXml/itemProps3.xml><?xml version="1.0" encoding="utf-8"?>
<ds:datastoreItem xmlns:ds="http://schemas.openxmlformats.org/officeDocument/2006/customXml" ds:itemID="{955345AB-D243-41C5-8565-2EDBF13E1E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e8f006-6180-4298-be24-7e1edfed6d78"/>
    <ds:schemaRef ds:uri="4006fa61-7528-46c8-9a62-79cae92326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PFV</vt:lpstr>
      <vt:lpstr>PE</vt:lpstr>
      <vt:lpstr>Cargas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Fabián Ignacio Medina Morales</cp:lastModifiedBy>
  <dcterms:created xsi:type="dcterms:W3CDTF">2024-11-11T13:43:32Z</dcterms:created>
  <dcterms:modified xsi:type="dcterms:W3CDTF">2024-11-14T20:41:20Z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0x01010025B8B653BAF5A04C920FE02D8CB7B14C</vt:lpwstr>
  </property>
  <property fmtid="{D5CDD505-2E9C-101B-9397-08002B2CF9AE}" pid="3" name="MediaServiceImageTags">
    <vt:lpwstr/>
  </property>
</Properties>
</file>