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CP\AA TESTS\Neo Pi R\"/>
    </mc:Choice>
  </mc:AlternateContent>
  <bookViews>
    <workbookView xWindow="240" yWindow="45" windowWidth="9720" windowHeight="7320"/>
  </bookViews>
  <sheets>
    <sheet name="Calificación" sheetId="4" r:id="rId1"/>
  </sheets>
  <calcPr calcId="152511"/>
</workbook>
</file>

<file path=xl/calcChain.xml><?xml version="1.0" encoding="utf-8"?>
<calcChain xmlns="http://schemas.openxmlformats.org/spreadsheetml/2006/main">
  <c r="K34" i="4" l="1"/>
  <c r="K39" i="4"/>
  <c r="K38" i="4"/>
  <c r="K37" i="4"/>
  <c r="K36" i="4"/>
  <c r="K35" i="4"/>
  <c r="Q35" i="4" s="1"/>
  <c r="K31" i="4"/>
  <c r="K30" i="4"/>
  <c r="K29" i="4"/>
  <c r="K28" i="4"/>
  <c r="K27" i="4"/>
  <c r="Q27" i="4" s="1"/>
  <c r="K26" i="4"/>
  <c r="K23" i="4"/>
  <c r="K22" i="4"/>
  <c r="K21" i="4"/>
  <c r="K20" i="4"/>
  <c r="Q20" i="4" s="1"/>
  <c r="K19" i="4"/>
  <c r="K18" i="4"/>
  <c r="K24" i="4" s="1"/>
  <c r="K15" i="4"/>
  <c r="Q15" i="4" s="1"/>
  <c r="S15" i="4" s="1"/>
  <c r="K14" i="4"/>
  <c r="K13" i="4"/>
  <c r="K12" i="4"/>
  <c r="Q12" i="4" s="1"/>
  <c r="S12" i="4" s="1"/>
  <c r="K11" i="4"/>
  <c r="K10" i="4"/>
  <c r="K16" i="4" s="1"/>
  <c r="K3" i="4"/>
  <c r="K4" i="4"/>
  <c r="K5" i="4"/>
  <c r="Q5" i="4" s="1"/>
  <c r="K6" i="4"/>
  <c r="Q6" i="4" s="1"/>
  <c r="S6" i="4" s="1"/>
  <c r="K7" i="4"/>
  <c r="K2" i="4"/>
  <c r="K8" i="4" s="1"/>
  <c r="Q28" i="4"/>
  <c r="Q21" i="4"/>
  <c r="Q11" i="4"/>
  <c r="Q4" i="4"/>
  <c r="Q2" i="4"/>
  <c r="Q30" i="4"/>
  <c r="Q23" i="4"/>
  <c r="Q18" i="4"/>
  <c r="Q7" i="4"/>
  <c r="Q3" i="4"/>
  <c r="S3" i="4" s="1"/>
  <c r="K32" i="4" l="1"/>
  <c r="K40" i="4"/>
  <c r="Q26" i="4"/>
  <c r="S26" i="4" s="1"/>
  <c r="Q14" i="4"/>
  <c r="R14" i="4" s="1"/>
  <c r="Q22" i="4"/>
  <c r="S22" i="4" s="1"/>
  <c r="Q29" i="4"/>
  <c r="S29" i="4" s="1"/>
  <c r="Q31" i="4"/>
  <c r="R31" i="4" s="1"/>
  <c r="Q34" i="4"/>
  <c r="S34" i="4" s="1"/>
  <c r="Q36" i="4"/>
  <c r="S36" i="4" s="1"/>
  <c r="Q37" i="4"/>
  <c r="Q38" i="4"/>
  <c r="S38" i="4" s="1"/>
  <c r="Q39" i="4"/>
  <c r="S39" i="4" s="1"/>
  <c r="U4" i="4"/>
  <c r="R2" i="4"/>
  <c r="S2" i="4"/>
  <c r="R4" i="4"/>
  <c r="S4" i="4"/>
  <c r="R5" i="4"/>
  <c r="S5" i="4"/>
  <c r="R7" i="4"/>
  <c r="S7" i="4"/>
  <c r="R11" i="4"/>
  <c r="S11" i="4"/>
  <c r="S14" i="4"/>
  <c r="R18" i="4"/>
  <c r="S18" i="4"/>
  <c r="R20" i="4"/>
  <c r="S20" i="4"/>
  <c r="R3" i="4"/>
  <c r="R6" i="4"/>
  <c r="R12" i="4"/>
  <c r="R15" i="4"/>
  <c r="Q10" i="4"/>
  <c r="Q13" i="4"/>
  <c r="Q19" i="4"/>
  <c r="R21" i="4"/>
  <c r="S21" i="4"/>
  <c r="R23" i="4"/>
  <c r="S23" i="4"/>
  <c r="R26" i="4"/>
  <c r="R27" i="4"/>
  <c r="S27" i="4"/>
  <c r="S28" i="4"/>
  <c r="R28" i="4"/>
  <c r="R29" i="4"/>
  <c r="R30" i="4"/>
  <c r="S30" i="4"/>
  <c r="S35" i="4"/>
  <c r="R35" i="4"/>
  <c r="R37" i="4"/>
  <c r="R39" i="4" l="1"/>
  <c r="R34" i="4"/>
  <c r="R38" i="4"/>
  <c r="R36" i="4"/>
  <c r="S31" i="4"/>
  <c r="U28" i="4"/>
  <c r="W28" i="4" s="1"/>
  <c r="R22" i="4"/>
  <c r="U36" i="4"/>
  <c r="V36" i="4" s="1"/>
  <c r="S37" i="4"/>
  <c r="W36" i="4"/>
  <c r="S19" i="4"/>
  <c r="R19" i="4"/>
  <c r="S10" i="4"/>
  <c r="U12" i="4"/>
  <c r="R10" i="4"/>
  <c r="W4" i="4"/>
  <c r="V4" i="4"/>
  <c r="S13" i="4"/>
  <c r="R13" i="4"/>
  <c r="U20" i="4"/>
  <c r="V28" i="4" l="1"/>
  <c r="W20" i="4"/>
  <c r="V20" i="4"/>
  <c r="V12" i="4"/>
  <c r="W12" i="4"/>
</calcChain>
</file>

<file path=xl/comments1.xml><?xml version="1.0" encoding="utf-8"?>
<comments xmlns="http://schemas.openxmlformats.org/spreadsheetml/2006/main">
  <authors>
    <author>Antonio Martínez S.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Antonio Martínez S.:</t>
        </r>
        <r>
          <rPr>
            <sz val="9"/>
            <color indexed="81"/>
            <rFont val="Tahoma"/>
            <family val="2"/>
          </rPr>
          <t xml:space="preserve">
La suma de todos los Total desacuerdo y desacuedo.
Si el valor es 150 o más, se coloca "Negativismo", caso contrario, "No Negativismo"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Antonio Martínez S.:</t>
        </r>
        <r>
          <rPr>
            <sz val="9"/>
            <color indexed="81"/>
            <rFont val="Tahoma"/>
            <family val="2"/>
          </rPr>
          <t xml:space="preserve">
La suma de todos los Total acuerdo y acuedo.
Si el valor es 150 o más, se coloca "Aquiescencia", caso contrario, "No Aquiescente"</t>
        </r>
      </text>
    </comment>
  </commentList>
</comments>
</file>

<file path=xl/sharedStrings.xml><?xml version="1.0" encoding="utf-8"?>
<sst xmlns="http://schemas.openxmlformats.org/spreadsheetml/2006/main" count="287" uniqueCount="281">
  <si>
    <t>P. Directas</t>
  </si>
  <si>
    <t>P. Típicas V.</t>
  </si>
  <si>
    <t>P. Típicas M.</t>
  </si>
  <si>
    <t>Ansiedad</t>
  </si>
  <si>
    <t>Hostilidad</t>
  </si>
  <si>
    <t>Depresión</t>
  </si>
  <si>
    <t>Neuroticismo</t>
  </si>
  <si>
    <t>Ansiedad Social</t>
  </si>
  <si>
    <t>Impulsividad</t>
  </si>
  <si>
    <t>Vulnerabilidad</t>
  </si>
  <si>
    <t>Cordialidad</t>
  </si>
  <si>
    <t>Gregarismo</t>
  </si>
  <si>
    <t>Asertividad</t>
  </si>
  <si>
    <t>Extraversión</t>
  </si>
  <si>
    <t>Actividad</t>
  </si>
  <si>
    <t>Búsqueda emociones</t>
  </si>
  <si>
    <t>Fantasía</t>
  </si>
  <si>
    <t>Estética</t>
  </si>
  <si>
    <t>Sentimientos</t>
  </si>
  <si>
    <t>Apertura</t>
  </si>
  <si>
    <t>Acciones</t>
  </si>
  <si>
    <t>Ideas</t>
  </si>
  <si>
    <t>Valores</t>
  </si>
  <si>
    <t>Confianza</t>
  </si>
  <si>
    <t>Franqueza</t>
  </si>
  <si>
    <t>Altruismo</t>
  </si>
  <si>
    <t>Amabilidad</t>
  </si>
  <si>
    <t>A. Conciliadora</t>
  </si>
  <si>
    <t>Modestia</t>
  </si>
  <si>
    <t>Sensibilidad</t>
  </si>
  <si>
    <t>Competencia</t>
  </si>
  <si>
    <t>Orden</t>
  </si>
  <si>
    <t>Deber</t>
  </si>
  <si>
    <t>Responsabilidad</t>
  </si>
  <si>
    <t>Logro</t>
  </si>
  <si>
    <t>Autodisciplina</t>
  </si>
  <si>
    <t>Deliberación</t>
  </si>
  <si>
    <t>Aquiescencia</t>
  </si>
  <si>
    <t>Negativismo</t>
  </si>
  <si>
    <t>p2</t>
  </si>
  <si>
    <t>p3</t>
  </si>
  <si>
    <t>p5</t>
  </si>
  <si>
    <t>p6</t>
  </si>
  <si>
    <t>p9</t>
  </si>
  <si>
    <t>p12</t>
  </si>
  <si>
    <t>p13</t>
  </si>
  <si>
    <t>p15</t>
  </si>
  <si>
    <t>p16</t>
  </si>
  <si>
    <t>p19</t>
  </si>
  <si>
    <t>p22</t>
  </si>
  <si>
    <t>p23</t>
  </si>
  <si>
    <t>p25</t>
  </si>
  <si>
    <t>p26</t>
  </si>
  <si>
    <t>p29</t>
  </si>
  <si>
    <t>p31</t>
  </si>
  <si>
    <t>p34</t>
  </si>
  <si>
    <t>p37</t>
  </si>
  <si>
    <t>p38</t>
  </si>
  <si>
    <t>p40</t>
  </si>
  <si>
    <t>p41</t>
  </si>
  <si>
    <t>p44</t>
  </si>
  <si>
    <t>p47</t>
  </si>
  <si>
    <t>p48</t>
  </si>
  <si>
    <t>p50</t>
  </si>
  <si>
    <t>p51</t>
  </si>
  <si>
    <t>p54</t>
  </si>
  <si>
    <t>p57</t>
  </si>
  <si>
    <t>p58</t>
  </si>
  <si>
    <t>p60</t>
  </si>
  <si>
    <t>p62</t>
  </si>
  <si>
    <t>p63</t>
  </si>
  <si>
    <t>p65</t>
  </si>
  <si>
    <t>p66</t>
  </si>
  <si>
    <t>p69</t>
  </si>
  <si>
    <t>p72</t>
  </si>
  <si>
    <t>p73</t>
  </si>
  <si>
    <t>p75</t>
  </si>
  <si>
    <t>p76</t>
  </si>
  <si>
    <t>p79</t>
  </si>
  <si>
    <t>p82</t>
  </si>
  <si>
    <t>p83</t>
  </si>
  <si>
    <t>p85</t>
  </si>
  <si>
    <t>p86</t>
  </si>
  <si>
    <t>p89</t>
  </si>
  <si>
    <t>p91</t>
  </si>
  <si>
    <t>p94</t>
  </si>
  <si>
    <t>p97</t>
  </si>
  <si>
    <t>p98</t>
  </si>
  <si>
    <t>p100</t>
  </si>
  <si>
    <t>p101</t>
  </si>
  <si>
    <t>p104</t>
  </si>
  <si>
    <t>p107</t>
  </si>
  <si>
    <t>p108</t>
  </si>
  <si>
    <t>p110</t>
  </si>
  <si>
    <t>p111</t>
  </si>
  <si>
    <t>p114</t>
  </si>
  <si>
    <t>p117</t>
  </si>
  <si>
    <t>p118</t>
  </si>
  <si>
    <t>p120</t>
  </si>
  <si>
    <t>p122</t>
  </si>
  <si>
    <t>p123</t>
  </si>
  <si>
    <t>p125</t>
  </si>
  <si>
    <t>p126</t>
  </si>
  <si>
    <t>p129</t>
  </si>
  <si>
    <t>p131</t>
  </si>
  <si>
    <t>p132</t>
  </si>
  <si>
    <t>p133</t>
  </si>
  <si>
    <t>p135</t>
  </si>
  <si>
    <t>p136</t>
  </si>
  <si>
    <t>p139</t>
  </si>
  <si>
    <t>p142</t>
  </si>
  <si>
    <t>p143</t>
  </si>
  <si>
    <t>p145</t>
  </si>
  <si>
    <t>p146</t>
  </si>
  <si>
    <t>p149</t>
  </si>
  <si>
    <t>p151</t>
  </si>
  <si>
    <t>p152</t>
  </si>
  <si>
    <t>p154</t>
  </si>
  <si>
    <t>p157</t>
  </si>
  <si>
    <t>p158</t>
  </si>
  <si>
    <t>p160</t>
  </si>
  <si>
    <t>p161</t>
  </si>
  <si>
    <t>p164</t>
  </si>
  <si>
    <t>p165</t>
  </si>
  <si>
    <t>p167</t>
  </si>
  <si>
    <t>p168</t>
  </si>
  <si>
    <t>p170</t>
  </si>
  <si>
    <t>p171</t>
  </si>
  <si>
    <t>p172</t>
  </si>
  <si>
    <t>p174</t>
  </si>
  <si>
    <t>p177</t>
  </si>
  <si>
    <t>p178</t>
  </si>
  <si>
    <t>p179</t>
  </si>
  <si>
    <t>p180</t>
  </si>
  <si>
    <t>p182</t>
  </si>
  <si>
    <t>p184</t>
  </si>
  <si>
    <t>p185</t>
  </si>
  <si>
    <t>p186</t>
  </si>
  <si>
    <t>p188</t>
  </si>
  <si>
    <t>p191</t>
  </si>
  <si>
    <t>p192</t>
  </si>
  <si>
    <t>p193</t>
  </si>
  <si>
    <t>p194</t>
  </si>
  <si>
    <t>p195</t>
  </si>
  <si>
    <t>p196</t>
  </si>
  <si>
    <t>p197</t>
  </si>
  <si>
    <t>p200</t>
  </si>
  <si>
    <t>p201</t>
  </si>
  <si>
    <t>p202</t>
  </si>
  <si>
    <t>p203</t>
  </si>
  <si>
    <t>p204</t>
  </si>
  <si>
    <t>p209</t>
  </si>
  <si>
    <t>p210</t>
  </si>
  <si>
    <t>p212</t>
  </si>
  <si>
    <t>p214</t>
  </si>
  <si>
    <t>p215</t>
  </si>
  <si>
    <t>p216</t>
  </si>
  <si>
    <t>p217</t>
  </si>
  <si>
    <t>p218</t>
  </si>
  <si>
    <t>p221</t>
  </si>
  <si>
    <t>p223</t>
  </si>
  <si>
    <t>p224</t>
  </si>
  <si>
    <t>p225</t>
  </si>
  <si>
    <t>p226</t>
  </si>
  <si>
    <t>p227</t>
  </si>
  <si>
    <t>p230</t>
  </si>
  <si>
    <t>p232</t>
  </si>
  <si>
    <t>p233</t>
  </si>
  <si>
    <t>p235</t>
  </si>
  <si>
    <t>p237</t>
  </si>
  <si>
    <t>p239</t>
  </si>
  <si>
    <t>p240</t>
  </si>
  <si>
    <t>4 - p1</t>
  </si>
  <si>
    <t>4 - p61</t>
  </si>
  <si>
    <t>4 - p121</t>
  </si>
  <si>
    <t>4 - p181</t>
  </si>
  <si>
    <t>4 - p36</t>
  </si>
  <si>
    <t>4 - p96</t>
  </si>
  <si>
    <t>4 - p156</t>
  </si>
  <si>
    <t>4 - p11</t>
  </si>
  <si>
    <t>4 - p71</t>
  </si>
  <si>
    <t>4 - p46</t>
  </si>
  <si>
    <t>4 - p106</t>
  </si>
  <si>
    <t>4 - p166</t>
  </si>
  <si>
    <t>4 - p21</t>
  </si>
  <si>
    <t>4 - p81</t>
  </si>
  <si>
    <t>4 - p141</t>
  </si>
  <si>
    <t>4 - p231</t>
  </si>
  <si>
    <t>4 - p56</t>
  </si>
  <si>
    <t>4 - p116</t>
  </si>
  <si>
    <t>4 - p176</t>
  </si>
  <si>
    <t>4 - p206</t>
  </si>
  <si>
    <t>4 - p236</t>
  </si>
  <si>
    <t>4 - p32</t>
  </si>
  <si>
    <t>4 - p92</t>
  </si>
  <si>
    <t>4 - p7</t>
  </si>
  <si>
    <t>4 - p67</t>
  </si>
  <si>
    <t>4 - p127</t>
  </si>
  <si>
    <t>4 - p187</t>
  </si>
  <si>
    <t>4 - p42</t>
  </si>
  <si>
    <t>4 - p102</t>
  </si>
  <si>
    <t>4 - p162</t>
  </si>
  <si>
    <t>4 - p222</t>
  </si>
  <si>
    <t>4 - p17</t>
  </si>
  <si>
    <t>4 - p77</t>
  </si>
  <si>
    <t>4 - p137</t>
  </si>
  <si>
    <t>4 - p52</t>
  </si>
  <si>
    <t>4 - p112</t>
  </si>
  <si>
    <t>4 - p27</t>
  </si>
  <si>
    <t>4 - p87</t>
  </si>
  <si>
    <t>4 - p147</t>
  </si>
  <si>
    <t>4 - p207</t>
  </si>
  <si>
    <t>4 - p33</t>
  </si>
  <si>
    <t>4 - p93</t>
  </si>
  <si>
    <t>4 - p153</t>
  </si>
  <si>
    <t>4 - p183</t>
  </si>
  <si>
    <t>4 - p213</t>
  </si>
  <si>
    <t>4 - p8</t>
  </si>
  <si>
    <t>4 - p68</t>
  </si>
  <si>
    <t>4 - p128</t>
  </si>
  <si>
    <t>4 - p43</t>
  </si>
  <si>
    <t>4 - p103</t>
  </si>
  <si>
    <t>4 - p163</t>
  </si>
  <si>
    <t>4 - p18</t>
  </si>
  <si>
    <t>4 - p78</t>
  </si>
  <si>
    <t>4 - p138</t>
  </si>
  <si>
    <t>4 - p198</t>
  </si>
  <si>
    <t>4 - p228</t>
  </si>
  <si>
    <t>4 - p53</t>
  </si>
  <si>
    <t>4 - p113</t>
  </si>
  <si>
    <t>4 - p173</t>
  </si>
  <si>
    <t>4 - p28</t>
  </si>
  <si>
    <t>4 - p88</t>
  </si>
  <si>
    <t>4 - p148</t>
  </si>
  <si>
    <t>4 - p208</t>
  </si>
  <si>
    <t>4 - p239</t>
  </si>
  <si>
    <t>4 - p4</t>
  </si>
  <si>
    <t>4 - p64</t>
  </si>
  <si>
    <t>4 - p124</t>
  </si>
  <si>
    <t>4 - p39</t>
  </si>
  <si>
    <t>4 - p99</t>
  </si>
  <si>
    <t>4 - p159</t>
  </si>
  <si>
    <t>4 - p189</t>
  </si>
  <si>
    <t>4 - p219</t>
  </si>
  <si>
    <t>4 - p14</t>
  </si>
  <si>
    <t>4 - p74</t>
  </si>
  <si>
    <t>4 - p134</t>
  </si>
  <si>
    <t>4 - p49</t>
  </si>
  <si>
    <t>4 - p109</t>
  </si>
  <si>
    <t>4 - p169</t>
  </si>
  <si>
    <t>4 - p199</t>
  </si>
  <si>
    <t>4 - p229</t>
  </si>
  <si>
    <t>4 - p24</t>
  </si>
  <si>
    <t>4 - p84</t>
  </si>
  <si>
    <t>4 - p144</t>
  </si>
  <si>
    <t>4 - p234</t>
  </si>
  <si>
    <t>4 - p59</t>
  </si>
  <si>
    <t>4 - p119</t>
  </si>
  <si>
    <t>4 - p35</t>
  </si>
  <si>
    <t>4 - p95</t>
  </si>
  <si>
    <t>4 - p155</t>
  </si>
  <si>
    <t>4 - p10</t>
  </si>
  <si>
    <t>4 - p70</t>
  </si>
  <si>
    <t>4 - p130</t>
  </si>
  <si>
    <t>4 - p190</t>
  </si>
  <si>
    <t>4 - p220</t>
  </si>
  <si>
    <t>4 - p45</t>
  </si>
  <si>
    <t>4 - p105</t>
  </si>
  <si>
    <t>4 - p20</t>
  </si>
  <si>
    <t>4 - p80</t>
  </si>
  <si>
    <t>4 - p140</t>
  </si>
  <si>
    <t>4 - p55</t>
  </si>
  <si>
    <t>4 - p115</t>
  </si>
  <si>
    <t>4 - p175</t>
  </si>
  <si>
    <t>4 - p205</t>
  </si>
  <si>
    <t>4 - p30</t>
  </si>
  <si>
    <t>4 - p90</t>
  </si>
  <si>
    <t>4 - p150</t>
  </si>
  <si>
    <t>Emociones positivas</t>
  </si>
  <si>
    <t>PD (la suma)</t>
  </si>
  <si>
    <t>p =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</si>
</sst>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NumberFormat="1" applyFont="1"/>
    <xf numFmtId="0" fontId="2" fillId="0" borderId="0" xfId="0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2" fillId="2" borderId="0" xfId="0" applyNumberFormat="1" applyFont="1" applyFill="1" applyProtection="1">
      <protection hidden="1"/>
    </xf>
    <xf numFmtId="1" fontId="2" fillId="0" borderId="0" xfId="0" applyNumberFormat="1" applyFont="1"/>
    <xf numFmtId="0" fontId="2" fillId="0" borderId="1" xfId="0" applyNumberFormat="1" applyFont="1" applyBorder="1" applyProtection="1">
      <protection hidden="1"/>
    </xf>
    <xf numFmtId="0" fontId="2" fillId="0" borderId="1" xfId="0" applyNumberFormat="1" applyFont="1" applyBorder="1" applyAlignment="1" applyProtection="1">
      <alignment horizontal="center"/>
      <protection hidden="1"/>
    </xf>
    <xf numFmtId="0" fontId="2" fillId="0" borderId="0" xfId="0" applyNumberFormat="1" applyFont="1" applyAlignment="1" applyProtection="1">
      <alignment horizontal="center"/>
      <protection hidden="1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Border="1" applyProtection="1">
      <protection hidden="1"/>
    </xf>
    <xf numFmtId="0" fontId="2" fillId="0" borderId="0" xfId="0" applyNumberFormat="1" applyFont="1" applyBorder="1" applyAlignment="1" applyProtection="1">
      <alignment horizontal="center"/>
      <protection hidden="1"/>
    </xf>
    <xf numFmtId="0" fontId="1" fillId="0" borderId="0" xfId="0" applyNumberFormat="1" applyFont="1" applyProtection="1">
      <protection hidden="1"/>
    </xf>
    <xf numFmtId="0" fontId="1" fillId="0" borderId="1" xfId="0" applyNumberFormat="1" applyFont="1" applyBorder="1" applyProtection="1">
      <protection hidden="1"/>
    </xf>
    <xf numFmtId="0" fontId="1" fillId="0" borderId="1" xfId="0" applyNumberFormat="1" applyFont="1" applyBorder="1" applyAlignment="1" applyProtection="1">
      <alignment horizontal="center"/>
      <protection hidden="1"/>
    </xf>
    <xf numFmtId="0" fontId="1" fillId="0" borderId="2" xfId="0" applyNumberFormat="1" applyFont="1" applyBorder="1" applyProtection="1">
      <protection hidden="1"/>
    </xf>
    <xf numFmtId="0" fontId="2" fillId="0" borderId="0" xfId="0" applyNumberFormat="1" applyFont="1" applyBorder="1"/>
    <xf numFmtId="1" fontId="2" fillId="0" borderId="0" xfId="0" applyNumberFormat="1" applyFont="1" applyBorder="1" applyAlignment="1" applyProtection="1">
      <alignment horizontal="center"/>
      <protection hidden="1"/>
    </xf>
    <xf numFmtId="1" fontId="2" fillId="0" borderId="0" xfId="0" applyNumberFormat="1" applyFont="1" applyBorder="1" applyProtection="1">
      <protection hidden="1"/>
    </xf>
    <xf numFmtId="0" fontId="1" fillId="0" borderId="0" xfId="0" applyNumberFormat="1" applyFont="1" applyBorder="1" applyAlignment="1" applyProtection="1">
      <alignment horizontal="center"/>
      <protection hidden="1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1"/>
  <sheetViews>
    <sheetView tabSelected="1" workbookViewId="0">
      <selection activeCell="E1" sqref="E1:E65536"/>
    </sheetView>
  </sheetViews>
  <sheetFormatPr baseColWidth="10" defaultRowHeight="12.75" x14ac:dyDescent="0.2"/>
  <cols>
    <col min="1" max="1" width="19" style="1" bestFit="1" customWidth="1"/>
    <col min="2" max="2" width="13.28515625" style="1" customWidth="1"/>
    <col min="3" max="3" width="11.85546875" style="10" customWidth="1"/>
    <col min="4" max="4" width="11.5703125" style="10" customWidth="1"/>
    <col min="5" max="5" width="13" style="10" customWidth="1"/>
    <col min="6" max="6" width="11.85546875" style="10" customWidth="1"/>
    <col min="7" max="7" width="9.140625" style="10" bestFit="1" customWidth="1"/>
    <col min="8" max="10" width="11.42578125" style="10"/>
    <col min="11" max="13" width="14.42578125" style="1" customWidth="1"/>
    <col min="14" max="16384" width="11.42578125" style="1"/>
  </cols>
  <sheetData>
    <row r="1" spans="1:23" x14ac:dyDescent="0.2">
      <c r="C1" s="10" t="s">
        <v>280</v>
      </c>
      <c r="K1" s="21" t="s">
        <v>279</v>
      </c>
      <c r="L1" s="21" t="s">
        <v>38</v>
      </c>
      <c r="M1" s="21" t="s">
        <v>37</v>
      </c>
    </row>
    <row r="2" spans="1:23" x14ac:dyDescent="0.2">
      <c r="A2" s="7" t="s">
        <v>3</v>
      </c>
      <c r="B2" s="7"/>
      <c r="C2" s="8" t="s">
        <v>172</v>
      </c>
      <c r="D2" s="8" t="s">
        <v>54</v>
      </c>
      <c r="E2" s="8" t="s">
        <v>173</v>
      </c>
      <c r="F2" s="8" t="s">
        <v>84</v>
      </c>
      <c r="G2" s="8" t="s">
        <v>174</v>
      </c>
      <c r="H2" s="8" t="s">
        <v>115</v>
      </c>
      <c r="I2" s="8" t="s">
        <v>175</v>
      </c>
      <c r="J2" s="8" t="s">
        <v>153</v>
      </c>
      <c r="K2" s="8">
        <f>SUM(C2:J2)</f>
        <v>0</v>
      </c>
      <c r="L2" s="8"/>
      <c r="M2" s="8"/>
      <c r="N2" s="2"/>
      <c r="O2" s="2"/>
      <c r="P2" s="2"/>
      <c r="Q2" s="2">
        <f>SUM(C2:P2)</f>
        <v>0</v>
      </c>
      <c r="R2" s="4">
        <f>(50+10*(Q2-14.91)/4.18)</f>
        <v>14.330143540669859</v>
      </c>
      <c r="S2" s="4">
        <f>(50+10*(Q2-16.52)/4.09)</f>
        <v>9.6088019559902236</v>
      </c>
      <c r="T2" s="2"/>
      <c r="U2" s="2"/>
      <c r="V2" s="2"/>
      <c r="W2" s="2"/>
    </row>
    <row r="3" spans="1:23" x14ac:dyDescent="0.2">
      <c r="A3" s="7" t="s">
        <v>4</v>
      </c>
      <c r="B3" s="7"/>
      <c r="C3" s="8" t="s">
        <v>42</v>
      </c>
      <c r="D3" s="8" t="s">
        <v>176</v>
      </c>
      <c r="E3" s="8" t="s">
        <v>72</v>
      </c>
      <c r="F3" s="8" t="s">
        <v>177</v>
      </c>
      <c r="G3" s="8" t="s">
        <v>102</v>
      </c>
      <c r="H3" s="8" t="s">
        <v>178</v>
      </c>
      <c r="I3" s="8" t="s">
        <v>137</v>
      </c>
      <c r="J3" s="8" t="s">
        <v>156</v>
      </c>
      <c r="K3" s="8">
        <f t="shared" ref="K3:K7" si="0">SUM(C3:J3)</f>
        <v>0</v>
      </c>
      <c r="L3" s="8"/>
      <c r="M3" s="8"/>
      <c r="N3" s="2"/>
      <c r="O3" s="2"/>
      <c r="P3" s="2"/>
      <c r="Q3" s="2">
        <f t="shared" ref="Q3:Q7" si="1">SUM(C3:P3)</f>
        <v>0</v>
      </c>
      <c r="R3" s="4">
        <f>(50+10*(Q3-8.5)/3.89)</f>
        <v>28.14910025706941</v>
      </c>
      <c r="S3" s="4">
        <f>(50+10*(Q3-8.8)/3.62)</f>
        <v>25.69060773480663</v>
      </c>
      <c r="T3" s="2"/>
      <c r="U3" s="2" t="s">
        <v>0</v>
      </c>
      <c r="V3" s="2" t="s">
        <v>1</v>
      </c>
      <c r="W3" s="2" t="s">
        <v>2</v>
      </c>
    </row>
    <row r="4" spans="1:23" x14ac:dyDescent="0.2">
      <c r="A4" s="7" t="s">
        <v>5</v>
      </c>
      <c r="B4" s="7"/>
      <c r="C4" s="8" t="s">
        <v>179</v>
      </c>
      <c r="D4" s="8" t="s">
        <v>59</v>
      </c>
      <c r="E4" s="8" t="s">
        <v>180</v>
      </c>
      <c r="F4" s="8" t="s">
        <v>89</v>
      </c>
      <c r="G4" s="8" t="s">
        <v>104</v>
      </c>
      <c r="H4" s="8" t="s">
        <v>121</v>
      </c>
      <c r="I4" s="8" t="s">
        <v>139</v>
      </c>
      <c r="J4" s="8" t="s">
        <v>159</v>
      </c>
      <c r="K4" s="8">
        <f t="shared" si="0"/>
        <v>0</v>
      </c>
      <c r="L4" s="8"/>
      <c r="M4" s="8"/>
      <c r="N4" s="2"/>
      <c r="O4" s="2"/>
      <c r="P4" s="2"/>
      <c r="Q4" s="2">
        <f t="shared" si="1"/>
        <v>0</v>
      </c>
      <c r="R4" s="4">
        <f>(50+10*(Q4-9.57)/4.65)</f>
        <v>29.41935483870968</v>
      </c>
      <c r="S4" s="4">
        <f>(50+10*(Q4-10.46)/4.86)</f>
        <v>28.477366255144034</v>
      </c>
      <c r="T4" s="2" t="s">
        <v>6</v>
      </c>
      <c r="U4" s="2">
        <f>SUM(Q2:Q7)</f>
        <v>0</v>
      </c>
      <c r="V4" s="3">
        <f>(50+10*(U4-66.58)/19.32)</f>
        <v>15.538302277432713</v>
      </c>
      <c r="W4" s="3">
        <f>(50+10*(U4-71.75)/19.46)</f>
        <v>13.129496402877699</v>
      </c>
    </row>
    <row r="5" spans="1:23" x14ac:dyDescent="0.2">
      <c r="A5" s="7" t="s">
        <v>7</v>
      </c>
      <c r="B5" s="7"/>
      <c r="C5" s="8" t="s">
        <v>47</v>
      </c>
      <c r="D5" s="8" t="s">
        <v>181</v>
      </c>
      <c r="E5" s="8" t="s">
        <v>77</v>
      </c>
      <c r="F5" s="8" t="s">
        <v>182</v>
      </c>
      <c r="G5" s="8" t="s">
        <v>108</v>
      </c>
      <c r="H5" s="8" t="s">
        <v>183</v>
      </c>
      <c r="I5" s="8" t="s">
        <v>144</v>
      </c>
      <c r="J5" s="8" t="s">
        <v>163</v>
      </c>
      <c r="K5" s="8">
        <f t="shared" si="0"/>
        <v>0</v>
      </c>
      <c r="L5" s="8"/>
      <c r="M5" s="8"/>
      <c r="N5" s="2"/>
      <c r="O5" s="2"/>
      <c r="P5" s="2"/>
      <c r="Q5" s="2">
        <f t="shared" si="1"/>
        <v>0</v>
      </c>
      <c r="R5" s="4">
        <f>(50+10*(Q5-12.29)/4.38)</f>
        <v>21.940639269406393</v>
      </c>
      <c r="S5" s="4">
        <f>(50+10*(Q5-12.83)/4.67)</f>
        <v>22.526766595289075</v>
      </c>
      <c r="T5" s="2"/>
      <c r="U5" s="2"/>
      <c r="V5" s="3"/>
      <c r="W5" s="3"/>
    </row>
    <row r="6" spans="1:23" x14ac:dyDescent="0.2">
      <c r="A6" s="7" t="s">
        <v>8</v>
      </c>
      <c r="B6" s="7"/>
      <c r="C6" s="8" t="s">
        <v>184</v>
      </c>
      <c r="D6" s="8" t="s">
        <v>64</v>
      </c>
      <c r="E6" s="8" t="s">
        <v>185</v>
      </c>
      <c r="F6" s="8" t="s">
        <v>94</v>
      </c>
      <c r="G6" s="8" t="s">
        <v>186</v>
      </c>
      <c r="H6" s="8" t="s">
        <v>127</v>
      </c>
      <c r="I6" s="8" t="s">
        <v>147</v>
      </c>
      <c r="J6" s="8" t="s">
        <v>187</v>
      </c>
      <c r="K6" s="8">
        <f t="shared" si="0"/>
        <v>0</v>
      </c>
      <c r="L6" s="8"/>
      <c r="M6" s="8"/>
      <c r="N6" s="2"/>
      <c r="O6" s="2"/>
      <c r="P6" s="2"/>
      <c r="Q6" s="2">
        <f t="shared" si="1"/>
        <v>0</v>
      </c>
      <c r="R6" s="4">
        <f>(50+10*(Q6-13.69)/4.2)</f>
        <v>17.404761904761905</v>
      </c>
      <c r="S6" s="4">
        <f>(50+10*(Q6-14.03)/4)</f>
        <v>14.925000000000004</v>
      </c>
      <c r="T6" s="2"/>
      <c r="U6" s="2"/>
      <c r="V6" s="3"/>
      <c r="W6" s="3"/>
    </row>
    <row r="7" spans="1:23" x14ac:dyDescent="0.2">
      <c r="A7" s="7" t="s">
        <v>9</v>
      </c>
      <c r="B7" s="7"/>
      <c r="C7" s="8" t="s">
        <v>52</v>
      </c>
      <c r="D7" s="8" t="s">
        <v>188</v>
      </c>
      <c r="E7" s="8" t="s">
        <v>82</v>
      </c>
      <c r="F7" s="8" t="s">
        <v>189</v>
      </c>
      <c r="G7" s="8" t="s">
        <v>113</v>
      </c>
      <c r="H7" s="8" t="s">
        <v>190</v>
      </c>
      <c r="I7" s="8" t="s">
        <v>191</v>
      </c>
      <c r="J7" s="8" t="s">
        <v>192</v>
      </c>
      <c r="K7" s="8">
        <f t="shared" si="0"/>
        <v>0</v>
      </c>
      <c r="L7" s="8"/>
      <c r="M7" s="8"/>
      <c r="N7" s="2"/>
      <c r="O7" s="2"/>
      <c r="P7" s="2"/>
      <c r="Q7" s="2">
        <f t="shared" si="1"/>
        <v>0</v>
      </c>
      <c r="R7" s="4">
        <f>(50+10*(Q7-7.62)/3.73)</f>
        <v>29.571045576407506</v>
      </c>
      <c r="S7" s="4">
        <f>(50+10*(Q7-9.1)/3.89)</f>
        <v>26.606683804627249</v>
      </c>
      <c r="T7" s="2"/>
      <c r="U7" s="2"/>
      <c r="V7" s="3"/>
      <c r="W7" s="3"/>
    </row>
    <row r="8" spans="1:23" x14ac:dyDescent="0.2">
      <c r="A8" s="14" t="s">
        <v>6</v>
      </c>
      <c r="B8" s="13"/>
      <c r="C8" s="20"/>
      <c r="D8" s="20"/>
      <c r="E8" s="20"/>
      <c r="F8" s="20"/>
      <c r="G8" s="20"/>
      <c r="H8" s="20"/>
      <c r="I8" s="20"/>
      <c r="J8" s="20"/>
      <c r="K8" s="15">
        <f>SUM(K2:K7)</f>
        <v>0</v>
      </c>
      <c r="L8" s="15"/>
      <c r="M8" s="15"/>
      <c r="N8" s="2"/>
      <c r="O8" s="2"/>
      <c r="P8" s="2"/>
      <c r="Q8" s="2"/>
      <c r="R8" s="4"/>
      <c r="S8" s="4"/>
      <c r="T8" s="2"/>
      <c r="U8" s="2"/>
      <c r="V8" s="3"/>
      <c r="W8" s="3"/>
    </row>
    <row r="9" spans="1:23" s="17" customFormat="1" x14ac:dyDescent="0.2">
      <c r="A9" s="11"/>
      <c r="B9" s="11"/>
      <c r="C9" s="12"/>
      <c r="D9" s="12"/>
      <c r="E9" s="12"/>
      <c r="F9" s="12"/>
      <c r="G9" s="12"/>
      <c r="H9" s="12"/>
      <c r="I9" s="12"/>
      <c r="J9" s="12"/>
      <c r="K9" s="11"/>
      <c r="L9" s="11"/>
      <c r="M9" s="11"/>
      <c r="N9" s="11"/>
      <c r="O9" s="11"/>
      <c r="P9" s="11"/>
      <c r="Q9" s="11"/>
      <c r="R9" s="18"/>
      <c r="S9" s="18"/>
      <c r="T9" s="11"/>
      <c r="U9" s="11"/>
      <c r="V9" s="19"/>
      <c r="W9" s="19"/>
    </row>
    <row r="10" spans="1:23" x14ac:dyDescent="0.2">
      <c r="A10" s="7" t="s">
        <v>10</v>
      </c>
      <c r="B10" s="7"/>
      <c r="C10" s="8" t="s">
        <v>39</v>
      </c>
      <c r="D10" s="8" t="s">
        <v>193</v>
      </c>
      <c r="E10" s="8" t="s">
        <v>69</v>
      </c>
      <c r="F10" s="8" t="s">
        <v>194</v>
      </c>
      <c r="G10" s="8" t="s">
        <v>99</v>
      </c>
      <c r="H10" s="8" t="s">
        <v>116</v>
      </c>
      <c r="I10" s="8" t="s">
        <v>134</v>
      </c>
      <c r="J10" s="8" t="s">
        <v>153</v>
      </c>
      <c r="K10" s="8">
        <f>SUM(C10:J10)</f>
        <v>0</v>
      </c>
      <c r="L10" s="8"/>
      <c r="M10" s="8"/>
      <c r="N10" s="2"/>
      <c r="O10" s="2"/>
      <c r="P10" s="2"/>
      <c r="Q10" s="2">
        <f t="shared" ref="Q10:Q15" si="2">SUM(C10:P10)</f>
        <v>0</v>
      </c>
      <c r="R10" s="4">
        <f>(50+10*(Q10-23.8)/3.99)</f>
        <v>-9.649122807017541</v>
      </c>
      <c r="S10" s="4">
        <f>(50+10*(Q10-24.2)/3.41)</f>
        <v>-20.967741935483872</v>
      </c>
      <c r="T10" s="2"/>
      <c r="U10" s="2"/>
      <c r="V10" s="3"/>
      <c r="W10" s="3"/>
    </row>
    <row r="11" spans="1:23" x14ac:dyDescent="0.2">
      <c r="A11" s="7" t="s">
        <v>11</v>
      </c>
      <c r="B11" s="7"/>
      <c r="C11" s="8" t="s">
        <v>195</v>
      </c>
      <c r="D11" s="8" t="s">
        <v>56</v>
      </c>
      <c r="E11" s="8" t="s">
        <v>196</v>
      </c>
      <c r="F11" s="8" t="s">
        <v>86</v>
      </c>
      <c r="G11" s="8" t="s">
        <v>197</v>
      </c>
      <c r="H11" s="8" t="s">
        <v>118</v>
      </c>
      <c r="I11" s="8" t="s">
        <v>198</v>
      </c>
      <c r="J11" s="8" t="s">
        <v>157</v>
      </c>
      <c r="K11" s="8">
        <f t="shared" ref="K11:K15" si="3">SUM(C11:J11)</f>
        <v>0</v>
      </c>
      <c r="L11" s="8"/>
      <c r="M11" s="8"/>
      <c r="N11" s="2"/>
      <c r="O11" s="2"/>
      <c r="P11" s="2"/>
      <c r="Q11" s="2">
        <f t="shared" si="2"/>
        <v>0</v>
      </c>
      <c r="R11" s="4">
        <f>(50+10*(Q11-19.37)/5.1)</f>
        <v>12.019607843137251</v>
      </c>
      <c r="S11" s="4">
        <f>(50+10*(Q11-21.1)/4.3)</f>
        <v>0.93023255813952943</v>
      </c>
      <c r="T11" s="2"/>
      <c r="U11" s="2"/>
      <c r="V11" s="3"/>
      <c r="W11" s="3"/>
    </row>
    <row r="12" spans="1:23" x14ac:dyDescent="0.2">
      <c r="A12" s="7" t="s">
        <v>12</v>
      </c>
      <c r="B12" s="7"/>
      <c r="C12" s="8" t="s">
        <v>44</v>
      </c>
      <c r="D12" s="8" t="s">
        <v>199</v>
      </c>
      <c r="E12" s="8" t="s">
        <v>74</v>
      </c>
      <c r="F12" s="8" t="s">
        <v>200</v>
      </c>
      <c r="G12" s="8" t="s">
        <v>105</v>
      </c>
      <c r="H12" s="8" t="s">
        <v>201</v>
      </c>
      <c r="I12" s="8" t="s">
        <v>140</v>
      </c>
      <c r="J12" s="8" t="s">
        <v>202</v>
      </c>
      <c r="K12" s="8">
        <f t="shared" si="3"/>
        <v>0</v>
      </c>
      <c r="L12" s="8"/>
      <c r="M12" s="8"/>
      <c r="N12" s="2"/>
      <c r="O12" s="2"/>
      <c r="P12" s="2"/>
      <c r="Q12" s="2">
        <f t="shared" si="2"/>
        <v>0</v>
      </c>
      <c r="R12" s="4">
        <f>(50+10*(Q12-18.39)/4.51)</f>
        <v>9.22394678492239</v>
      </c>
      <c r="S12" s="4">
        <f>(50+10*(Q12-17.02)/4.22)</f>
        <v>9.6682464454976298</v>
      </c>
      <c r="T12" s="2" t="s">
        <v>13</v>
      </c>
      <c r="U12" s="2">
        <f>SUM(Q10:Q15)</f>
        <v>0</v>
      </c>
      <c r="V12" s="3">
        <f>(50+10*(U12-115.91)/17.63)</f>
        <v>-15.745887691435058</v>
      </c>
      <c r="W12" s="3">
        <f>(50+10*(U12-119.41)/15.72)</f>
        <v>-25.96055979643765</v>
      </c>
    </row>
    <row r="13" spans="1:23" x14ac:dyDescent="0.2">
      <c r="A13" s="7" t="s">
        <v>14</v>
      </c>
      <c r="B13" s="7"/>
      <c r="C13" s="8" t="s">
        <v>203</v>
      </c>
      <c r="D13" s="8" t="s">
        <v>61</v>
      </c>
      <c r="E13" s="8" t="s">
        <v>204</v>
      </c>
      <c r="F13" s="8" t="s">
        <v>91</v>
      </c>
      <c r="G13" s="8" t="s">
        <v>205</v>
      </c>
      <c r="H13" s="8" t="s">
        <v>124</v>
      </c>
      <c r="I13" s="8" t="s">
        <v>145</v>
      </c>
      <c r="J13" s="8" t="s">
        <v>164</v>
      </c>
      <c r="K13" s="8">
        <f t="shared" si="3"/>
        <v>0</v>
      </c>
      <c r="L13" s="8"/>
      <c r="M13" s="8"/>
      <c r="N13" s="2"/>
      <c r="O13" s="2"/>
      <c r="P13" s="2"/>
      <c r="Q13" s="2">
        <f t="shared" si="2"/>
        <v>0</v>
      </c>
      <c r="R13" s="4">
        <f>(50+10*(Q13-18.82)/3.9)</f>
        <v>1.7435897435897445</v>
      </c>
      <c r="S13" s="4">
        <f>(50+10*(Q13-19.55)/3.74)</f>
        <v>-2.2727272727272663</v>
      </c>
      <c r="T13" s="2"/>
      <c r="U13" s="2"/>
      <c r="V13" s="3"/>
      <c r="W13" s="3"/>
    </row>
    <row r="14" spans="1:23" x14ac:dyDescent="0.2">
      <c r="A14" s="7" t="s">
        <v>15</v>
      </c>
      <c r="B14" s="7"/>
      <c r="C14" s="8" t="s">
        <v>49</v>
      </c>
      <c r="D14" s="8" t="s">
        <v>206</v>
      </c>
      <c r="E14" s="8" t="s">
        <v>79</v>
      </c>
      <c r="F14" s="8" t="s">
        <v>207</v>
      </c>
      <c r="G14" s="8" t="s">
        <v>110</v>
      </c>
      <c r="H14" s="8" t="s">
        <v>128</v>
      </c>
      <c r="I14" s="8" t="s">
        <v>148</v>
      </c>
      <c r="J14" s="8" t="s">
        <v>166</v>
      </c>
      <c r="K14" s="8">
        <f t="shared" si="3"/>
        <v>0</v>
      </c>
      <c r="L14" s="8"/>
      <c r="M14" s="8"/>
      <c r="N14" s="2"/>
      <c r="O14" s="2"/>
      <c r="P14" s="2"/>
      <c r="Q14" s="2">
        <f t="shared" si="2"/>
        <v>0</v>
      </c>
      <c r="R14" s="4">
        <f>(50+10*(Q14-13.73)/4.26)</f>
        <v>17.769953051643185</v>
      </c>
      <c r="S14" s="4">
        <f>(50+10*(Q14-13.7)/4.07)</f>
        <v>16.339066339066342</v>
      </c>
      <c r="T14" s="2"/>
      <c r="U14" s="2"/>
      <c r="V14" s="3"/>
      <c r="W14" s="3"/>
    </row>
    <row r="15" spans="1:23" x14ac:dyDescent="0.2">
      <c r="A15" s="7" t="s">
        <v>278</v>
      </c>
      <c r="B15" s="7"/>
      <c r="C15" s="8" t="s">
        <v>208</v>
      </c>
      <c r="D15" s="8" t="s">
        <v>66</v>
      </c>
      <c r="E15" s="8" t="s">
        <v>209</v>
      </c>
      <c r="F15" s="8" t="s">
        <v>96</v>
      </c>
      <c r="G15" s="8" t="s">
        <v>210</v>
      </c>
      <c r="H15" s="8" t="s">
        <v>130</v>
      </c>
      <c r="I15" s="8" t="s">
        <v>211</v>
      </c>
      <c r="J15" s="8" t="s">
        <v>169</v>
      </c>
      <c r="K15" s="8">
        <f t="shared" si="3"/>
        <v>0</v>
      </c>
      <c r="L15" s="8"/>
      <c r="M15" s="8"/>
      <c r="N15" s="2"/>
      <c r="O15" s="2"/>
      <c r="P15" s="2"/>
      <c r="Q15" s="2">
        <f t="shared" si="2"/>
        <v>0</v>
      </c>
      <c r="R15" s="4">
        <f>(50+10*(Q15-22.52)/4.4)</f>
        <v>-1.1818181818181728</v>
      </c>
      <c r="S15" s="4">
        <f>(50+10*(Q15-23.85)/4.06)</f>
        <v>-8.7438423645320285</v>
      </c>
      <c r="T15" s="2"/>
      <c r="U15" s="2"/>
      <c r="V15" s="3"/>
      <c r="W15" s="3"/>
    </row>
    <row r="16" spans="1:23" x14ac:dyDescent="0.2">
      <c r="A16" s="16" t="s">
        <v>13</v>
      </c>
      <c r="B16" s="13"/>
      <c r="C16" s="20"/>
      <c r="D16" s="20"/>
      <c r="E16" s="20"/>
      <c r="F16" s="20"/>
      <c r="G16" s="20"/>
      <c r="H16" s="20"/>
      <c r="I16" s="20"/>
      <c r="J16" s="20"/>
      <c r="K16" s="15">
        <f>SUM(K10:K15)</f>
        <v>0</v>
      </c>
      <c r="L16" s="15"/>
      <c r="M16" s="15"/>
      <c r="N16" s="2"/>
      <c r="O16" s="2"/>
      <c r="P16" s="2"/>
      <c r="Q16" s="2"/>
      <c r="R16" s="4"/>
      <c r="S16" s="4"/>
      <c r="T16" s="2"/>
      <c r="U16" s="2"/>
      <c r="V16" s="3"/>
      <c r="W16" s="3"/>
    </row>
    <row r="17" spans="1:23" s="17" customFormat="1" x14ac:dyDescent="0.2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1"/>
      <c r="L17" s="11"/>
      <c r="M17" s="11"/>
      <c r="N17" s="11"/>
      <c r="O17" s="11"/>
      <c r="P17" s="11"/>
      <c r="Q17" s="11"/>
      <c r="R17" s="18"/>
      <c r="S17" s="18"/>
      <c r="T17" s="11"/>
      <c r="U17" s="11"/>
      <c r="V17" s="19"/>
      <c r="W17" s="19"/>
    </row>
    <row r="18" spans="1:23" x14ac:dyDescent="0.2">
      <c r="A18" s="7" t="s">
        <v>16</v>
      </c>
      <c r="B18" s="7"/>
      <c r="C18" s="8" t="s">
        <v>40</v>
      </c>
      <c r="D18" s="8" t="s">
        <v>212</v>
      </c>
      <c r="E18" s="8" t="s">
        <v>70</v>
      </c>
      <c r="F18" s="8" t="s">
        <v>213</v>
      </c>
      <c r="G18" s="8" t="s">
        <v>100</v>
      </c>
      <c r="H18" s="8" t="s">
        <v>214</v>
      </c>
      <c r="I18" s="8" t="s">
        <v>215</v>
      </c>
      <c r="J18" s="8" t="s">
        <v>216</v>
      </c>
      <c r="K18" s="8">
        <f>SUM(C18:J18)</f>
        <v>0</v>
      </c>
      <c r="L18" s="8"/>
      <c r="M18" s="8"/>
      <c r="N18" s="2"/>
      <c r="O18" s="2"/>
      <c r="P18" s="2"/>
      <c r="Q18" s="2">
        <f t="shared" ref="Q18:Q23" si="4">SUM(C18:P18)</f>
        <v>0</v>
      </c>
      <c r="R18" s="4">
        <f>(50+10*(Q18-17.21)/4.92)</f>
        <v>15.020325203252028</v>
      </c>
      <c r="S18" s="4">
        <f>(50+10*(Q18-17.84)/4.67)</f>
        <v>11.79871520342612</v>
      </c>
      <c r="T18" s="2"/>
      <c r="U18" s="2"/>
      <c r="V18" s="3"/>
      <c r="W18" s="3"/>
    </row>
    <row r="19" spans="1:23" x14ac:dyDescent="0.2">
      <c r="A19" s="7" t="s">
        <v>17</v>
      </c>
      <c r="B19" s="7"/>
      <c r="C19" s="8" t="s">
        <v>217</v>
      </c>
      <c r="D19" s="8" t="s">
        <v>57</v>
      </c>
      <c r="E19" s="8" t="s">
        <v>218</v>
      </c>
      <c r="F19" s="8" t="s">
        <v>87</v>
      </c>
      <c r="G19" s="8" t="s">
        <v>219</v>
      </c>
      <c r="H19" s="8" t="s">
        <v>119</v>
      </c>
      <c r="I19" s="8" t="s">
        <v>138</v>
      </c>
      <c r="J19" s="8" t="s">
        <v>158</v>
      </c>
      <c r="K19" s="8">
        <f t="shared" ref="K19:K23" si="5">SUM(C19:J19)</f>
        <v>0</v>
      </c>
      <c r="L19" s="8"/>
      <c r="M19" s="8"/>
      <c r="N19" s="2"/>
      <c r="O19" s="2"/>
      <c r="P19" s="2"/>
      <c r="Q19" s="2">
        <f t="shared" si="4"/>
        <v>0</v>
      </c>
      <c r="R19" s="4">
        <f>(50+10*(Q19-19.57)/5.04)</f>
        <v>11.170634920634924</v>
      </c>
      <c r="S19" s="4">
        <f>(50+10*(Q19-20.77)/4.45)</f>
        <v>3.3258426966292163</v>
      </c>
      <c r="T19" s="2"/>
      <c r="U19" s="2"/>
      <c r="V19" s="3"/>
      <c r="W19" s="3"/>
    </row>
    <row r="20" spans="1:23" x14ac:dyDescent="0.2">
      <c r="A20" s="7" t="s">
        <v>18</v>
      </c>
      <c r="B20" s="7"/>
      <c r="C20" s="8" t="s">
        <v>45</v>
      </c>
      <c r="D20" s="8" t="s">
        <v>220</v>
      </c>
      <c r="E20" s="8" t="s">
        <v>75</v>
      </c>
      <c r="F20" s="8" t="s">
        <v>221</v>
      </c>
      <c r="G20" s="8" t="s">
        <v>106</v>
      </c>
      <c r="H20" s="8" t="s">
        <v>222</v>
      </c>
      <c r="I20" s="8" t="s">
        <v>141</v>
      </c>
      <c r="J20" s="8" t="s">
        <v>160</v>
      </c>
      <c r="K20" s="8">
        <f t="shared" si="5"/>
        <v>0</v>
      </c>
      <c r="L20" s="8"/>
      <c r="M20" s="8"/>
      <c r="N20" s="2"/>
      <c r="O20" s="2"/>
      <c r="P20" s="2"/>
      <c r="Q20" s="2">
        <f t="shared" si="4"/>
        <v>0</v>
      </c>
      <c r="R20" s="4">
        <f>(50+10*(Q20-19.87)/3.57)</f>
        <v>-5.6582633053221372</v>
      </c>
      <c r="S20" s="4">
        <f>(50+10*(Q20-20.9)/3.39)</f>
        <v>-11.65191740412979</v>
      </c>
      <c r="T20" s="2" t="s">
        <v>19</v>
      </c>
      <c r="U20" s="2">
        <f>SUM(Q18:Q23)</f>
        <v>0</v>
      </c>
      <c r="V20" s="3">
        <f>(50+10*(U20-115.3)/16.93)</f>
        <v>-18.103957471943303</v>
      </c>
      <c r="W20" s="3">
        <f>(50+10*(U20-118.81)/15.51)</f>
        <v>-26.602192134107028</v>
      </c>
    </row>
    <row r="21" spans="1:23" x14ac:dyDescent="0.2">
      <c r="A21" s="7" t="s">
        <v>20</v>
      </c>
      <c r="B21" s="7"/>
      <c r="C21" s="8" t="s">
        <v>223</v>
      </c>
      <c r="D21" s="8" t="s">
        <v>62</v>
      </c>
      <c r="E21" s="8" t="s">
        <v>224</v>
      </c>
      <c r="F21" s="8" t="s">
        <v>92</v>
      </c>
      <c r="G21" s="8" t="s">
        <v>225</v>
      </c>
      <c r="H21" s="8" t="s">
        <v>125</v>
      </c>
      <c r="I21" s="8" t="s">
        <v>226</v>
      </c>
      <c r="J21" s="8" t="s">
        <v>227</v>
      </c>
      <c r="K21" s="8">
        <f t="shared" si="5"/>
        <v>0</v>
      </c>
      <c r="L21" s="8"/>
      <c r="M21" s="8"/>
      <c r="N21" s="2"/>
      <c r="O21" s="2"/>
      <c r="P21" s="2"/>
      <c r="Q21" s="2">
        <f t="shared" si="4"/>
        <v>0</v>
      </c>
      <c r="R21" s="4">
        <f>(50+10*(Q21-16.96)/3.97)</f>
        <v>7.2795969773299731</v>
      </c>
      <c r="S21" s="4">
        <f>(50+10*(Q21-17.88)/3.72)</f>
        <v>1.9354838709677509</v>
      </c>
      <c r="T21" s="2"/>
      <c r="U21" s="2"/>
      <c r="V21" s="3"/>
      <c r="W21" s="3"/>
    </row>
    <row r="22" spans="1:23" x14ac:dyDescent="0.2">
      <c r="A22" s="7" t="s">
        <v>21</v>
      </c>
      <c r="B22" s="7"/>
      <c r="C22" s="8" t="s">
        <v>50</v>
      </c>
      <c r="D22" s="8" t="s">
        <v>228</v>
      </c>
      <c r="E22" s="8" t="s">
        <v>80</v>
      </c>
      <c r="F22" s="8" t="s">
        <v>229</v>
      </c>
      <c r="G22" s="8" t="s">
        <v>111</v>
      </c>
      <c r="H22" s="8" t="s">
        <v>230</v>
      </c>
      <c r="I22" s="8" t="s">
        <v>149</v>
      </c>
      <c r="J22" s="8" t="s">
        <v>167</v>
      </c>
      <c r="K22" s="8">
        <f t="shared" si="5"/>
        <v>0</v>
      </c>
      <c r="L22" s="8"/>
      <c r="M22" s="8"/>
      <c r="N22" s="2"/>
      <c r="O22" s="2"/>
      <c r="P22" s="2"/>
      <c r="Q22" s="2">
        <f t="shared" si="4"/>
        <v>0</v>
      </c>
      <c r="R22" s="4">
        <f>(50+10*(Q22-20.04)/5.29)</f>
        <v>12.117202268431008</v>
      </c>
      <c r="S22" s="4">
        <f>(50+10*(Q22-19.69)/4.86)</f>
        <v>9.4855967078189281</v>
      </c>
      <c r="T22" s="2"/>
      <c r="U22" s="2"/>
      <c r="V22" s="3"/>
      <c r="W22" s="3"/>
    </row>
    <row r="23" spans="1:23" x14ac:dyDescent="0.2">
      <c r="A23" s="7" t="s">
        <v>22</v>
      </c>
      <c r="B23" s="7"/>
      <c r="C23" s="8" t="s">
        <v>231</v>
      </c>
      <c r="D23" s="8" t="s">
        <v>67</v>
      </c>
      <c r="E23" s="8" t="s">
        <v>232</v>
      </c>
      <c r="F23" s="8" t="s">
        <v>97</v>
      </c>
      <c r="G23" s="8" t="s">
        <v>233</v>
      </c>
      <c r="H23" s="8" t="s">
        <v>131</v>
      </c>
      <c r="I23" s="8" t="s">
        <v>234</v>
      </c>
      <c r="J23" s="8" t="s">
        <v>235</v>
      </c>
      <c r="K23" s="8">
        <f t="shared" si="5"/>
        <v>0</v>
      </c>
      <c r="L23" s="8"/>
      <c r="M23" s="8"/>
      <c r="N23" s="2"/>
      <c r="O23" s="2"/>
      <c r="P23" s="2"/>
      <c r="Q23" s="2">
        <f t="shared" si="4"/>
        <v>0</v>
      </c>
      <c r="R23" s="4">
        <f>(50+10*(Q23-21.68)/3.41)</f>
        <v>-13.577712609970675</v>
      </c>
      <c r="S23" s="4">
        <f>(50+10*(Q23-21.74)/3.04)</f>
        <v>-21.513157894736835</v>
      </c>
      <c r="T23" s="2"/>
      <c r="U23" s="2"/>
      <c r="V23" s="3"/>
      <c r="W23" s="3"/>
    </row>
    <row r="24" spans="1:23" x14ac:dyDescent="0.2">
      <c r="A24" s="14" t="s">
        <v>19</v>
      </c>
      <c r="B24" s="13"/>
      <c r="C24" s="20"/>
      <c r="D24" s="20"/>
      <c r="E24" s="20"/>
      <c r="F24" s="20"/>
      <c r="G24" s="20"/>
      <c r="H24" s="20"/>
      <c r="I24" s="20"/>
      <c r="J24" s="20"/>
      <c r="K24" s="15">
        <f>SUM(K18:K23)</f>
        <v>0</v>
      </c>
      <c r="L24" s="15"/>
      <c r="M24" s="15"/>
      <c r="N24" s="2"/>
      <c r="O24" s="2"/>
      <c r="P24" s="2"/>
      <c r="Q24" s="2"/>
      <c r="R24" s="4"/>
      <c r="S24" s="4"/>
      <c r="T24" s="2"/>
      <c r="U24" s="2"/>
      <c r="V24" s="3"/>
      <c r="W24" s="3"/>
    </row>
    <row r="25" spans="1:23" s="17" customFormat="1" x14ac:dyDescent="0.2">
      <c r="A25" s="11"/>
      <c r="B25" s="11"/>
      <c r="C25" s="12"/>
      <c r="D25" s="12"/>
      <c r="E25" s="12"/>
      <c r="F25" s="12"/>
      <c r="G25" s="12"/>
      <c r="H25" s="12"/>
      <c r="I25" s="12"/>
      <c r="J25" s="12"/>
      <c r="K25" s="11"/>
      <c r="L25" s="11"/>
      <c r="M25" s="11"/>
      <c r="N25" s="11"/>
      <c r="O25" s="11"/>
      <c r="P25" s="11"/>
      <c r="Q25" s="11"/>
      <c r="R25" s="18"/>
      <c r="S25" s="18"/>
      <c r="T25" s="11"/>
      <c r="U25" s="11"/>
      <c r="V25" s="19"/>
      <c r="W25" s="19"/>
    </row>
    <row r="26" spans="1:23" x14ac:dyDescent="0.2">
      <c r="A26" s="7" t="s">
        <v>23</v>
      </c>
      <c r="B26" s="7"/>
      <c r="C26" s="8" t="s">
        <v>236</v>
      </c>
      <c r="D26" s="8" t="s">
        <v>55</v>
      </c>
      <c r="E26" s="8" t="s">
        <v>237</v>
      </c>
      <c r="F26" s="8" t="s">
        <v>85</v>
      </c>
      <c r="G26" s="8" t="s">
        <v>238</v>
      </c>
      <c r="H26" s="8" t="s">
        <v>117</v>
      </c>
      <c r="I26" s="8" t="s">
        <v>135</v>
      </c>
      <c r="J26" s="8" t="s">
        <v>154</v>
      </c>
      <c r="K26" s="8">
        <f>SUM(C26:J26)</f>
        <v>0</v>
      </c>
      <c r="L26" s="8"/>
      <c r="M26" s="8"/>
      <c r="N26" s="2"/>
      <c r="O26" s="2"/>
      <c r="P26" s="2"/>
      <c r="Q26" s="2">
        <f t="shared" ref="Q26:Q31" si="6">SUM(C26:P26)</f>
        <v>0</v>
      </c>
      <c r="R26" s="4">
        <f>(50+10*(Q26-22.59)/4.2)</f>
        <v>-3.7857142857142847</v>
      </c>
      <c r="S26" s="4">
        <f>(50+10*(Q26-22.84)/3.89)</f>
        <v>-8.7146529562982025</v>
      </c>
      <c r="T26" s="2"/>
      <c r="U26" s="2"/>
      <c r="V26" s="3"/>
      <c r="W26" s="3"/>
    </row>
    <row r="27" spans="1:23" x14ac:dyDescent="0.2">
      <c r="A27" s="7" t="s">
        <v>24</v>
      </c>
      <c r="B27" s="7"/>
      <c r="C27" s="8" t="s">
        <v>43</v>
      </c>
      <c r="D27" s="8" t="s">
        <v>239</v>
      </c>
      <c r="E27" s="8" t="s">
        <v>73</v>
      </c>
      <c r="F27" s="8" t="s">
        <v>240</v>
      </c>
      <c r="G27" s="8" t="s">
        <v>103</v>
      </c>
      <c r="H27" s="8" t="s">
        <v>241</v>
      </c>
      <c r="I27" s="8" t="s">
        <v>242</v>
      </c>
      <c r="J27" s="8" t="s">
        <v>243</v>
      </c>
      <c r="K27" s="8">
        <f t="shared" ref="K27:K31" si="7">SUM(C27:J27)</f>
        <v>0</v>
      </c>
      <c r="L27" s="8"/>
      <c r="M27" s="8"/>
      <c r="N27" s="2"/>
      <c r="O27" s="2"/>
      <c r="P27" s="2"/>
      <c r="Q27" s="2">
        <f t="shared" si="6"/>
        <v>0</v>
      </c>
      <c r="R27" s="4">
        <f>(50+10*(Q27-20.14)/4.54)</f>
        <v>5.6387665198237897</v>
      </c>
      <c r="S27" s="4">
        <f>(50+10*(Q27-20.82)/4.05)</f>
        <v>-1.4074074074074048</v>
      </c>
      <c r="T27" s="2"/>
      <c r="U27" s="2"/>
      <c r="V27" s="3"/>
      <c r="W27" s="3"/>
    </row>
    <row r="28" spans="1:23" x14ac:dyDescent="0.2">
      <c r="A28" s="7" t="s">
        <v>25</v>
      </c>
      <c r="B28" s="7"/>
      <c r="C28" s="8" t="s">
        <v>244</v>
      </c>
      <c r="D28" s="8" t="s">
        <v>60</v>
      </c>
      <c r="E28" s="8" t="s">
        <v>245</v>
      </c>
      <c r="F28" s="8" t="s">
        <v>90</v>
      </c>
      <c r="G28" s="8" t="s">
        <v>246</v>
      </c>
      <c r="H28" s="8" t="s">
        <v>122</v>
      </c>
      <c r="I28" s="8" t="s">
        <v>142</v>
      </c>
      <c r="J28" s="8" t="s">
        <v>161</v>
      </c>
      <c r="K28" s="8">
        <f t="shared" si="7"/>
        <v>0</v>
      </c>
      <c r="L28" s="8"/>
      <c r="M28" s="8"/>
      <c r="N28" s="2"/>
      <c r="O28" s="2"/>
      <c r="P28" s="2"/>
      <c r="Q28" s="2">
        <f t="shared" si="6"/>
        <v>0</v>
      </c>
      <c r="R28" s="4">
        <f>(50+10*(Q28-23.41)/3.54)</f>
        <v>-16.129943502824858</v>
      </c>
      <c r="S28" s="4">
        <f>(50+10*(Q28-24.56)/3.31)</f>
        <v>-24.199395770392741</v>
      </c>
      <c r="T28" s="2" t="s">
        <v>26</v>
      </c>
      <c r="U28" s="2">
        <f>SUM(Q26:Q31)</f>
        <v>0</v>
      </c>
      <c r="V28" s="3">
        <f>(50+10*(U28-129.48)/16.55)</f>
        <v>-28.235649546827787</v>
      </c>
      <c r="W28" s="5">
        <f>(50+10*(U28-134.12)/14.51)</f>
        <v>-42.432804962095105</v>
      </c>
    </row>
    <row r="29" spans="1:23" x14ac:dyDescent="0.2">
      <c r="A29" s="7" t="s">
        <v>27</v>
      </c>
      <c r="B29" s="7"/>
      <c r="C29" s="8" t="s">
        <v>48</v>
      </c>
      <c r="D29" s="8" t="s">
        <v>247</v>
      </c>
      <c r="E29" s="8" t="s">
        <v>78</v>
      </c>
      <c r="F29" s="8" t="s">
        <v>248</v>
      </c>
      <c r="G29" s="8" t="s">
        <v>109</v>
      </c>
      <c r="H29" s="8" t="s">
        <v>249</v>
      </c>
      <c r="I29" s="8" t="s">
        <v>250</v>
      </c>
      <c r="J29" s="8" t="s">
        <v>251</v>
      </c>
      <c r="K29" s="8">
        <f t="shared" si="7"/>
        <v>0</v>
      </c>
      <c r="L29" s="8"/>
      <c r="M29" s="8"/>
      <c r="N29" s="2"/>
      <c r="O29" s="2"/>
      <c r="P29" s="2"/>
      <c r="Q29" s="2">
        <f t="shared" si="6"/>
        <v>0</v>
      </c>
      <c r="R29" s="4">
        <f>(50+10*(Q29-20.08)/4.13)</f>
        <v>1.3801452784503638</v>
      </c>
      <c r="S29" s="4">
        <f>(50+10*(Q29-20.8)/3.82)</f>
        <v>-4.4502617801047109</v>
      </c>
      <c r="T29" s="2"/>
      <c r="U29" s="2"/>
      <c r="V29" s="3"/>
      <c r="W29" s="3"/>
    </row>
    <row r="30" spans="1:23" x14ac:dyDescent="0.2">
      <c r="A30" s="7" t="s">
        <v>28</v>
      </c>
      <c r="B30" s="7"/>
      <c r="C30" s="8" t="s">
        <v>252</v>
      </c>
      <c r="D30" s="8" t="s">
        <v>65</v>
      </c>
      <c r="E30" s="8" t="s">
        <v>253</v>
      </c>
      <c r="F30" s="8" t="s">
        <v>95</v>
      </c>
      <c r="G30" s="8" t="s">
        <v>254</v>
      </c>
      <c r="H30" s="8" t="s">
        <v>129</v>
      </c>
      <c r="I30" s="8" t="s">
        <v>150</v>
      </c>
      <c r="J30" s="8" t="s">
        <v>255</v>
      </c>
      <c r="K30" s="8">
        <f t="shared" si="7"/>
        <v>0</v>
      </c>
      <c r="L30" s="8"/>
      <c r="M30" s="8"/>
      <c r="N30" s="2"/>
      <c r="O30" s="2"/>
      <c r="P30" s="2"/>
      <c r="Q30" s="2">
        <f t="shared" si="6"/>
        <v>0</v>
      </c>
      <c r="R30" s="4">
        <f>(50+10*(Q30-19.73)/4.4)</f>
        <v>5.1590909090909136</v>
      </c>
      <c r="S30" s="4">
        <f>(50+10*(Q30-21.22)/4.06)</f>
        <v>-2.2660098522167544</v>
      </c>
      <c r="T30" s="2"/>
      <c r="U30" s="2"/>
      <c r="V30" s="3"/>
      <c r="W30" s="3"/>
    </row>
    <row r="31" spans="1:23" x14ac:dyDescent="0.2">
      <c r="A31" s="7" t="s">
        <v>29</v>
      </c>
      <c r="B31" s="7"/>
      <c r="C31" s="8" t="s">
        <v>53</v>
      </c>
      <c r="D31" s="8" t="s">
        <v>256</v>
      </c>
      <c r="E31" s="8" t="s">
        <v>83</v>
      </c>
      <c r="F31" s="8" t="s">
        <v>257</v>
      </c>
      <c r="G31" s="8" t="s">
        <v>114</v>
      </c>
      <c r="H31" s="8" t="s">
        <v>132</v>
      </c>
      <c r="I31" s="8" t="s">
        <v>151</v>
      </c>
      <c r="J31" s="8" t="s">
        <v>170</v>
      </c>
      <c r="K31" s="8">
        <f t="shared" si="7"/>
        <v>0</v>
      </c>
      <c r="L31" s="8"/>
      <c r="M31" s="8"/>
      <c r="N31" s="2"/>
      <c r="O31" s="2"/>
      <c r="P31" s="2"/>
      <c r="Q31" s="2">
        <f t="shared" si="6"/>
        <v>0</v>
      </c>
      <c r="R31" s="4">
        <f>(50+10*(Q31-23.53)/3.47)</f>
        <v>-17.809798270893367</v>
      </c>
      <c r="S31" s="4">
        <f>(50+10*(Q31-23.87)/3.22)</f>
        <v>-24.130434782608702</v>
      </c>
      <c r="T31" s="2"/>
      <c r="U31" s="2"/>
      <c r="V31" s="3"/>
      <c r="W31" s="3"/>
    </row>
    <row r="32" spans="1:23" x14ac:dyDescent="0.2">
      <c r="A32" s="14" t="s">
        <v>26</v>
      </c>
      <c r="B32" s="13"/>
      <c r="C32" s="20"/>
      <c r="D32" s="20"/>
      <c r="E32" s="20"/>
      <c r="F32" s="20"/>
      <c r="G32" s="20"/>
      <c r="H32" s="20"/>
      <c r="I32" s="20"/>
      <c r="J32" s="20"/>
      <c r="K32" s="15">
        <f>SUM(K26:K31)</f>
        <v>0</v>
      </c>
      <c r="L32" s="15"/>
      <c r="M32" s="15"/>
      <c r="N32" s="2"/>
      <c r="O32" s="2"/>
      <c r="P32" s="2"/>
      <c r="Q32" s="2"/>
      <c r="R32" s="4"/>
      <c r="S32" s="4"/>
      <c r="T32" s="2"/>
      <c r="U32" s="2"/>
      <c r="V32" s="3"/>
      <c r="W32" s="3"/>
    </row>
    <row r="33" spans="1:23" s="17" customFormat="1" x14ac:dyDescent="0.2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1"/>
      <c r="L33" s="11"/>
      <c r="M33" s="11"/>
      <c r="N33" s="11"/>
      <c r="O33" s="11"/>
      <c r="P33" s="11"/>
      <c r="Q33" s="11"/>
      <c r="R33" s="18"/>
      <c r="S33" s="18"/>
      <c r="T33" s="11"/>
      <c r="U33" s="11"/>
      <c r="V33" s="19"/>
      <c r="W33" s="19"/>
    </row>
    <row r="34" spans="1:23" x14ac:dyDescent="0.2">
      <c r="A34" s="7" t="s">
        <v>30</v>
      </c>
      <c r="B34" s="7"/>
      <c r="C34" s="8" t="s">
        <v>41</v>
      </c>
      <c r="D34" s="8" t="s">
        <v>258</v>
      </c>
      <c r="E34" s="8" t="s">
        <v>71</v>
      </c>
      <c r="F34" s="8" t="s">
        <v>259</v>
      </c>
      <c r="G34" s="8" t="s">
        <v>101</v>
      </c>
      <c r="H34" s="8" t="s">
        <v>260</v>
      </c>
      <c r="I34" s="8" t="s">
        <v>136</v>
      </c>
      <c r="J34" s="8" t="s">
        <v>155</v>
      </c>
      <c r="K34" s="8">
        <f>SUM(C34:J34)</f>
        <v>0</v>
      </c>
      <c r="L34" s="8"/>
      <c r="M34" s="8"/>
      <c r="N34" s="2"/>
      <c r="O34" s="2"/>
      <c r="P34" s="2"/>
      <c r="Q34" s="2">
        <f t="shared" ref="Q34:Q39" si="8">SUM(C34:P34)</f>
        <v>0</v>
      </c>
      <c r="R34" s="4">
        <f>(50+10*(Q34-23.67)/3.64)</f>
        <v>-15.027472527472526</v>
      </c>
      <c r="S34" s="4">
        <f>(50+10*(Q34-23.57)/3.53)</f>
        <v>-16.770538243626063</v>
      </c>
      <c r="T34" s="2"/>
      <c r="U34" s="2"/>
      <c r="V34" s="3"/>
      <c r="W34" s="3"/>
    </row>
    <row r="35" spans="1:23" x14ac:dyDescent="0.2">
      <c r="A35" s="7" t="s">
        <v>31</v>
      </c>
      <c r="B35" s="7"/>
      <c r="C35" s="8" t="s">
        <v>261</v>
      </c>
      <c r="D35" s="8" t="s">
        <v>58</v>
      </c>
      <c r="E35" s="8" t="s">
        <v>262</v>
      </c>
      <c r="F35" s="8" t="s">
        <v>88</v>
      </c>
      <c r="G35" s="8" t="s">
        <v>263</v>
      </c>
      <c r="H35" s="8" t="s">
        <v>120</v>
      </c>
      <c r="I35" s="8" t="s">
        <v>264</v>
      </c>
      <c r="J35" s="8" t="s">
        <v>265</v>
      </c>
      <c r="K35" s="8">
        <f t="shared" ref="K35:K39" si="9">SUM(C35:J35)</f>
        <v>0</v>
      </c>
      <c r="L35" s="8"/>
      <c r="M35" s="8"/>
      <c r="N35" s="2"/>
      <c r="O35" s="2"/>
      <c r="P35" s="2"/>
      <c r="Q35" s="2">
        <f t="shared" si="8"/>
        <v>0</v>
      </c>
      <c r="R35" s="4">
        <f>(50+10*(Q35-20.59)/4.26)</f>
        <v>1.6666666666666643</v>
      </c>
      <c r="S35" s="4">
        <f>(50+10*(Q35-20.87)/4.03)</f>
        <v>-1.7866004962779201</v>
      </c>
      <c r="T35" s="2"/>
      <c r="U35" s="2"/>
      <c r="V35" s="3"/>
      <c r="W35" s="3"/>
    </row>
    <row r="36" spans="1:23" x14ac:dyDescent="0.2">
      <c r="A36" s="7" t="s">
        <v>32</v>
      </c>
      <c r="B36" s="7"/>
      <c r="C36" s="8" t="s">
        <v>46</v>
      </c>
      <c r="D36" s="8" t="s">
        <v>266</v>
      </c>
      <c r="E36" s="8" t="s">
        <v>76</v>
      </c>
      <c r="F36" s="8" t="s">
        <v>267</v>
      </c>
      <c r="G36" s="8" t="s">
        <v>107</v>
      </c>
      <c r="H36" s="8" t="s">
        <v>123</v>
      </c>
      <c r="I36" s="8" t="s">
        <v>143</v>
      </c>
      <c r="J36" s="8" t="s">
        <v>162</v>
      </c>
      <c r="K36" s="8">
        <f t="shared" si="9"/>
        <v>0</v>
      </c>
      <c r="L36" s="8"/>
      <c r="M36" s="8"/>
      <c r="N36" s="2"/>
      <c r="O36" s="2"/>
      <c r="P36" s="2"/>
      <c r="Q36" s="2">
        <f t="shared" si="8"/>
        <v>0</v>
      </c>
      <c r="R36" s="4">
        <f>(50+10*(Q36-25.14)/3.74)</f>
        <v>-17.219251336898395</v>
      </c>
      <c r="S36" s="4">
        <f>(50+10*(Q36-25.36)/3.4)</f>
        <v>-24.588235294117652</v>
      </c>
      <c r="T36" s="2" t="s">
        <v>33</v>
      </c>
      <c r="U36" s="2">
        <f>SUM(Q34:Q39)</f>
        <v>0</v>
      </c>
      <c r="V36" s="3">
        <f>(50+10*(U36-139.67)/19.12)</f>
        <v>-23.049163179916306</v>
      </c>
      <c r="W36" s="3">
        <f>(50+10*(U36-140.97)/16.99)</f>
        <v>-32.972336668628614</v>
      </c>
    </row>
    <row r="37" spans="1:23" x14ac:dyDescent="0.2">
      <c r="A37" s="7" t="s">
        <v>34</v>
      </c>
      <c r="B37" s="7"/>
      <c r="C37" s="8" t="s">
        <v>268</v>
      </c>
      <c r="D37" s="8" t="s">
        <v>63</v>
      </c>
      <c r="E37" s="8" t="s">
        <v>269</v>
      </c>
      <c r="F37" s="8" t="s">
        <v>93</v>
      </c>
      <c r="G37" s="8" t="s">
        <v>270</v>
      </c>
      <c r="H37" s="8" t="s">
        <v>126</v>
      </c>
      <c r="I37" s="8" t="s">
        <v>146</v>
      </c>
      <c r="J37" s="8" t="s">
        <v>165</v>
      </c>
      <c r="K37" s="8">
        <f t="shared" si="9"/>
        <v>0</v>
      </c>
      <c r="L37" s="8"/>
      <c r="M37" s="8"/>
      <c r="N37" s="2"/>
      <c r="O37" s="2"/>
      <c r="P37" s="2"/>
      <c r="Q37" s="2">
        <f t="shared" si="8"/>
        <v>0</v>
      </c>
      <c r="R37" s="4">
        <f>(50+10*(Q37-24.08)/3.76)</f>
        <v>-14.042553191489361</v>
      </c>
      <c r="S37" s="4">
        <f>(50+10*(Q37-24.44)/3.47)</f>
        <v>-20.432276657060513</v>
      </c>
      <c r="T37" s="2"/>
      <c r="U37" s="2"/>
      <c r="V37" s="3"/>
      <c r="W37" s="3"/>
    </row>
    <row r="38" spans="1:23" x14ac:dyDescent="0.2">
      <c r="A38" s="7" t="s">
        <v>35</v>
      </c>
      <c r="B38" s="7"/>
      <c r="C38" s="8" t="s">
        <v>51</v>
      </c>
      <c r="D38" s="8" t="s">
        <v>271</v>
      </c>
      <c r="E38" s="8" t="s">
        <v>81</v>
      </c>
      <c r="F38" s="8" t="s">
        <v>272</v>
      </c>
      <c r="G38" s="8" t="s">
        <v>112</v>
      </c>
      <c r="H38" s="8" t="s">
        <v>273</v>
      </c>
      <c r="I38" s="8" t="s">
        <v>274</v>
      </c>
      <c r="J38" s="8" t="s">
        <v>168</v>
      </c>
      <c r="K38" s="8">
        <f t="shared" si="9"/>
        <v>0</v>
      </c>
      <c r="L38" s="8"/>
      <c r="M38" s="8"/>
      <c r="N38" s="2"/>
      <c r="O38" s="2"/>
      <c r="P38" s="2"/>
      <c r="Q38" s="2">
        <f t="shared" si="8"/>
        <v>0</v>
      </c>
      <c r="R38" s="4">
        <f>(50+10*(Q38-24.22)/4.12)</f>
        <v>-8.7864077669902869</v>
      </c>
      <c r="S38" s="4">
        <f>(50+10*(Q38-24.57)/3.52)</f>
        <v>-19.80113636363636</v>
      </c>
      <c r="T38" s="2"/>
      <c r="U38" s="2"/>
      <c r="V38" s="3"/>
      <c r="W38" s="3"/>
    </row>
    <row r="39" spans="1:23" x14ac:dyDescent="0.2">
      <c r="A39" s="7" t="s">
        <v>36</v>
      </c>
      <c r="B39" s="7"/>
      <c r="C39" s="8" t="s">
        <v>275</v>
      </c>
      <c r="D39" s="8" t="s">
        <v>68</v>
      </c>
      <c r="E39" s="8" t="s">
        <v>276</v>
      </c>
      <c r="F39" s="8" t="s">
        <v>98</v>
      </c>
      <c r="G39" s="8" t="s">
        <v>277</v>
      </c>
      <c r="H39" s="8" t="s">
        <v>133</v>
      </c>
      <c r="I39" s="8" t="s">
        <v>152</v>
      </c>
      <c r="J39" s="8" t="s">
        <v>171</v>
      </c>
      <c r="K39" s="8">
        <f t="shared" si="9"/>
        <v>0</v>
      </c>
      <c r="L39" s="8"/>
      <c r="M39" s="8"/>
      <c r="N39" s="2"/>
      <c r="O39" s="2"/>
      <c r="P39" s="2"/>
      <c r="Q39" s="2">
        <f t="shared" si="8"/>
        <v>0</v>
      </c>
      <c r="R39" s="4">
        <f>(50+10*(Q39-21.98)/4.73)</f>
        <v>3.5306553911205114</v>
      </c>
      <c r="S39" s="4">
        <f>(50+10*(Q39-22.15)/4.42)</f>
        <v>-0.11312217194570451</v>
      </c>
      <c r="T39" s="2"/>
      <c r="U39" s="2"/>
      <c r="V39" s="3"/>
      <c r="W39" s="3"/>
    </row>
    <row r="40" spans="1:23" x14ac:dyDescent="0.2">
      <c r="A40" s="14" t="s">
        <v>33</v>
      </c>
      <c r="B40" s="13"/>
      <c r="C40" s="20"/>
      <c r="D40" s="20"/>
      <c r="E40" s="20"/>
      <c r="F40" s="20"/>
      <c r="G40" s="20"/>
      <c r="H40" s="20"/>
      <c r="I40" s="20"/>
      <c r="J40" s="20"/>
      <c r="K40" s="15">
        <f>SUM(K34:K39)</f>
        <v>0</v>
      </c>
      <c r="L40" s="15"/>
      <c r="M40" s="15"/>
      <c r="N40" s="2"/>
      <c r="O40" s="2"/>
      <c r="P40" s="2"/>
      <c r="Q40" s="2"/>
      <c r="R40" s="4"/>
      <c r="S40" s="4"/>
      <c r="T40" s="2"/>
      <c r="U40" s="2"/>
      <c r="V40" s="3"/>
      <c r="W40" s="3"/>
    </row>
    <row r="41" spans="1:23" x14ac:dyDescent="0.2">
      <c r="A41" s="2"/>
      <c r="B41" s="2"/>
      <c r="C41" s="9"/>
      <c r="D41" s="9"/>
      <c r="E41" s="9"/>
      <c r="F41" s="9"/>
      <c r="G41" s="9"/>
      <c r="H41" s="9"/>
      <c r="I41" s="9"/>
      <c r="J41" s="9"/>
      <c r="K41" s="2"/>
      <c r="L41" s="2"/>
      <c r="M41" s="2"/>
      <c r="N41" s="2"/>
      <c r="O41" s="2"/>
      <c r="P41" s="2"/>
      <c r="Q41" s="2"/>
      <c r="R41" s="4"/>
      <c r="S41" s="4"/>
      <c r="T41" s="2"/>
      <c r="U41" s="2"/>
      <c r="V41" s="3"/>
      <c r="W41" s="3"/>
    </row>
    <row r="84" spans="1:14" x14ac:dyDescent="0.2">
      <c r="A84" s="2"/>
      <c r="B84" s="2"/>
      <c r="C84" s="9"/>
      <c r="D84" s="9"/>
      <c r="E84" s="9"/>
      <c r="F84" s="9"/>
      <c r="G84" s="9"/>
      <c r="H84" s="9"/>
      <c r="I84" s="9"/>
      <c r="J84" s="9"/>
      <c r="K84" s="2"/>
      <c r="L84" s="2"/>
      <c r="M84" s="2"/>
      <c r="N84" s="2"/>
    </row>
    <row r="126" spans="1:14" x14ac:dyDescent="0.2">
      <c r="A126" s="2"/>
      <c r="B126" s="2"/>
      <c r="C126" s="9"/>
      <c r="D126" s="9"/>
      <c r="E126" s="9"/>
      <c r="F126" s="9"/>
      <c r="G126" s="9"/>
      <c r="H126" s="9"/>
      <c r="I126" s="9"/>
      <c r="J126" s="9"/>
      <c r="K126" s="2"/>
      <c r="L126" s="2"/>
      <c r="M126" s="2"/>
      <c r="N126" s="3"/>
    </row>
    <row r="127" spans="1:14" x14ac:dyDescent="0.2">
      <c r="A127" s="2"/>
      <c r="B127" s="2"/>
      <c r="C127" s="9"/>
      <c r="D127" s="9"/>
      <c r="E127" s="9"/>
      <c r="F127" s="9"/>
      <c r="G127" s="9"/>
      <c r="H127" s="9"/>
      <c r="I127" s="9"/>
      <c r="J127" s="9"/>
      <c r="K127" s="2"/>
      <c r="L127" s="2"/>
      <c r="M127" s="2"/>
      <c r="N127" s="3"/>
    </row>
    <row r="128" spans="1:14" x14ac:dyDescent="0.2">
      <c r="N128" s="6"/>
    </row>
    <row r="129" spans="14:14" x14ac:dyDescent="0.2">
      <c r="N129" s="6"/>
    </row>
    <row r="130" spans="14:14" x14ac:dyDescent="0.2">
      <c r="N130" s="6"/>
    </row>
    <row r="131" spans="14:14" x14ac:dyDescent="0.2">
      <c r="N131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Calificación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Ignacio Robles</dc:creator>
  <cp:lastModifiedBy>Antonio Martínez S.</cp:lastModifiedBy>
  <cp:lastPrinted>2002-08-29T16:27:24Z</cp:lastPrinted>
  <dcterms:created xsi:type="dcterms:W3CDTF">2002-02-13T20:10:56Z</dcterms:created>
  <dcterms:modified xsi:type="dcterms:W3CDTF">2022-03-25T16:55:40Z</dcterms:modified>
</cp:coreProperties>
</file>