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3.xml" ContentType="application/vnd.openxmlformats-officedocument.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Users\fabia\Desktop\PROYECTO DE TESIS 2024\Mesa N°5 - Octubre\"/>
    </mc:Choice>
  </mc:AlternateContent>
  <xr:revisionPtr revIDLastSave="0" documentId="13_ncr:1_{362C9A3B-F26B-40BA-90DC-D803F5690FBD}" xr6:coauthVersionLast="47" xr6:coauthVersionMax="47" xr10:uidLastSave="{00000000-0000-0000-0000-000000000000}"/>
  <bookViews>
    <workbookView xWindow="28680" yWindow="-120" windowWidth="29040" windowHeight="15840" activeTab="2" xr2:uid="{47316B0C-3946-4046-8CCE-8023C6E1261A}"/>
  </bookViews>
  <sheets>
    <sheet name="M3, caso estudio a pequeña esc " sheetId="1" r:id="rId1"/>
    <sheet name="M4 y M5, validando modelo" sheetId="2" r:id="rId2"/>
    <sheet name="M4 y M5 (para analisis sensibi)" sheetId="6" r:id="rId3"/>
    <sheet name="M5, Incertidumbres"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5" i="6" l="1"/>
  <c r="T46" i="6" s="1"/>
  <c r="W46" i="6" s="1"/>
  <c r="K20" i="3"/>
  <c r="K18" i="3"/>
  <c r="N38" i="6"/>
  <c r="T59" i="6" s="1"/>
  <c r="W59" i="6" s="1"/>
  <c r="N37" i="6"/>
  <c r="L57" i="6" s="1"/>
  <c r="O57" i="6" s="1"/>
  <c r="N36" i="6"/>
  <c r="T57" i="6" s="1"/>
  <c r="W57" i="6" s="1"/>
  <c r="N35" i="6"/>
  <c r="L55" i="6" s="1"/>
  <c r="O55" i="6" s="1"/>
  <c r="P55" i="6" s="1"/>
  <c r="N34" i="6"/>
  <c r="T55" i="6" s="1"/>
  <c r="W55" i="6" s="1"/>
  <c r="X55" i="6" s="1"/>
  <c r="N33" i="6"/>
  <c r="T54" i="6" s="1"/>
  <c r="W54" i="6" s="1"/>
  <c r="N32" i="6"/>
  <c r="G56" i="6" s="1"/>
  <c r="H56" i="6" s="1"/>
  <c r="N31" i="6"/>
  <c r="G55" i="6" s="1"/>
  <c r="H55" i="6" s="1"/>
  <c r="N30" i="6"/>
  <c r="L50" i="6" s="1"/>
  <c r="O50" i="6" s="1"/>
  <c r="N29" i="6"/>
  <c r="T50" i="6" s="1"/>
  <c r="W50" i="6" s="1"/>
  <c r="X50" i="6" s="1"/>
  <c r="N28" i="6"/>
  <c r="L48" i="6" s="1"/>
  <c r="O48" i="6" s="1"/>
  <c r="N27" i="6"/>
  <c r="G51" i="6" s="1"/>
  <c r="H51" i="6" s="1"/>
  <c r="N26" i="6"/>
  <c r="L46" i="6" s="1"/>
  <c r="O46" i="6" s="1"/>
  <c r="P46" i="6" s="1"/>
  <c r="H18" i="3"/>
  <c r="T45" i="6"/>
  <c r="L44" i="6"/>
  <c r="F20" i="6"/>
  <c r="F19" i="6"/>
  <c r="F18" i="6"/>
  <c r="S12" i="6" s="1"/>
  <c r="F16" i="6"/>
  <c r="F15" i="6"/>
  <c r="G50" i="2"/>
  <c r="G51" i="2"/>
  <c r="G52" i="2"/>
  <c r="G53" i="2"/>
  <c r="G54" i="2"/>
  <c r="G55" i="2"/>
  <c r="G56" i="2"/>
  <c r="G57" i="2"/>
  <c r="G58" i="2"/>
  <c r="G59" i="2"/>
  <c r="G60" i="2"/>
  <c r="G61" i="2"/>
  <c r="G62" i="2"/>
  <c r="L45" i="2"/>
  <c r="F16" i="2"/>
  <c r="H19" i="3"/>
  <c r="H20" i="3"/>
  <c r="H21" i="3"/>
  <c r="H22" i="3"/>
  <c r="H23" i="3"/>
  <c r="H24" i="3"/>
  <c r="H25" i="3"/>
  <c r="H26" i="3"/>
  <c r="H27" i="3"/>
  <c r="H28" i="3"/>
  <c r="H29" i="3"/>
  <c r="H30" i="3"/>
  <c r="H31" i="3"/>
  <c r="H32" i="3"/>
  <c r="H33" i="3"/>
  <c r="H34" i="3"/>
  <c r="H35" i="3"/>
  <c r="X54" i="6" l="1"/>
  <c r="P48" i="6"/>
  <c r="X57" i="6"/>
  <c r="P57" i="6"/>
  <c r="X46" i="6"/>
  <c r="P50" i="6"/>
  <c r="X59" i="6"/>
  <c r="L56" i="6"/>
  <c r="O56" i="6" s="1"/>
  <c r="P56" i="6" s="1"/>
  <c r="G60" i="6"/>
  <c r="H60" i="6" s="1"/>
  <c r="L53" i="6"/>
  <c r="O53" i="6" s="1"/>
  <c r="P53" i="6" s="1"/>
  <c r="G57" i="6"/>
  <c r="H57" i="6" s="1"/>
  <c r="T51" i="6"/>
  <c r="W51" i="6" s="1"/>
  <c r="X51" i="6" s="1"/>
  <c r="G62" i="6"/>
  <c r="H62" i="6" s="1"/>
  <c r="L58" i="6"/>
  <c r="O58" i="6" s="1"/>
  <c r="P58" i="6" s="1"/>
  <c r="G61" i="6"/>
  <c r="H61" i="6" s="1"/>
  <c r="T58" i="6"/>
  <c r="W58" i="6" s="1"/>
  <c r="X58" i="6" s="1"/>
  <c r="T56" i="6"/>
  <c r="W56" i="6" s="1"/>
  <c r="X56" i="6" s="1"/>
  <c r="G59" i="6"/>
  <c r="H59" i="6" s="1"/>
  <c r="G58" i="6"/>
  <c r="H58" i="6" s="1"/>
  <c r="L54" i="6"/>
  <c r="O54" i="6" s="1"/>
  <c r="P54" i="6" s="1"/>
  <c r="L52" i="6"/>
  <c r="O52" i="6" s="1"/>
  <c r="P52" i="6" s="1"/>
  <c r="T53" i="6"/>
  <c r="W53" i="6" s="1"/>
  <c r="X53" i="6" s="1"/>
  <c r="L51" i="6"/>
  <c r="O51" i="6" s="1"/>
  <c r="P51" i="6" s="1"/>
  <c r="T52" i="6"/>
  <c r="W52" i="6" s="1"/>
  <c r="X52" i="6" s="1"/>
  <c r="G54" i="6"/>
  <c r="H54" i="6" s="1"/>
  <c r="G53" i="6"/>
  <c r="H53" i="6" s="1"/>
  <c r="L49" i="6"/>
  <c r="O49" i="6" s="1"/>
  <c r="P49" i="6" s="1"/>
  <c r="T49" i="6"/>
  <c r="W49" i="6" s="1"/>
  <c r="X49" i="6" s="1"/>
  <c r="G52" i="6"/>
  <c r="H52" i="6" s="1"/>
  <c r="T48" i="6"/>
  <c r="W48" i="6" s="1"/>
  <c r="X48" i="6" s="1"/>
  <c r="L47" i="6"/>
  <c r="O47" i="6" s="1"/>
  <c r="P47" i="6" s="1"/>
  <c r="T47" i="6"/>
  <c r="W47" i="6" s="1"/>
  <c r="X47" i="6" s="1"/>
  <c r="G50" i="6"/>
  <c r="H50" i="6" s="1"/>
  <c r="L45" i="6"/>
  <c r="O45" i="6" s="1"/>
  <c r="P45" i="6" s="1"/>
  <c r="G49" i="6"/>
  <c r="H49" i="6" s="1"/>
  <c r="O43" i="6"/>
  <c r="S7" i="6"/>
  <c r="S10" i="6" s="1"/>
  <c r="G64" i="6"/>
  <c r="G67" i="6" s="1"/>
  <c r="S11" i="6"/>
  <c r="W42" i="6"/>
  <c r="W44" i="6" s="1"/>
  <c r="G49" i="2"/>
  <c r="L44" i="2"/>
  <c r="F40" i="1"/>
  <c r="G45" i="6" l="1"/>
  <c r="G72" i="6"/>
  <c r="O42" i="6"/>
  <c r="G46" i="6"/>
  <c r="G48" i="6"/>
  <c r="H48" i="6" s="1"/>
  <c r="H63" i="6" s="1"/>
  <c r="W43" i="6"/>
  <c r="W45" i="6" s="1"/>
  <c r="S13" i="6"/>
  <c r="X45" i="6"/>
  <c r="X60" i="6" s="1"/>
  <c r="M42" i="1"/>
  <c r="W62" i="6" l="1"/>
  <c r="G47" i="6"/>
  <c r="G65" i="6" s="1"/>
  <c r="G68" i="6" s="1"/>
  <c r="O44" i="6"/>
  <c r="P44" i="6"/>
  <c r="P59" i="6" s="1"/>
  <c r="O67" i="6" s="1"/>
  <c r="W42" i="2"/>
  <c r="T47" i="2"/>
  <c r="W47" i="2" s="1"/>
  <c r="T48" i="2"/>
  <c r="W48" i="2" s="1"/>
  <c r="T49" i="2"/>
  <c r="W49" i="2" s="1"/>
  <c r="T50" i="2"/>
  <c r="W50" i="2" s="1"/>
  <c r="T51" i="2"/>
  <c r="W51" i="2" s="1"/>
  <c r="T52" i="2"/>
  <c r="W52" i="2" s="1"/>
  <c r="T53" i="2"/>
  <c r="W53" i="2" s="1"/>
  <c r="T54" i="2"/>
  <c r="W54" i="2" s="1"/>
  <c r="T55" i="2"/>
  <c r="W55" i="2" s="1"/>
  <c r="T56" i="2"/>
  <c r="W56" i="2" s="1"/>
  <c r="T57" i="2"/>
  <c r="W57" i="2" s="1"/>
  <c r="T58" i="2"/>
  <c r="W58" i="2" s="1"/>
  <c r="T59" i="2"/>
  <c r="W59" i="2" s="1"/>
  <c r="T46" i="2"/>
  <c r="W46" i="2" s="1"/>
  <c r="T45" i="2"/>
  <c r="L47" i="2"/>
  <c r="O47" i="2" s="1"/>
  <c r="L48" i="2"/>
  <c r="O48" i="2" s="1"/>
  <c r="L49" i="2"/>
  <c r="O49" i="2" s="1"/>
  <c r="L50" i="2"/>
  <c r="O50" i="2" s="1"/>
  <c r="L51" i="2"/>
  <c r="O51" i="2" s="1"/>
  <c r="L52" i="2"/>
  <c r="O52" i="2" s="1"/>
  <c r="L53" i="2"/>
  <c r="O53" i="2" s="1"/>
  <c r="L54" i="2"/>
  <c r="O54" i="2" s="1"/>
  <c r="L55" i="2"/>
  <c r="O55" i="2" s="1"/>
  <c r="L56" i="2"/>
  <c r="O56" i="2" s="1"/>
  <c r="L57" i="2"/>
  <c r="O57" i="2" s="1"/>
  <c r="L58" i="2"/>
  <c r="O58" i="2" s="1"/>
  <c r="L46" i="2"/>
  <c r="O46" i="2" s="1"/>
  <c r="O45" i="2"/>
  <c r="W44" i="2" l="1"/>
  <c r="X59" i="2"/>
  <c r="X51" i="2"/>
  <c r="O66" i="6"/>
  <c r="H15" i="1"/>
  <c r="O43" i="2"/>
  <c r="F20" i="2"/>
  <c r="F19" i="2"/>
  <c r="F18" i="2"/>
  <c r="X56" i="2" s="1"/>
  <c r="F15" i="2"/>
  <c r="P56" i="2" l="1"/>
  <c r="X48" i="2"/>
  <c r="H50" i="2"/>
  <c r="H53" i="2"/>
  <c r="H49" i="2"/>
  <c r="X50" i="2"/>
  <c r="P49" i="2"/>
  <c r="P47" i="2"/>
  <c r="X52" i="2"/>
  <c r="X46" i="2"/>
  <c r="P57" i="2"/>
  <c r="X49" i="2"/>
  <c r="X54" i="2"/>
  <c r="X47" i="2"/>
  <c r="X57" i="2"/>
  <c r="G64" i="2"/>
  <c r="G67" i="2" s="1"/>
  <c r="P53" i="2"/>
  <c r="P46" i="2"/>
  <c r="P54" i="2"/>
  <c r="X55" i="2"/>
  <c r="P50" i="2"/>
  <c r="P52" i="2"/>
  <c r="P55" i="2"/>
  <c r="X58" i="2"/>
  <c r="P51" i="2"/>
  <c r="P45" i="2"/>
  <c r="X53" i="2"/>
  <c r="P48" i="2"/>
  <c r="P58" i="2"/>
  <c r="H56" i="2"/>
  <c r="H54" i="2"/>
  <c r="H59" i="2"/>
  <c r="H58" i="2"/>
  <c r="H60" i="2"/>
  <c r="H61" i="2"/>
  <c r="H55" i="2"/>
  <c r="H52" i="2"/>
  <c r="H51" i="2"/>
  <c r="H57" i="2"/>
  <c r="H62" i="2"/>
  <c r="S12" i="2"/>
  <c r="S11" i="2"/>
  <c r="S7" i="2"/>
  <c r="S10" i="2" s="1"/>
  <c r="O42" i="2" l="1"/>
  <c r="G48" i="2"/>
  <c r="H48" i="2" s="1"/>
  <c r="H63" i="2" s="1"/>
  <c r="G45" i="2"/>
  <c r="G46" i="2"/>
  <c r="G72" i="2"/>
  <c r="W43" i="2"/>
  <c r="S13" i="2"/>
  <c r="W45" i="2" l="1"/>
  <c r="X45" i="2"/>
  <c r="X60" i="2" s="1"/>
  <c r="W62" i="2" s="1"/>
  <c r="P44" i="2"/>
  <c r="P59" i="2" s="1"/>
  <c r="O67" i="2" s="1"/>
  <c r="O44" i="2"/>
  <c r="G47" i="2"/>
  <c r="G65" i="2" s="1"/>
  <c r="G68" i="2" s="1"/>
  <c r="O66" i="2" s="1"/>
  <c r="L15" i="1" l="1"/>
  <c r="A25" i="1"/>
  <c r="E25" i="1"/>
  <c r="D25" i="1"/>
  <c r="C25" i="1"/>
  <c r="B25" i="1"/>
  <c r="F20" i="1"/>
  <c r="F19" i="1"/>
  <c r="F18" i="1"/>
  <c r="L13" i="1" s="1"/>
  <c r="L16" i="1" s="1"/>
  <c r="F15" i="1"/>
  <c r="M28" i="1" l="1"/>
  <c r="L18" i="1"/>
  <c r="A28" i="1"/>
  <c r="E34" i="1"/>
  <c r="E35" i="1"/>
  <c r="L17" i="1"/>
  <c r="M32" i="1"/>
  <c r="M36" i="1" s="1"/>
  <c r="B28" i="1"/>
  <c r="C28" i="1"/>
  <c r="F42" i="1" l="1"/>
  <c r="E37" i="1"/>
  <c r="M29" i="1"/>
  <c r="L19" i="1"/>
  <c r="E38" i="1"/>
  <c r="M30" i="1" l="1"/>
  <c r="M34" i="1" s="1"/>
  <c r="M38" i="1" s="1"/>
</calcChain>
</file>

<file path=xl/sharedStrings.xml><?xml version="1.0" encoding="utf-8"?>
<sst xmlns="http://schemas.openxmlformats.org/spreadsheetml/2006/main" count="500" uniqueCount="196">
  <si>
    <t>VARIABLES DE ENTRADA</t>
  </si>
  <si>
    <t>Demanda de potencia nueva</t>
  </si>
  <si>
    <t>Precio de potencia nueva</t>
  </si>
  <si>
    <t>Costo energía no suministrado</t>
  </si>
  <si>
    <t>Energía no suministrada</t>
  </si>
  <si>
    <t>Tiempo (en hrs al año)</t>
  </si>
  <si>
    <t>% que la demanda cresca</t>
  </si>
  <si>
    <t>% que la demanda no cresca</t>
  </si>
  <si>
    <t>Costo de inversion en GD</t>
  </si>
  <si>
    <t>Longitud de alimentador</t>
  </si>
  <si>
    <t>Tasa de retorno</t>
  </si>
  <si>
    <t xml:space="preserve">Depreciación </t>
  </si>
  <si>
    <t>Inflación</t>
  </si>
  <si>
    <t>Demanda de energiía nueva</t>
  </si>
  <si>
    <t>Precio de energía nueva</t>
  </si>
  <si>
    <t>Peaje TRANSMISIÓN</t>
  </si>
  <si>
    <t>Peaje DISTRIBUCIÓN</t>
  </si>
  <si>
    <t>DEN</t>
  </si>
  <si>
    <t>PEN</t>
  </si>
  <si>
    <t>DPN</t>
  </si>
  <si>
    <t>PPN</t>
  </si>
  <si>
    <t>PTX</t>
  </si>
  <si>
    <t>PDX</t>
  </si>
  <si>
    <t>CENS</t>
  </si>
  <si>
    <t>ENS</t>
  </si>
  <si>
    <t>Ps</t>
  </si>
  <si>
    <t>Pm</t>
  </si>
  <si>
    <t>CIGD</t>
  </si>
  <si>
    <t>MWh</t>
  </si>
  <si>
    <t>USD/MWh</t>
  </si>
  <si>
    <t>MW</t>
  </si>
  <si>
    <t>USD/MW</t>
  </si>
  <si>
    <t>USD/MWaño</t>
  </si>
  <si>
    <t>hrs-año</t>
  </si>
  <si>
    <t>km</t>
  </si>
  <si>
    <t>VALOR DE CADA ESCENARIO Y COSTOS DE DECISIÓN</t>
  </si>
  <si>
    <t>Escenario 1</t>
  </si>
  <si>
    <t>Escenario 2</t>
  </si>
  <si>
    <t>Escenario 3</t>
  </si>
  <si>
    <t>Escenario 4</t>
  </si>
  <si>
    <t>Escenario 5</t>
  </si>
  <si>
    <t>Escenario 6</t>
  </si>
  <si>
    <t>E1= (DEN*PEN)+(DPN*PPN)+PTX+PDX</t>
  </si>
  <si>
    <t>E2=CIGD*DPN</t>
  </si>
  <si>
    <t>E3=CENS*ENS</t>
  </si>
  <si>
    <t>E4=(DPN*PPN)+PTX+PDX</t>
  </si>
  <si>
    <t>E5=CIGD*DPN</t>
  </si>
  <si>
    <t>E6=0</t>
  </si>
  <si>
    <t>CD1</t>
  </si>
  <si>
    <t>CD2</t>
  </si>
  <si>
    <t>CD3</t>
  </si>
  <si>
    <r>
      <t>*En los pajes de TX y DX se consideraran los VAD AT y VAD SD del 2024 para la region de valparaiso publicados en "</t>
    </r>
    <r>
      <rPr>
        <b/>
        <sz val="11"/>
        <color theme="1"/>
        <rFont val="Aptos Narrow"/>
        <family val="2"/>
        <scheme val="minor"/>
      </rPr>
      <t>Informe Técnico del Cálculo de las componentes del Valor Agregado de Distribución, cuadrienio noviembre 2020–noviembre 2024. (CNE)"</t>
    </r>
    <r>
      <rPr>
        <sz val="11"/>
        <color theme="1"/>
        <rFont val="Aptos Narrow"/>
        <family val="2"/>
        <scheme val="minor"/>
      </rPr>
      <t xml:space="preserve"> Valores llevados a USD/MWaño, originalmente en $/kWaño. Este dato se debe multiplicar por DPN.</t>
    </r>
  </si>
  <si>
    <t>*En peajes de DX se considera lo que cuesta la inversion en un alimentador por km</t>
  </si>
  <si>
    <r>
      <t>*en CENS se considera el costo de falla de larga duracion para una profundidad de 30% definido por la CNE en "</t>
    </r>
    <r>
      <rPr>
        <b/>
        <sz val="11"/>
        <color theme="1"/>
        <rFont val="Aptos Narrow"/>
        <family val="2"/>
        <scheme val="minor"/>
      </rPr>
      <t xml:space="preserve"> Informe Técnico Final “Estudio Costo de Falla de Corta y Larga Duración SEN y SMMM”, de julio de 2021."</t>
    </r>
    <r>
      <rPr>
        <sz val="11"/>
        <color theme="1"/>
        <rFont val="Aptos Narrow"/>
        <family val="2"/>
        <scheme val="minor"/>
      </rPr>
      <t xml:space="preserve"> con</t>
    </r>
    <r>
      <rPr>
        <b/>
        <sz val="11"/>
        <color theme="1"/>
        <rFont val="Aptos Narrow"/>
        <family val="2"/>
        <scheme val="minor"/>
      </rPr>
      <t xml:space="preserve"> "Herramienta de cálculo de Costos de Falla"</t>
    </r>
  </si>
  <si>
    <t>CD CIAL(s,m)</t>
  </si>
  <si>
    <t>CD CENS para 15 años</t>
  </si>
  <si>
    <t>*CD1 costo de decision de invertir en alimentador</t>
  </si>
  <si>
    <t>*CD2 costo de decisión de invertir en GD</t>
  </si>
  <si>
    <t>*CD3 costo de decisión de no invertir</t>
  </si>
  <si>
    <t>Si la DEMANDA CRECE y NO INV. se tienen dos opciones para t2</t>
  </si>
  <si>
    <t>r</t>
  </si>
  <si>
    <t>l</t>
  </si>
  <si>
    <t>alpha</t>
  </si>
  <si>
    <t>beta</t>
  </si>
  <si>
    <t>(CENS*ENS*t)+(PDX*DPN*l)/(1+r)</t>
  </si>
  <si>
    <t>(CENS*ENS*t)+(CIGD*DPN)/(1+r)</t>
  </si>
  <si>
    <t>t</t>
  </si>
  <si>
    <t xml:space="preserve">Nueva Inv AL </t>
  </si>
  <si>
    <t>Nueva Inv GD</t>
  </si>
  <si>
    <t>CD3+(CENS*ENS*t)+(PDX*DPN*l)/(1+r)</t>
  </si>
  <si>
    <t>CD3+(CENS*ENS*t)+(CIGD*DPN)/(1+r)</t>
  </si>
  <si>
    <t>Si la DEMANDA NO CRECE e INVIERTO EN GD, para t2 puedo abandonar</t>
  </si>
  <si>
    <t>(CIGD_t0)-(CIGD*alpha)/(1+r)</t>
  </si>
  <si>
    <t>CD2+(CIGD_t0)-(CIGD*alpha)/(1+r)</t>
  </si>
  <si>
    <t>Flexibilidad que aporta la GD</t>
  </si>
  <si>
    <r>
      <t xml:space="preserve">Si se invierte primero en GD tenemos: </t>
    </r>
    <r>
      <rPr>
        <sz val="11"/>
        <rFont val="Calibri"/>
        <family val="2"/>
      </rPr>
      <t>Opc abandono</t>
    </r>
    <r>
      <rPr>
        <sz val="11"/>
        <rFont val="Aptos Narrow"/>
        <family val="2"/>
        <scheme val="minor"/>
      </rPr>
      <t xml:space="preserve">, </t>
    </r>
    <r>
      <rPr>
        <sz val="11"/>
        <rFont val="Calibri"/>
        <family val="2"/>
      </rPr>
      <t>Opc alimentador</t>
    </r>
    <r>
      <rPr>
        <sz val="11"/>
        <rFont val="Aptos Narrow"/>
        <family val="2"/>
        <scheme val="minor"/>
      </rPr>
      <t xml:space="preserve">, </t>
    </r>
    <r>
      <rPr>
        <sz val="11"/>
        <rFont val="Calibri"/>
        <family val="2"/>
      </rPr>
      <t>Opc aban. + al</t>
    </r>
    <r>
      <rPr>
        <sz val="11"/>
        <rFont val="Aptos Narrow"/>
        <family val="2"/>
        <scheme val="minor"/>
      </rPr>
      <t xml:space="preserve">, </t>
    </r>
    <r>
      <rPr>
        <sz val="11"/>
        <rFont val="Calibri"/>
        <family val="2"/>
      </rPr>
      <t>Opc diferir</t>
    </r>
  </si>
  <si>
    <r>
      <t>FGD(t0,CIGD) =min( CGDt0+</t>
    </r>
    <r>
      <rPr>
        <b/>
        <sz val="11"/>
        <color theme="1"/>
        <rFont val="Aptos Narrow"/>
        <family val="2"/>
        <scheme val="minor"/>
      </rPr>
      <t>(opciones GD)</t>
    </r>
    <r>
      <rPr>
        <sz val="11"/>
        <color theme="1"/>
        <rFont val="Aptos Narrow"/>
        <family val="2"/>
        <scheme val="minor"/>
      </rPr>
      <t xml:space="preserve">*1/(1+r)) ; </t>
    </r>
    <r>
      <rPr>
        <b/>
        <i/>
        <sz val="11"/>
        <color theme="1"/>
        <rFont val="Aptos Narrow"/>
        <family val="2"/>
        <scheme val="minor"/>
      </rPr>
      <t>FGD(t1,GD)</t>
    </r>
    <r>
      <rPr>
        <sz val="11"/>
        <color theme="1"/>
        <rFont val="Aptos Narrow"/>
        <family val="2"/>
        <scheme val="minor"/>
      </rPr>
      <t>*1/(1+r) ]</t>
    </r>
  </si>
  <si>
    <t>opciones GD</t>
  </si>
  <si>
    <t>FGD(t1,GD)</t>
  </si>
  <si>
    <t>Opc. Aban.</t>
  </si>
  <si>
    <t>Opc. AL</t>
  </si>
  <si>
    <t>Opc. Aban+ Opc. AL</t>
  </si>
  <si>
    <t>suma de los dos de arriba</t>
  </si>
  <si>
    <t>CAL</t>
  </si>
  <si>
    <t>.-(MAX((CIGD*x - CENS_15);0)*Ps+MAX((CIGD*x);0)*Pm)</t>
  </si>
  <si>
    <r>
      <rPr>
        <b/>
        <sz val="11"/>
        <color theme="1"/>
        <rFont val="Aptos Narrow"/>
        <family val="2"/>
        <scheme val="minor"/>
      </rPr>
      <t>Opc. Diferir</t>
    </r>
    <r>
      <rPr>
        <sz val="11"/>
        <color theme="1"/>
        <rFont val="Aptos Narrow"/>
        <family val="2"/>
        <scheme val="minor"/>
      </rPr>
      <t xml:space="preserve"> = Ps*min[CIGD+CENS1; CENS]+Pm*min[CIGD; CENS]</t>
    </r>
  </si>
  <si>
    <t>*CENS cuando la demanda no crece es 0</t>
  </si>
  <si>
    <t>(opciones GD)*1/(1+r)</t>
  </si>
  <si>
    <r>
      <t xml:space="preserve"> </t>
    </r>
    <r>
      <rPr>
        <b/>
        <sz val="11"/>
        <color theme="8" tint="0.39997558519241921"/>
        <rFont val="Aptos Narrow"/>
        <family val="2"/>
        <scheme val="minor"/>
      </rPr>
      <t>FGD(t1,GD)*1/(1+r)</t>
    </r>
  </si>
  <si>
    <t>(Ps*MIN(OpcAb;OpcAl;OpcAb+Al)+Pm*MIN(OpcAb;OpcAl;OpcAb+Al))/(1+r)</t>
  </si>
  <si>
    <t>Opc Diferir / (1+r)</t>
  </si>
  <si>
    <t>Flexibilidad que aporta GD: FGD(t0,CIGD)</t>
  </si>
  <si>
    <t>Enfoque tradicional dado por inversion en alimentador</t>
  </si>
  <si>
    <t xml:space="preserve"> Costo de Decisión de invertir en alimentador: Ps*CIALs+Pm*CIALm</t>
  </si>
  <si>
    <t>CD Enfoque tradicional</t>
  </si>
  <si>
    <t>CIALs para 15años: CIAL+PTX+E+P</t>
  </si>
  <si>
    <t>*(CIAL) Costo Inversion AL: PDX*DPN*l</t>
  </si>
  <si>
    <t>CONSIDERACIONES IMPORTANTES:</t>
  </si>
  <si>
    <r>
      <t xml:space="preserve">CIALm para 15años: CIAL+PTX+P </t>
    </r>
    <r>
      <rPr>
        <u/>
        <sz val="8"/>
        <rFont val="Aptos Narrow"/>
        <family val="2"/>
        <scheme val="minor"/>
      </rPr>
      <t>(no hay D de energia)</t>
    </r>
  </si>
  <si>
    <t>* Este estudio se centrará en evaluar la probabilidad de un aumento en la demanda de un cliente libre de 2MW a 4MW, así como la probabilidad de que dicha demanda original se mantenga constante. El objetivo es comparar el enfoque tradicional (inversión en alimentador) v/s la flexibilidad que aporta la Generación Distribuida al desglosar sus opciones, frente a una incertidumbre común en el área industrial.</t>
  </si>
  <si>
    <t>* Problema radica en tomar la decisisones en t0, en t1 operar y en t2 ver que corresponde según las decisiones tomadas en t0</t>
  </si>
  <si>
    <t>CENS para 15 años (CENS_15): cuado D crece</t>
  </si>
  <si>
    <t>CENS cuando demanda no crece</t>
  </si>
  <si>
    <t>CD_NIAL</t>
  </si>
  <si>
    <t>CD_NIGD</t>
  </si>
  <si>
    <t>Abandonar</t>
  </si>
  <si>
    <t>CD_Abandonar</t>
  </si>
  <si>
    <t>(Ps*MIN(opciones GD)+Pm*MIN(opciones GD))/(1+r)</t>
  </si>
  <si>
    <t>Ejemplo a pequeña escala Mesa N°3</t>
  </si>
  <si>
    <t>$/kWh</t>
  </si>
  <si>
    <t>* ITD-Precio-Estabilizado-May2024</t>
  </si>
  <si>
    <r>
      <t xml:space="preserve">* Valores ocupados en  </t>
    </r>
    <r>
      <rPr>
        <b/>
        <sz val="11"/>
        <color theme="1"/>
        <rFont val="Aptos Narrow"/>
        <family val="2"/>
        <scheme val="minor"/>
      </rPr>
      <t>ITD-Precio-Estabilizado-May2024</t>
    </r>
    <r>
      <rPr>
        <sz val="11"/>
        <color theme="1"/>
        <rFont val="Aptos Narrow"/>
        <family val="2"/>
        <scheme val="minor"/>
      </rPr>
      <t xml:space="preserve"> Tabla 8: Precios estabilizados por intervalo temporal. </t>
    </r>
    <r>
      <rPr>
        <b/>
        <sz val="11"/>
        <color theme="1"/>
        <rFont val="Aptos Narrow"/>
        <family val="2"/>
        <scheme val="minor"/>
      </rPr>
      <t>Exacatamente en nudo Quillota.</t>
    </r>
  </si>
  <si>
    <t>Opc. Aban + Opc. AL</t>
  </si>
  <si>
    <t>Demanda crece, Inv. GD y considero Opc. 2Al+venta exc</t>
  </si>
  <si>
    <t>Demanda no crece, Inv. Alimentador y considero Inv. GD + venta exc</t>
  </si>
  <si>
    <t>Demanda no crece, Inv. GD y considero Inv. AL + venta exc</t>
  </si>
  <si>
    <t>Opc. Diferir = Ps*min[CIGD+CENS1; CENS]+Pm*min[CIGD; CENS]</t>
  </si>
  <si>
    <t xml:space="preserve"> FGD(t1,GD)</t>
  </si>
  <si>
    <t>abandonar</t>
  </si>
  <si>
    <t>CIGD + AL/(1+r) + venta exc</t>
  </si>
  <si>
    <t>CIAL+ CIGD/(1+r)+venta exc</t>
  </si>
  <si>
    <r>
      <rPr>
        <sz val="11"/>
        <rFont val="Aptos Narrow"/>
        <family val="2"/>
        <scheme val="minor"/>
      </rPr>
      <t>Venta de exc</t>
    </r>
    <r>
      <rPr>
        <sz val="11"/>
        <color rgb="FFFF0000"/>
        <rFont val="Aptos Narrow"/>
        <family val="2"/>
        <scheme val="minor"/>
      </rPr>
      <t xml:space="preserve"> 2025</t>
    </r>
  </si>
  <si>
    <r>
      <rPr>
        <sz val="11"/>
        <rFont val="Aptos Narrow"/>
        <family val="2"/>
        <scheme val="minor"/>
      </rPr>
      <t>Venta de exc</t>
    </r>
    <r>
      <rPr>
        <sz val="11"/>
        <color rgb="FFFF0000"/>
        <rFont val="Aptos Narrow"/>
        <family val="2"/>
        <scheme val="minor"/>
      </rPr>
      <t xml:space="preserve"> 2026</t>
    </r>
    <r>
      <rPr>
        <sz val="11"/>
        <color theme="1"/>
        <rFont val="Aptos Narrow"/>
        <family val="2"/>
        <scheme val="minor"/>
      </rPr>
      <t/>
    </r>
  </si>
  <si>
    <r>
      <rPr>
        <sz val="11"/>
        <rFont val="Aptos Narrow"/>
        <family val="2"/>
        <scheme val="minor"/>
      </rPr>
      <t>Venta de exc</t>
    </r>
    <r>
      <rPr>
        <sz val="11"/>
        <color rgb="FFFF0000"/>
        <rFont val="Aptos Narrow"/>
        <family val="2"/>
        <scheme val="minor"/>
      </rPr>
      <t xml:space="preserve"> 2027</t>
    </r>
    <r>
      <rPr>
        <sz val="11"/>
        <color theme="1"/>
        <rFont val="Aptos Narrow"/>
        <family val="2"/>
        <scheme val="minor"/>
      </rPr>
      <t/>
    </r>
  </si>
  <si>
    <r>
      <rPr>
        <sz val="11"/>
        <rFont val="Aptos Narrow"/>
        <family val="2"/>
        <scheme val="minor"/>
      </rPr>
      <t>Venta de exc</t>
    </r>
    <r>
      <rPr>
        <sz val="11"/>
        <color rgb="FFFF0000"/>
        <rFont val="Aptos Narrow"/>
        <family val="2"/>
        <scheme val="minor"/>
      </rPr>
      <t xml:space="preserve"> 2028</t>
    </r>
    <r>
      <rPr>
        <sz val="11"/>
        <color theme="1"/>
        <rFont val="Aptos Narrow"/>
        <family val="2"/>
        <scheme val="minor"/>
      </rPr>
      <t/>
    </r>
  </si>
  <si>
    <r>
      <rPr>
        <sz val="11"/>
        <rFont val="Aptos Narrow"/>
        <family val="2"/>
        <scheme val="minor"/>
      </rPr>
      <t>Venta de exc</t>
    </r>
    <r>
      <rPr>
        <sz val="11"/>
        <color rgb="FFFF0000"/>
        <rFont val="Aptos Narrow"/>
        <family val="2"/>
        <scheme val="minor"/>
      </rPr>
      <t xml:space="preserve"> 2029</t>
    </r>
    <r>
      <rPr>
        <sz val="11"/>
        <color theme="1"/>
        <rFont val="Aptos Narrow"/>
        <family val="2"/>
        <scheme val="minor"/>
      </rPr>
      <t/>
    </r>
  </si>
  <si>
    <r>
      <rPr>
        <sz val="11"/>
        <rFont val="Aptos Narrow"/>
        <family val="2"/>
        <scheme val="minor"/>
      </rPr>
      <t>Venta de exc</t>
    </r>
    <r>
      <rPr>
        <sz val="11"/>
        <color rgb="FFFF0000"/>
        <rFont val="Aptos Narrow"/>
        <family val="2"/>
        <scheme val="minor"/>
      </rPr>
      <t xml:space="preserve"> 2030</t>
    </r>
    <r>
      <rPr>
        <sz val="11"/>
        <color theme="1"/>
        <rFont val="Aptos Narrow"/>
        <family val="2"/>
        <scheme val="minor"/>
      </rPr>
      <t/>
    </r>
  </si>
  <si>
    <r>
      <rPr>
        <sz val="11"/>
        <rFont val="Aptos Narrow"/>
        <family val="2"/>
        <scheme val="minor"/>
      </rPr>
      <t>Venta de exc</t>
    </r>
    <r>
      <rPr>
        <sz val="11"/>
        <color rgb="FFFF0000"/>
        <rFont val="Aptos Narrow"/>
        <family val="2"/>
        <scheme val="minor"/>
      </rPr>
      <t xml:space="preserve"> 2031</t>
    </r>
    <r>
      <rPr>
        <sz val="11"/>
        <color theme="1"/>
        <rFont val="Aptos Narrow"/>
        <family val="2"/>
        <scheme val="minor"/>
      </rPr>
      <t/>
    </r>
  </si>
  <si>
    <r>
      <rPr>
        <sz val="11"/>
        <rFont val="Aptos Narrow"/>
        <family val="2"/>
        <scheme val="minor"/>
      </rPr>
      <t>Venta de exc</t>
    </r>
    <r>
      <rPr>
        <sz val="11"/>
        <color rgb="FFFF0000"/>
        <rFont val="Aptos Narrow"/>
        <family val="2"/>
        <scheme val="minor"/>
      </rPr>
      <t xml:space="preserve"> 2032</t>
    </r>
    <r>
      <rPr>
        <sz val="11"/>
        <color theme="1"/>
        <rFont val="Aptos Narrow"/>
        <family val="2"/>
        <scheme val="minor"/>
      </rPr>
      <t/>
    </r>
  </si>
  <si>
    <r>
      <rPr>
        <sz val="11"/>
        <rFont val="Aptos Narrow"/>
        <family val="2"/>
        <scheme val="minor"/>
      </rPr>
      <t>Venta de exc</t>
    </r>
    <r>
      <rPr>
        <sz val="11"/>
        <color rgb="FFFF0000"/>
        <rFont val="Aptos Narrow"/>
        <family val="2"/>
        <scheme val="minor"/>
      </rPr>
      <t xml:space="preserve"> 2033</t>
    </r>
    <r>
      <rPr>
        <sz val="11"/>
        <color theme="1"/>
        <rFont val="Aptos Narrow"/>
        <family val="2"/>
        <scheme val="minor"/>
      </rPr>
      <t/>
    </r>
  </si>
  <si>
    <r>
      <rPr>
        <sz val="11"/>
        <rFont val="Aptos Narrow"/>
        <family val="2"/>
        <scheme val="minor"/>
      </rPr>
      <t>Venta de exc</t>
    </r>
    <r>
      <rPr>
        <sz val="11"/>
        <color rgb="FFFF0000"/>
        <rFont val="Aptos Narrow"/>
        <family val="2"/>
        <scheme val="minor"/>
      </rPr>
      <t xml:space="preserve"> 2034</t>
    </r>
    <r>
      <rPr>
        <sz val="11"/>
        <color theme="1"/>
        <rFont val="Aptos Narrow"/>
        <family val="2"/>
        <scheme val="minor"/>
      </rPr>
      <t/>
    </r>
  </si>
  <si>
    <r>
      <rPr>
        <sz val="11"/>
        <rFont val="Aptos Narrow"/>
        <family val="2"/>
        <scheme val="minor"/>
      </rPr>
      <t>Venta de exc</t>
    </r>
    <r>
      <rPr>
        <sz val="11"/>
        <color rgb="FFFF0000"/>
        <rFont val="Aptos Narrow"/>
        <family val="2"/>
        <scheme val="minor"/>
      </rPr>
      <t xml:space="preserve"> 2035</t>
    </r>
    <r>
      <rPr>
        <sz val="11"/>
        <color theme="1"/>
        <rFont val="Aptos Narrow"/>
        <family val="2"/>
        <scheme val="minor"/>
      </rPr>
      <t/>
    </r>
  </si>
  <si>
    <r>
      <rPr>
        <sz val="11"/>
        <rFont val="Aptos Narrow"/>
        <family val="2"/>
        <scheme val="minor"/>
      </rPr>
      <t>Venta de exc</t>
    </r>
    <r>
      <rPr>
        <sz val="11"/>
        <color rgb="FFFF0000"/>
        <rFont val="Aptos Narrow"/>
        <family val="2"/>
        <scheme val="minor"/>
      </rPr>
      <t xml:space="preserve"> 2036</t>
    </r>
    <r>
      <rPr>
        <sz val="11"/>
        <color theme="1"/>
        <rFont val="Aptos Narrow"/>
        <family val="2"/>
        <scheme val="minor"/>
      </rPr>
      <t/>
    </r>
  </si>
  <si>
    <r>
      <rPr>
        <sz val="11"/>
        <rFont val="Aptos Narrow"/>
        <family val="2"/>
        <scheme val="minor"/>
      </rPr>
      <t>Venta de exc</t>
    </r>
    <r>
      <rPr>
        <sz val="11"/>
        <color rgb="FFFF0000"/>
        <rFont val="Aptos Narrow"/>
        <family val="2"/>
        <scheme val="minor"/>
      </rPr>
      <t xml:space="preserve"> 2037</t>
    </r>
    <r>
      <rPr>
        <sz val="11"/>
        <color theme="1"/>
        <rFont val="Aptos Narrow"/>
        <family val="2"/>
        <scheme val="minor"/>
      </rPr>
      <t/>
    </r>
  </si>
  <si>
    <r>
      <rPr>
        <sz val="11"/>
        <rFont val="Aptos Narrow"/>
        <family val="2"/>
        <scheme val="minor"/>
      </rPr>
      <t>Venta de exc</t>
    </r>
    <r>
      <rPr>
        <sz val="11"/>
        <color rgb="FFFF0000"/>
        <rFont val="Aptos Narrow"/>
        <family val="2"/>
        <scheme val="minor"/>
      </rPr>
      <t xml:space="preserve"> 2038</t>
    </r>
    <r>
      <rPr>
        <sz val="11"/>
        <color theme="1"/>
        <rFont val="Aptos Narrow"/>
        <family val="2"/>
        <scheme val="minor"/>
      </rPr>
      <t/>
    </r>
  </si>
  <si>
    <r>
      <rPr>
        <sz val="11"/>
        <rFont val="Aptos Narrow"/>
        <family val="2"/>
        <scheme val="minor"/>
      </rPr>
      <t>Venta de exc</t>
    </r>
    <r>
      <rPr>
        <sz val="11"/>
        <color rgb="FFFF0000"/>
        <rFont val="Aptos Narrow"/>
        <family val="2"/>
        <scheme val="minor"/>
      </rPr>
      <t xml:space="preserve"> 2039</t>
    </r>
    <r>
      <rPr>
        <sz val="11"/>
        <color theme="1"/>
        <rFont val="Aptos Narrow"/>
        <family val="2"/>
        <scheme val="minor"/>
      </rPr>
      <t/>
    </r>
  </si>
  <si>
    <t>Mejorando ejemplo a pequeña escala</t>
  </si>
  <si>
    <t>1) Un Pequeño Medio de Generación Distribuida (PMGD) corresponde a una generadora cuyos excedentes de potencia son menores o iguales a 9 [MW] y que se encuentra conectado a las instalaciones del Sistema Eléctrico Nacional, precisamente a una red de media tensión de una Empresa Distribuidora o a instalaciones de una empresa que posea líneas de distribución de energía eléctrica que utilicen bienes nacionales de uso público.</t>
  </si>
  <si>
    <r>
      <rPr>
        <b/>
        <sz val="11"/>
        <color theme="1"/>
        <rFont val="Aptos Narrow"/>
        <family val="2"/>
        <scheme val="minor"/>
      </rPr>
      <t>2). PMGD con instalaciones compartidas.</t>
    </r>
    <r>
      <rPr>
        <sz val="11"/>
        <color theme="1"/>
        <rFont val="Aptos Narrow"/>
        <family val="2"/>
        <scheme val="minor"/>
      </rPr>
      <t xml:space="preserve">
Se refiere a aquellos proyectos PMGD que se conectan a una instalación de consumo existente. En este caso la inyección de energía corresponde al excedente que se registra entre la generación y el consumo.
Los principales componentes de estos esquemas son:
·         Seccionador: Equipo de maniobra que permite la conexión o desconexión manual de la Instalación Compartida red de distribución. Marca el límite entre la instalación de la Empresa Distribuidora y el cliente.
·         Protección RI: Equipo de protección que permite monitorear las variables eléctricas en el punto de conexión (voltaje, frecuencia, corriente), y realizar la desconexión de la generación del PMGD en caso de que no se cumpla con alguna de las condiciones indicadas en la NTCO. Las señales de esta protección se transfieren al Interruptor del PMGD.
·         Interruptor PMGD: Equipo de maniobra que permite realizar la desconexión del PMGD en caso de que no se cumpla con alguna de las condiciones indicadas en la NTCO.
·         Instalaciones del PMGD: Corresponde a los equipos e instalaciones que permiten generar la energía eléctrica, para su inyección a la instalación compartida.
·         Consumo: Instalaciones existentes del cliente, destinadas al consumo de energía eléctrica.</t>
    </r>
  </si>
  <si>
    <r>
      <rPr>
        <b/>
        <sz val="11"/>
        <color theme="1"/>
        <rFont val="Aptos Narrow"/>
        <family val="2"/>
        <scheme val="minor"/>
      </rPr>
      <t>3)Los costos de conexión de los proyectos PMGD dependerán de:</t>
    </r>
    <r>
      <rPr>
        <sz val="11"/>
        <color theme="1"/>
        <rFont val="Aptos Narrow"/>
        <family val="2"/>
        <scheme val="minor"/>
      </rPr>
      <t xml:space="preserve">
</t>
    </r>
    <r>
      <rPr>
        <sz val="11"/>
        <color rgb="FFFF0000"/>
        <rFont val="Aptos Narrow"/>
        <family val="2"/>
        <scheme val="minor"/>
      </rPr>
      <t xml:space="preserve">1)Tipo de impacto que genera la inyección de los excedentes de potencia en las redes. </t>
    </r>
    <r>
      <rPr>
        <sz val="11"/>
        <color theme="1"/>
        <rFont val="Aptos Narrow"/>
        <family val="2"/>
        <scheme val="minor"/>
      </rPr>
      <t xml:space="preserve">2)Entidad responsable de elaborar los estudios de impacto sistémico. </t>
    </r>
    <r>
      <rPr>
        <sz val="11"/>
        <color theme="3" tint="0.249977111117893"/>
        <rFont val="Aptos Narrow"/>
        <family val="2"/>
        <scheme val="minor"/>
      </rPr>
      <t xml:space="preserve">3)Obras adicionales, adecuaciones y ajustes necesarios para la conexión. </t>
    </r>
    <r>
      <rPr>
        <sz val="11"/>
        <color theme="9" tint="-0.249977111117893"/>
        <rFont val="Aptos Narrow"/>
        <family val="2"/>
        <scheme val="minor"/>
      </rPr>
      <t xml:space="preserve">4)Trabajos de puesta en servicio. </t>
    </r>
    <r>
      <rPr>
        <sz val="11"/>
        <color theme="8" tint="-0.249977111117893"/>
        <rFont val="Aptos Narrow"/>
        <family val="2"/>
        <scheme val="minor"/>
      </rPr>
      <t>5)Servicios adicionales que el interesado decida realizar con la Empresa Distribuidora.</t>
    </r>
    <r>
      <rPr>
        <sz val="11"/>
        <color theme="1"/>
        <rFont val="Aptos Narrow"/>
        <family val="2"/>
        <scheme val="minor"/>
      </rPr>
      <t xml:space="preserve">
</t>
    </r>
    <r>
      <rPr>
        <i/>
        <u/>
        <sz val="11"/>
        <color theme="1"/>
        <rFont val="Aptos Narrow"/>
        <family val="2"/>
        <scheme val="minor"/>
      </rPr>
      <t>Detalles de los costos del proceso de conexión PMGD y las etapas en que deben efectuarse los pagos:</t>
    </r>
    <r>
      <rPr>
        <sz val="11"/>
        <color theme="1"/>
        <rFont val="Aptos Narrow"/>
        <family val="2"/>
        <scheme val="minor"/>
      </rPr>
      <t xml:space="preserve">
</t>
    </r>
    <r>
      <rPr>
        <b/>
        <i/>
        <u/>
        <sz val="11"/>
        <color rgb="FFFF0000"/>
        <rFont val="Aptos Narrow"/>
        <family val="2"/>
        <scheme val="minor"/>
      </rPr>
      <t>1)Proyectos de Impacto No Significativo (INS):</t>
    </r>
    <r>
      <rPr>
        <b/>
        <sz val="11"/>
        <color rgb="FFFF0000"/>
        <rFont val="Aptos Narrow"/>
        <family val="2"/>
        <scheme val="minor"/>
      </rPr>
      <t xml:space="preserve"> </t>
    </r>
    <r>
      <rPr>
        <sz val="11"/>
        <color theme="1"/>
        <rFont val="Aptos Narrow"/>
        <family val="2"/>
        <scheme val="minor"/>
      </rPr>
      <t xml:space="preserve">
    </t>
    </r>
    <r>
      <rPr>
        <sz val="11"/>
        <color rgb="FFFF0000"/>
        <rFont val="Aptos Narrow"/>
        <family val="2"/>
        <scheme val="minor"/>
      </rPr>
      <t>Se refiere a aquellos proyectos PMGD de capacidad igual o menor a 1,5 [MW] y que cumplen con las condiciones establecidas en la Norma Técnica de Conexión y Operación (NTCO) PMGD para ser declarados de Impacto No Significativo.
De acuerdo con el Art. 45° del DS88, el interesado debe acreditar un pago del 20% del costo total de elaboración de los estudios de conexión, independiente de que dichos estudios sean efectuados por la Empresa Distribuidora o por cuenta propia. Dicho esto, los costos de conexión para proyectos INS son los siguientes:
    1.1.— Costo de revisión de un proyecto INS: 265 U.F. + I.V.A.
                El pago se hará en dos hitos:
                Hito 1: Al momento de presentar la SCR (F3), el Interesado debe realizar el pago de 132 U.F. + I.V.A.
                Hito 2: Dentro de los cinco días siguientes a la entrega de la respuesta de la SCR (F7), el Interesado debe realizar el pago de 133 U.F. + I.V.A.</t>
    </r>
    <r>
      <rPr>
        <sz val="11"/>
        <color theme="1"/>
        <rFont val="Aptos Narrow"/>
        <family val="2"/>
        <scheme val="minor"/>
      </rPr>
      <t xml:space="preserve">
</t>
    </r>
    <r>
      <rPr>
        <b/>
        <i/>
        <u/>
        <sz val="11"/>
        <color rgb="FFFF0000"/>
        <rFont val="Aptos Narrow"/>
        <family val="2"/>
        <scheme val="minor"/>
      </rPr>
      <t xml:space="preserve">1)Proyectos de Impacto Significativo (NO INS): </t>
    </r>
    <r>
      <rPr>
        <sz val="11"/>
        <color rgb="FFFF0000"/>
        <rFont val="Aptos Narrow"/>
        <family val="2"/>
        <scheme val="minor"/>
      </rPr>
      <t xml:space="preserve">
    Son aquellos proyectos PMGD cuyas inyecciones de potencia deben ser evaluadas mediante estudios de Impacto Sistémico. Para tales efectos se consideran los siguientes estudios:
        a)    Estudio de Flujo de Potencia.
        b)    Estudio de Cortocircuito.
        c)    Estudio de Coordinación y Ajuste de Protecciones.
De acuerdo con el Art. 45° del DS88, el interesado deberá acreditar un pago del 20% del costo total de elaboración de los estudios de conexión, independiente de que dichos estudios sean efectuados por la Empresa Distribuidora o por cuenta propia. Por lo tanto, los costos de conexión para proyectos NO INS son los siguientes:
     2.1.— Costo de revisión de proyecto NO INS: 381 U.F. + I.V.A.
                El pago se hará en dos hitos:
                Hito 1: Al momento de la presentación de la SCR (F3), se debe pagar 132 U.F. + I.V.A.
                Hito 2: En caso de que los estudios de Impacto Sistémico sean elaborados por un tercero, el cliente deberá pagar, al momento de entregar los estudios de conexión a la Empresa Distribuidora (F9), un monto de 249 U.F. + I.V.A.
    2.2.— Costo de Elaboración de Estudio de Impacto sistémico: 660 U.F. + I.V.A.
                Si el Interesado desea que los estudios sean elaborados por la Empresa Distribuidora, debe pagar la diferencia entre el Costo Total de Elaboración de estudios y el monto inicial abonado junto a la SCR (F3). Este pago debe realizarse dentro de los cinco días siguientes a la entrega de la respuesta de la SCR (F7). Dicha diferencia corresponde a 528 U.F. + I.V.A.</t>
    </r>
    <r>
      <rPr>
        <sz val="11"/>
        <color theme="1"/>
        <rFont val="Aptos Narrow"/>
        <family val="2"/>
        <scheme val="minor"/>
      </rPr>
      <t xml:space="preserve">
</t>
    </r>
    <r>
      <rPr>
        <b/>
        <i/>
        <u/>
        <sz val="11"/>
        <color theme="3" tint="0.249977111117893"/>
        <rFont val="Aptos Narrow"/>
        <family val="2"/>
        <scheme val="minor"/>
      </rPr>
      <t>Costos de Conexión de Obras Adicionales, Adecuaciones y/o Ajustes.</t>
    </r>
    <r>
      <rPr>
        <sz val="11"/>
        <color theme="3" tint="0.249977111117893"/>
        <rFont val="Aptos Narrow"/>
        <family val="2"/>
        <scheme val="minor"/>
      </rPr>
      <t xml:space="preserve">
    Serán determinados en virtud de lo estipulado en la NTCO 2019.</t>
    </r>
    <r>
      <rPr>
        <sz val="11"/>
        <color theme="1"/>
        <rFont val="Aptos Narrow"/>
        <family val="2"/>
        <scheme val="minor"/>
      </rPr>
      <t xml:space="preserve">
</t>
    </r>
    <r>
      <rPr>
        <b/>
        <i/>
        <u/>
        <sz val="11"/>
        <color theme="1"/>
        <rFont val="Aptos Narrow"/>
        <family val="2"/>
        <scheme val="minor"/>
      </rPr>
      <t xml:space="preserve"> </t>
    </r>
    <r>
      <rPr>
        <b/>
        <i/>
        <u/>
        <sz val="11"/>
        <color theme="9" tint="-0.249977111117893"/>
        <rFont val="Aptos Narrow"/>
        <family val="2"/>
        <scheme val="minor"/>
      </rPr>
      <t>Puesta en servicio:</t>
    </r>
    <r>
      <rPr>
        <sz val="11"/>
        <color theme="9" tint="-0.249977111117893"/>
        <rFont val="Aptos Narrow"/>
        <family val="2"/>
        <scheme val="minor"/>
      </rPr>
      <t xml:space="preserve">
    4.1.— Costo de Supervisión de protocolo de pruebas de protección: 70 U.F. + I.V.A.
    4.2.— Costo de Supervisión de protocolo de pruebas de protecciones por mantenimiento o falla: 50 U.F. + I.V.A.
    4.3.— Costo de Ingreso de Reconectador a taller para validación del equipo: 20 U.F. + I.V.A.
    4.4.— Costo de Elaboración de Estudio de Coordinación y Ajuste de Protecciones: 395 U.F. + I.V.A.
    4.5.— Costo de Revisión de informe de protecciones actualizado: 39 U.F. + I.V.A.</t>
    </r>
    <r>
      <rPr>
        <sz val="11"/>
        <color theme="1"/>
        <rFont val="Aptos Narrow"/>
        <family val="2"/>
        <scheme val="minor"/>
      </rPr>
      <t xml:space="preserve">
</t>
    </r>
    <r>
      <rPr>
        <b/>
        <i/>
        <u/>
        <sz val="11"/>
        <color theme="8" tint="-0.249977111117893"/>
        <rFont val="Aptos Narrow"/>
        <family val="2"/>
        <scheme val="minor"/>
      </rPr>
      <t xml:space="preserve"> Otros servicios:</t>
    </r>
    <r>
      <rPr>
        <sz val="11"/>
        <color theme="8" tint="-0.249977111117893"/>
        <rFont val="Aptos Narrow"/>
        <family val="2"/>
        <scheme val="minor"/>
      </rPr>
      <t xml:space="preserve">
    5.1.— Servicio de Auditoría Técnica y Administrativa: 127 U.F. + I.V.A.
    5.2.— Servicio de Auditoría Administrativa (aplica, siempre y cuando, se requiera una segunda visita en terreno para subsanar observaciones de Auditoría): 60 U.F. + I.V.A.
    5.3.— Arriendo de Medidor ION 7400 (incluye servicio de telemedida y enlace con CEN): 4,16 U.F. + I.V.A.</t>
    </r>
  </si>
  <si>
    <t>Opc. 2AL+venta exc : 2*CAL + venta exc 2025</t>
  </si>
  <si>
    <r>
      <t>Opc. 2AL+venta exc : 2*CAL + venta exc 2026</t>
    </r>
    <r>
      <rPr>
        <sz val="11"/>
        <color theme="1"/>
        <rFont val="Aptos Narrow"/>
        <family val="2"/>
        <scheme val="minor"/>
      </rPr>
      <t/>
    </r>
  </si>
  <si>
    <r>
      <t>Opc. 2AL+venta exc : 2*CAL + venta exc 2027</t>
    </r>
    <r>
      <rPr>
        <sz val="11"/>
        <color theme="1"/>
        <rFont val="Aptos Narrow"/>
        <family val="2"/>
        <scheme val="minor"/>
      </rPr>
      <t/>
    </r>
  </si>
  <si>
    <r>
      <t>Opc. 2AL+venta exc : 2*CAL + venta exc 2028</t>
    </r>
    <r>
      <rPr>
        <sz val="11"/>
        <color theme="1"/>
        <rFont val="Aptos Narrow"/>
        <family val="2"/>
        <scheme val="minor"/>
      </rPr>
      <t/>
    </r>
  </si>
  <si>
    <r>
      <t>Opc. 2AL+venta exc : 2*CAL + venta exc 2029</t>
    </r>
    <r>
      <rPr>
        <sz val="11"/>
        <color theme="1"/>
        <rFont val="Aptos Narrow"/>
        <family val="2"/>
        <scheme val="minor"/>
      </rPr>
      <t/>
    </r>
  </si>
  <si>
    <r>
      <t>Opc. 2AL+venta exc : 2*CAL + venta exc 2030</t>
    </r>
    <r>
      <rPr>
        <sz val="11"/>
        <color theme="1"/>
        <rFont val="Aptos Narrow"/>
        <family val="2"/>
        <scheme val="minor"/>
      </rPr>
      <t/>
    </r>
  </si>
  <si>
    <r>
      <t>Opc. 2AL+venta exc : 2*CAL + venta exc 2031</t>
    </r>
    <r>
      <rPr>
        <sz val="11"/>
        <color theme="1"/>
        <rFont val="Aptos Narrow"/>
        <family val="2"/>
        <scheme val="minor"/>
      </rPr>
      <t/>
    </r>
  </si>
  <si>
    <r>
      <t>Opc. 2AL+venta exc : 2*CAL + venta exc 2032</t>
    </r>
    <r>
      <rPr>
        <sz val="11"/>
        <color theme="1"/>
        <rFont val="Aptos Narrow"/>
        <family val="2"/>
        <scheme val="minor"/>
      </rPr>
      <t/>
    </r>
  </si>
  <si>
    <r>
      <t>Opc. 2AL+venta exc : 2*CAL + venta exc 2033</t>
    </r>
    <r>
      <rPr>
        <sz val="11"/>
        <color theme="1"/>
        <rFont val="Aptos Narrow"/>
        <family val="2"/>
        <scheme val="minor"/>
      </rPr>
      <t/>
    </r>
  </si>
  <si>
    <r>
      <t>Opc. 2AL+venta exc : 2*CAL + venta exc 2034</t>
    </r>
    <r>
      <rPr>
        <sz val="11"/>
        <color theme="1"/>
        <rFont val="Aptos Narrow"/>
        <family val="2"/>
        <scheme val="minor"/>
      </rPr>
      <t/>
    </r>
  </si>
  <si>
    <r>
      <t>Opc. 2AL+venta exc : 2*CAL + venta exc 2035</t>
    </r>
    <r>
      <rPr>
        <sz val="11"/>
        <color theme="1"/>
        <rFont val="Aptos Narrow"/>
        <family val="2"/>
        <scheme val="minor"/>
      </rPr>
      <t/>
    </r>
  </si>
  <si>
    <r>
      <t>Opc. 2AL+venta exc : 2*CAL + venta exc 2036</t>
    </r>
    <r>
      <rPr>
        <sz val="11"/>
        <color theme="1"/>
        <rFont val="Aptos Narrow"/>
        <family val="2"/>
        <scheme val="minor"/>
      </rPr>
      <t/>
    </r>
  </si>
  <si>
    <r>
      <t>Opc. 2AL+venta exc : 2*CAL + venta exc 2037</t>
    </r>
    <r>
      <rPr>
        <sz val="11"/>
        <color theme="1"/>
        <rFont val="Aptos Narrow"/>
        <family val="2"/>
        <scheme val="minor"/>
      </rPr>
      <t/>
    </r>
  </si>
  <si>
    <r>
      <t>Opc. 2AL+venta exc : 2*CAL + venta exc 2038</t>
    </r>
    <r>
      <rPr>
        <sz val="11"/>
        <color theme="1"/>
        <rFont val="Aptos Narrow"/>
        <family val="2"/>
        <scheme val="minor"/>
      </rPr>
      <t/>
    </r>
  </si>
  <si>
    <r>
      <t>Opc. 2AL+venta exc : 2*CAL + venta exc 2039</t>
    </r>
    <r>
      <rPr>
        <sz val="11"/>
        <color theme="1"/>
        <rFont val="Aptos Narrow"/>
        <family val="2"/>
        <scheme val="minor"/>
      </rPr>
      <t/>
    </r>
  </si>
  <si>
    <t>CIALs</t>
  </si>
  <si>
    <t xml:space="preserve">Por lo tanto: </t>
  </si>
  <si>
    <t>rt 2007</t>
  </si>
  <si>
    <t>rt 2008</t>
  </si>
  <si>
    <t>rt 2009</t>
  </si>
  <si>
    <t>rt 2010</t>
  </si>
  <si>
    <t>rt 2011</t>
  </si>
  <si>
    <t>rt 2012</t>
  </si>
  <si>
    <t>rt 2013</t>
  </si>
  <si>
    <t>rt 2014</t>
  </si>
  <si>
    <t>rt 2015</t>
  </si>
  <si>
    <t>rt 2016</t>
  </si>
  <si>
    <t>rt 2017</t>
  </si>
  <si>
    <t>rt 2018</t>
  </si>
  <si>
    <t>rt 2019</t>
  </si>
  <si>
    <t>rt 2020</t>
  </si>
  <si>
    <t>rt 2021</t>
  </si>
  <si>
    <t>rt 2022</t>
  </si>
  <si>
    <t>rt 2023</t>
  </si>
  <si>
    <t>rt 2024</t>
  </si>
  <si>
    <t>sigma o volatilidad</t>
  </si>
  <si>
    <t>mu o tasa de crec.</t>
  </si>
  <si>
    <t>g</t>
  </si>
  <si>
    <t>VPN</t>
  </si>
  <si>
    <t>CD total (para alimentador)</t>
  </si>
  <si>
    <t>CD total (para GD)</t>
  </si>
  <si>
    <t>Resultados Finales</t>
  </si>
  <si>
    <t>Mininimo entre ABANDONAR y AL + VENTA EXC</t>
  </si>
  <si>
    <t>Valor opcion</t>
  </si>
  <si>
    <t>Valor Acum</t>
  </si>
  <si>
    <t>CD totalGD medio posterior a las mil simulaciones</t>
  </si>
  <si>
    <t>CD totalAL medio posterior a las mil simulaciones</t>
  </si>
  <si>
    <t>Analisis de sensibilidad en precios</t>
  </si>
  <si>
    <t>Ps=0,9</t>
  </si>
  <si>
    <t>Pm=0,1</t>
  </si>
  <si>
    <t>Ps=0,1</t>
  </si>
  <si>
    <t>Pm=0,9</t>
  </si>
  <si>
    <t>Sensibilidad en% de crecimiento (si es mas probable que cresca) S_0=150</t>
  </si>
  <si>
    <t>Sensibilidad en % de crecimiento (si es mas probable que cresca)</t>
  </si>
  <si>
    <t>Sensibilidad en % de crecimiento (si es mas probable que no cresca)</t>
  </si>
  <si>
    <t>Sensibilidad en % de crecimiento (si es mas probable que no cresca) S_0=150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</si>
</sst>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
  </numFmts>
  <fonts count="35">
    <font>
      <sz val="11"/>
      <color theme="1"/>
      <name val="Aptos Narrow"/>
      <family val="2"/>
      <scheme val="minor"/>
    </font>
    <font>
      <sz val="8"/>
      <name val="Aptos Narrow"/>
      <family val="2"/>
      <scheme val="minor"/>
    </font>
    <font>
      <b/>
      <sz val="11"/>
      <color theme="1"/>
      <name val="Aptos Narrow"/>
      <family val="2"/>
      <scheme val="minor"/>
    </font>
    <font>
      <b/>
      <i/>
      <u/>
      <sz val="11"/>
      <color theme="1"/>
      <name val="Aptos Narrow"/>
      <family val="2"/>
      <scheme val="minor"/>
    </font>
    <font>
      <b/>
      <i/>
      <sz val="11"/>
      <color theme="1"/>
      <name val="Aptos Narrow"/>
      <family val="2"/>
      <scheme val="minor"/>
    </font>
    <font>
      <sz val="20"/>
      <color theme="1"/>
      <name val="Aptos Narrow"/>
      <family val="2"/>
      <scheme val="minor"/>
    </font>
    <font>
      <b/>
      <i/>
      <sz val="20"/>
      <color theme="1"/>
      <name val="Aptos Narrow"/>
      <family val="2"/>
      <scheme val="minor"/>
    </font>
    <font>
      <sz val="11"/>
      <color theme="1"/>
      <name val="Calibri"/>
      <family val="2"/>
    </font>
    <font>
      <sz val="11"/>
      <name val="Calibri"/>
      <family val="2"/>
    </font>
    <font>
      <sz val="11"/>
      <name val="Aptos Narrow"/>
      <family val="2"/>
      <scheme val="minor"/>
    </font>
    <font>
      <b/>
      <sz val="11"/>
      <color theme="8" tint="0.39997558519241921"/>
      <name val="Aptos Narrow"/>
      <family val="2"/>
      <scheme val="minor"/>
    </font>
    <font>
      <u/>
      <sz val="8"/>
      <name val="Aptos Narrow"/>
      <family val="2"/>
      <scheme val="minor"/>
    </font>
    <font>
      <b/>
      <sz val="12"/>
      <color theme="1"/>
      <name val="Aptos Narrow"/>
      <family val="2"/>
      <scheme val="minor"/>
    </font>
    <font>
      <sz val="12"/>
      <color theme="1"/>
      <name val="Aptos Narrow"/>
      <family val="2"/>
      <scheme val="minor"/>
    </font>
    <font>
      <b/>
      <sz val="22"/>
      <color theme="1"/>
      <name val="Aptos Narrow"/>
      <family val="2"/>
      <scheme val="minor"/>
    </font>
    <font>
      <sz val="11"/>
      <color rgb="FFFF0000"/>
      <name val="Aptos Narrow"/>
      <family val="2"/>
      <scheme val="minor"/>
    </font>
    <font>
      <b/>
      <sz val="36"/>
      <color theme="1"/>
      <name val="Aptos Narrow"/>
      <family val="2"/>
      <scheme val="minor"/>
    </font>
    <font>
      <sz val="11"/>
      <color theme="1"/>
      <name val="Aptos Narrow"/>
      <family val="2"/>
      <scheme val="minor"/>
    </font>
    <font>
      <sz val="10"/>
      <name val="Arial"/>
      <family val="2"/>
    </font>
    <font>
      <b/>
      <sz val="11"/>
      <color rgb="FFFF0000"/>
      <name val="Aptos Narrow"/>
      <family val="2"/>
      <scheme val="minor"/>
    </font>
    <font>
      <b/>
      <sz val="11"/>
      <name val="Aptos Narrow"/>
      <family val="2"/>
      <scheme val="minor"/>
    </font>
    <font>
      <i/>
      <u/>
      <sz val="11"/>
      <color theme="1"/>
      <name val="Aptos Narrow"/>
      <family val="2"/>
      <scheme val="minor"/>
    </font>
    <font>
      <b/>
      <i/>
      <u/>
      <sz val="11"/>
      <color rgb="FFFF0000"/>
      <name val="Aptos Narrow"/>
      <family val="2"/>
      <scheme val="minor"/>
    </font>
    <font>
      <sz val="11"/>
      <color theme="3" tint="0.249977111117893"/>
      <name val="Aptos Narrow"/>
      <family val="2"/>
      <scheme val="minor"/>
    </font>
    <font>
      <sz val="11"/>
      <color theme="9" tint="-0.249977111117893"/>
      <name val="Aptos Narrow"/>
      <family val="2"/>
      <scheme val="minor"/>
    </font>
    <font>
      <sz val="11"/>
      <color theme="8" tint="-0.249977111117893"/>
      <name val="Aptos Narrow"/>
      <family val="2"/>
      <scheme val="minor"/>
    </font>
    <font>
      <b/>
      <i/>
      <u/>
      <sz val="11"/>
      <color theme="3" tint="0.249977111117893"/>
      <name val="Aptos Narrow"/>
      <family val="2"/>
      <scheme val="minor"/>
    </font>
    <font>
      <b/>
      <i/>
      <u/>
      <sz val="11"/>
      <color theme="9" tint="-0.249977111117893"/>
      <name val="Aptos Narrow"/>
      <family val="2"/>
      <scheme val="minor"/>
    </font>
    <font>
      <b/>
      <i/>
      <u/>
      <sz val="11"/>
      <color theme="8" tint="-0.249977111117893"/>
      <name val="Aptos Narrow"/>
      <family val="2"/>
      <scheme val="minor"/>
    </font>
    <font>
      <b/>
      <sz val="10"/>
      <color theme="8" tint="0.39997558519241921"/>
      <name val="Aptos Narrow"/>
      <family val="2"/>
      <scheme val="minor"/>
    </font>
    <font>
      <sz val="9"/>
      <color theme="1"/>
      <name val="Aptos Narrow"/>
      <family val="2"/>
      <scheme val="minor"/>
    </font>
    <font>
      <sz val="10"/>
      <color rgb="FF8888C6"/>
      <name val="JetBrains Mono"/>
      <family val="3"/>
    </font>
    <font>
      <sz val="11"/>
      <name val="Verdana"/>
      <family val="2"/>
    </font>
    <font>
      <sz val="11"/>
      <color rgb="FFFF0000"/>
      <name val="Verdana"/>
      <family val="2"/>
    </font>
    <font>
      <sz val="10"/>
      <name val="Aptos Narrow"/>
      <family val="2"/>
      <scheme val="minor"/>
    </font>
  </fonts>
  <fills count="14">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rgb="FFEEABF1"/>
        <bgColor indexed="64"/>
      </patternFill>
    </fill>
    <fill>
      <patternFill patternType="solid">
        <fgColor rgb="FFFFC000"/>
        <bgColor indexed="64"/>
      </patternFill>
    </fill>
    <fill>
      <patternFill patternType="solid">
        <fgColor rgb="FFFFFF00"/>
        <bgColor indexed="64"/>
      </patternFill>
    </fill>
    <fill>
      <patternFill patternType="solid">
        <fgColor theme="6" tint="0.59999389629810485"/>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9" tint="0.59999389629810485"/>
        <bgColor indexed="64"/>
      </patternFill>
    </fill>
    <fill>
      <patternFill patternType="solid">
        <fgColor theme="7" tint="0.39997558519241921"/>
        <bgColor indexed="64"/>
      </patternFill>
    </fill>
  </fills>
  <borders count="5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9" fontId="17" fillId="0" borderId="0" applyFont="0" applyFill="0" applyBorder="0" applyAlignment="0" applyProtection="0"/>
    <xf numFmtId="0" fontId="18" fillId="0" borderId="0"/>
  </cellStyleXfs>
  <cellXfs count="280">
    <xf numFmtId="0" fontId="0" fillId="0" borderId="0" xfId="0"/>
    <xf numFmtId="0" fontId="0" fillId="0" borderId="1" xfId="0" applyBorder="1" applyAlignment="1">
      <alignment horizontal="center"/>
    </xf>
    <xf numFmtId="0" fontId="0" fillId="0" borderId="1" xfId="0" applyBorder="1"/>
    <xf numFmtId="3" fontId="0" fillId="0" borderId="1" xfId="0" applyNumberFormat="1" applyBorder="1" applyAlignment="1">
      <alignment horizontal="center"/>
    </xf>
    <xf numFmtId="0" fontId="2" fillId="0" borderId="1" xfId="0" applyFont="1" applyBorder="1" applyAlignment="1">
      <alignment horizontal="center"/>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0" borderId="1" xfId="0" applyFont="1" applyBorder="1"/>
    <xf numFmtId="3" fontId="0" fillId="0" borderId="9" xfId="0" applyNumberFormat="1" applyBorder="1" applyAlignment="1">
      <alignment horizontal="left"/>
    </xf>
    <xf numFmtId="3" fontId="0" fillId="0" borderId="10" xfId="0" applyNumberFormat="1" applyBorder="1" applyAlignment="1">
      <alignment horizontal="center"/>
    </xf>
    <xf numFmtId="3" fontId="0" fillId="0" borderId="11" xfId="0" applyNumberFormat="1" applyBorder="1" applyAlignment="1">
      <alignment horizontal="left"/>
    </xf>
    <xf numFmtId="3" fontId="0" fillId="0" borderId="12" xfId="0" applyNumberFormat="1" applyBorder="1" applyAlignment="1">
      <alignment horizontal="center"/>
    </xf>
    <xf numFmtId="3" fontId="0" fillId="0" borderId="13" xfId="0" applyNumberFormat="1" applyBorder="1" applyAlignment="1">
      <alignment horizontal="center"/>
    </xf>
    <xf numFmtId="0" fontId="0" fillId="0" borderId="9" xfId="0" applyBorder="1"/>
    <xf numFmtId="0" fontId="0" fillId="0" borderId="10" xfId="0" applyBorder="1"/>
    <xf numFmtId="3" fontId="0" fillId="0" borderId="0" xfId="0" applyNumberFormat="1" applyAlignment="1">
      <alignment horizontal="center"/>
    </xf>
    <xf numFmtId="3" fontId="0" fillId="0" borderId="1" xfId="0" applyNumberFormat="1" applyBorder="1"/>
    <xf numFmtId="0" fontId="0" fillId="0" borderId="13" xfId="0" applyBorder="1"/>
    <xf numFmtId="0" fontId="2" fillId="0" borderId="14" xfId="0" applyFont="1" applyBorder="1"/>
    <xf numFmtId="0" fontId="0" fillId="0" borderId="11" xfId="0" applyBorder="1"/>
    <xf numFmtId="0" fontId="0" fillId="0" borderId="12" xfId="0" applyBorder="1"/>
    <xf numFmtId="0" fontId="0" fillId="0" borderId="10" xfId="0" applyBorder="1" applyAlignment="1">
      <alignment horizontal="center"/>
    </xf>
    <xf numFmtId="0" fontId="3" fillId="0" borderId="0" xfId="0" applyFont="1"/>
    <xf numFmtId="0" fontId="2" fillId="3" borderId="1" xfId="0" applyFont="1" applyFill="1" applyBorder="1" applyAlignment="1">
      <alignment horizontal="center"/>
    </xf>
    <xf numFmtId="0" fontId="0" fillId="3" borderId="1" xfId="0" applyFill="1" applyBorder="1" applyAlignment="1">
      <alignment horizontal="center"/>
    </xf>
    <xf numFmtId="0" fontId="2" fillId="9" borderId="1" xfId="0" applyFont="1" applyFill="1" applyBorder="1" applyAlignment="1">
      <alignment horizontal="center"/>
    </xf>
    <xf numFmtId="3" fontId="0" fillId="9" borderId="1" xfId="0" applyNumberFormat="1" applyFill="1" applyBorder="1" applyAlignment="1">
      <alignment horizontal="center"/>
    </xf>
    <xf numFmtId="0" fontId="0" fillId="9" borderId="1" xfId="0" applyFill="1" applyBorder="1" applyAlignment="1">
      <alignment horizontal="center"/>
    </xf>
    <xf numFmtId="0" fontId="2" fillId="6" borderId="1" xfId="0" applyFont="1" applyFill="1" applyBorder="1" applyAlignment="1">
      <alignment horizontal="center"/>
    </xf>
    <xf numFmtId="0" fontId="0" fillId="6" borderId="1" xfId="0" applyFill="1" applyBorder="1" applyAlignment="1">
      <alignment horizontal="center"/>
    </xf>
    <xf numFmtId="3" fontId="9" fillId="0" borderId="1" xfId="0" applyNumberFormat="1" applyFont="1" applyBorder="1" applyAlignment="1">
      <alignment horizontal="center"/>
    </xf>
    <xf numFmtId="0" fontId="13" fillId="0" borderId="0" xfId="0" applyFont="1"/>
    <xf numFmtId="3" fontId="9" fillId="0" borderId="5" xfId="0" applyNumberFormat="1" applyFont="1" applyBorder="1" applyAlignment="1">
      <alignment horizontal="center"/>
    </xf>
    <xf numFmtId="3" fontId="0" fillId="0" borderId="3" xfId="0" applyNumberFormat="1" applyBorder="1" applyAlignment="1">
      <alignment horizontal="center"/>
    </xf>
    <xf numFmtId="0" fontId="0" fillId="0" borderId="12" xfId="0" applyBorder="1" applyAlignment="1">
      <alignment horizontal="center"/>
    </xf>
    <xf numFmtId="0" fontId="0" fillId="0" borderId="9" xfId="0" applyBorder="1" applyAlignment="1">
      <alignment horizontal="center"/>
    </xf>
    <xf numFmtId="0" fontId="0" fillId="0" borderId="0" xfId="0" applyAlignment="1">
      <alignment horizontal="center"/>
    </xf>
    <xf numFmtId="0" fontId="0" fillId="2" borderId="1" xfId="0" applyFill="1" applyBorder="1" applyAlignment="1">
      <alignment horizontal="center"/>
    </xf>
    <xf numFmtId="3" fontId="0" fillId="0" borderId="0" xfId="0" applyNumberFormat="1"/>
    <xf numFmtId="3" fontId="2" fillId="0" borderId="1" xfId="0" applyNumberFormat="1" applyFont="1" applyBorder="1" applyAlignment="1">
      <alignment horizontal="center"/>
    </xf>
    <xf numFmtId="3" fontId="0" fillId="2" borderId="1" xfId="0" applyNumberFormat="1" applyFill="1" applyBorder="1" applyAlignment="1">
      <alignment horizontal="center"/>
    </xf>
    <xf numFmtId="0" fontId="15" fillId="0" borderId="7" xfId="0" applyFont="1" applyBorder="1"/>
    <xf numFmtId="0" fontId="2" fillId="0" borderId="0" xfId="0" applyFont="1"/>
    <xf numFmtId="3" fontId="20" fillId="0" borderId="1" xfId="0" applyNumberFormat="1" applyFont="1" applyBorder="1" applyAlignment="1">
      <alignment horizontal="center"/>
    </xf>
    <xf numFmtId="0" fontId="0" fillId="0" borderId="0" xfId="0" applyAlignment="1">
      <alignment vertical="top" wrapText="1"/>
    </xf>
    <xf numFmtId="3" fontId="10" fillId="0" borderId="1" xfId="0" applyNumberFormat="1" applyFont="1" applyBorder="1" applyAlignment="1">
      <alignment horizontal="center"/>
    </xf>
    <xf numFmtId="0" fontId="30" fillId="0" borderId="0" xfId="0" applyFont="1"/>
    <xf numFmtId="0" fontId="10" fillId="0" borderId="0" xfId="0" applyFont="1" applyAlignment="1">
      <alignment wrapText="1"/>
    </xf>
    <xf numFmtId="0" fontId="31" fillId="0" borderId="0" xfId="0" applyFont="1" applyAlignment="1">
      <alignment vertical="center"/>
    </xf>
    <xf numFmtId="0" fontId="32" fillId="0" borderId="1" xfId="2" applyFont="1" applyBorder="1" applyAlignment="1">
      <alignment horizontal="center" vertical="top"/>
    </xf>
    <xf numFmtId="164" fontId="32" fillId="0" borderId="14" xfId="2" applyNumberFormat="1" applyFont="1" applyBorder="1" applyAlignment="1">
      <alignment horizontal="center" vertical="top"/>
    </xf>
    <xf numFmtId="165" fontId="32" fillId="0" borderId="1" xfId="2" applyNumberFormat="1" applyFont="1" applyBorder="1" applyAlignment="1">
      <alignment horizontal="center" vertical="top"/>
    </xf>
    <xf numFmtId="164" fontId="32" fillId="0" borderId="1" xfId="2" applyNumberFormat="1" applyFont="1" applyBorder="1" applyAlignment="1">
      <alignment horizontal="center" vertical="top"/>
    </xf>
    <xf numFmtId="9" fontId="32" fillId="0" borderId="1" xfId="1" applyFont="1" applyBorder="1" applyAlignment="1">
      <alignment horizontal="center" vertical="top"/>
    </xf>
    <xf numFmtId="9" fontId="32" fillId="0" borderId="3" xfId="2" applyNumberFormat="1" applyFont="1" applyBorder="1" applyAlignment="1">
      <alignment horizontal="center" vertical="top"/>
    </xf>
    <xf numFmtId="0" fontId="33" fillId="0" borderId="1" xfId="2" applyFont="1" applyBorder="1" applyAlignment="1">
      <alignment horizontal="center" vertical="top"/>
    </xf>
    <xf numFmtId="0" fontId="0" fillId="13" borderId="0" xfId="0" applyFill="1"/>
    <xf numFmtId="0" fontId="0" fillId="13" borderId="17" xfId="0" applyFill="1" applyBorder="1" applyAlignment="1">
      <alignment horizontal="center"/>
    </xf>
    <xf numFmtId="0" fontId="0" fillId="13" borderId="16" xfId="0" applyFill="1" applyBorder="1" applyAlignment="1">
      <alignment horizontal="center"/>
    </xf>
    <xf numFmtId="3" fontId="10" fillId="0" borderId="0" xfId="0" applyNumberFormat="1" applyFont="1" applyAlignment="1">
      <alignment horizontal="center"/>
    </xf>
    <xf numFmtId="0" fontId="0" fillId="0" borderId="0" xfId="0" applyAlignment="1">
      <alignment vertical="center" wrapText="1"/>
    </xf>
    <xf numFmtId="0" fontId="32" fillId="0" borderId="14" xfId="2" applyFont="1" applyBorder="1" applyAlignment="1">
      <alignment horizontal="center" vertical="top"/>
    </xf>
    <xf numFmtId="165" fontId="32" fillId="0" borderId="14" xfId="2" applyNumberFormat="1" applyFont="1" applyBorder="1" applyAlignment="1">
      <alignment horizontal="center" vertical="top"/>
    </xf>
    <xf numFmtId="0" fontId="0" fillId="0" borderId="14" xfId="0" applyBorder="1"/>
    <xf numFmtId="0" fontId="0" fillId="13" borderId="36" xfId="0" applyFill="1" applyBorder="1"/>
    <xf numFmtId="0" fontId="0" fillId="13" borderId="37" xfId="0" applyFill="1" applyBorder="1" applyAlignment="1">
      <alignment horizontal="center"/>
    </xf>
    <xf numFmtId="0" fontId="0" fillId="13" borderId="37" xfId="0" applyFill="1" applyBorder="1"/>
    <xf numFmtId="0" fontId="0" fillId="13" borderId="38" xfId="0" applyFill="1" applyBorder="1" applyAlignment="1">
      <alignment horizontal="center"/>
    </xf>
    <xf numFmtId="3" fontId="2" fillId="0" borderId="14" xfId="0" applyNumberFormat="1" applyFont="1" applyBorder="1" applyAlignment="1">
      <alignment horizontal="center"/>
    </xf>
    <xf numFmtId="3" fontId="0" fillId="0" borderId="14" xfId="0" applyNumberFormat="1" applyBorder="1" applyAlignment="1">
      <alignment horizontal="center"/>
    </xf>
    <xf numFmtId="3" fontId="2" fillId="13" borderId="5" xfId="0" applyNumberFormat="1" applyFont="1" applyFill="1" applyBorder="1" applyAlignment="1">
      <alignment horizontal="center"/>
    </xf>
    <xf numFmtId="3" fontId="2" fillId="13" borderId="5" xfId="0" applyNumberFormat="1" applyFont="1" applyFill="1" applyBorder="1"/>
    <xf numFmtId="3" fontId="2" fillId="0" borderId="3" xfId="0" applyNumberFormat="1" applyFont="1" applyBorder="1" applyAlignment="1">
      <alignment horizontal="center"/>
    </xf>
    <xf numFmtId="3" fontId="0" fillId="0" borderId="6" xfId="0" applyNumberFormat="1" applyBorder="1" applyAlignment="1">
      <alignment horizontal="center"/>
    </xf>
    <xf numFmtId="0" fontId="19" fillId="10" borderId="48" xfId="0" applyFont="1" applyFill="1" applyBorder="1" applyAlignment="1">
      <alignment horizontal="center"/>
    </xf>
    <xf numFmtId="3" fontId="19" fillId="10" borderId="1" xfId="0" applyNumberFormat="1" applyFont="1" applyFill="1" applyBorder="1" applyAlignment="1">
      <alignment horizontal="center"/>
    </xf>
    <xf numFmtId="3" fontId="2" fillId="0" borderId="2" xfId="0" applyNumberFormat="1" applyFont="1" applyBorder="1" applyAlignment="1">
      <alignment horizontal="center"/>
    </xf>
    <xf numFmtId="0" fontId="19" fillId="0" borderId="1" xfId="0" applyFont="1" applyBorder="1" applyAlignment="1">
      <alignment horizontal="center"/>
    </xf>
    <xf numFmtId="3" fontId="19" fillId="0" borderId="1" xfId="0" applyNumberFormat="1" applyFont="1" applyBorder="1" applyAlignment="1">
      <alignment horizontal="center"/>
    </xf>
    <xf numFmtId="3" fontId="2" fillId="2" borderId="35" xfId="0" applyNumberFormat="1" applyFont="1" applyFill="1" applyBorder="1"/>
    <xf numFmtId="3" fontId="2" fillId="2" borderId="5" xfId="0" applyNumberFormat="1" applyFont="1" applyFill="1" applyBorder="1" applyAlignment="1">
      <alignment horizontal="center"/>
    </xf>
    <xf numFmtId="3" fontId="2" fillId="2" borderId="5" xfId="0" applyNumberFormat="1" applyFont="1" applyFill="1" applyBorder="1"/>
    <xf numFmtId="3" fontId="2" fillId="2" borderId="1" xfId="0" applyNumberFormat="1" applyFont="1" applyFill="1" applyBorder="1"/>
    <xf numFmtId="0" fontId="0" fillId="6" borderId="6" xfId="0" applyFill="1" applyBorder="1" applyAlignment="1">
      <alignment horizontal="left" vertical="top" wrapText="1"/>
    </xf>
    <xf numFmtId="0" fontId="0" fillId="6" borderId="7" xfId="0" applyFill="1" applyBorder="1" applyAlignment="1">
      <alignment horizontal="left" vertical="top" wrapText="1"/>
    </xf>
    <xf numFmtId="0" fontId="0" fillId="6" borderId="8" xfId="0" applyFill="1" applyBorder="1" applyAlignment="1">
      <alignment horizontal="left" vertical="top" wrapText="1"/>
    </xf>
    <xf numFmtId="0" fontId="0" fillId="6" borderId="9" xfId="0" applyFill="1" applyBorder="1" applyAlignment="1">
      <alignment horizontal="left" vertical="top" wrapText="1"/>
    </xf>
    <xf numFmtId="0" fontId="0" fillId="6" borderId="0" xfId="0" applyFill="1" applyAlignment="1">
      <alignment horizontal="left" vertical="top" wrapText="1"/>
    </xf>
    <xf numFmtId="0" fontId="0" fillId="6" borderId="10" xfId="0" applyFill="1" applyBorder="1" applyAlignment="1">
      <alignment horizontal="left" vertical="top" wrapText="1"/>
    </xf>
    <xf numFmtId="0" fontId="0" fillId="6" borderId="11" xfId="0" applyFill="1" applyBorder="1" applyAlignment="1">
      <alignment horizontal="left" vertical="top" wrapText="1"/>
    </xf>
    <xf numFmtId="0" fontId="0" fillId="6" borderId="12" xfId="0" applyFill="1" applyBorder="1" applyAlignment="1">
      <alignment horizontal="left" vertical="top" wrapText="1"/>
    </xf>
    <xf numFmtId="0" fontId="0" fillId="6" borderId="13" xfId="0" applyFill="1" applyBorder="1" applyAlignment="1">
      <alignment horizontal="left" vertical="top" wrapText="1"/>
    </xf>
    <xf numFmtId="0" fontId="0" fillId="4" borderId="6" xfId="0" applyFill="1" applyBorder="1" applyAlignment="1">
      <alignment horizontal="left" vertical="top" wrapText="1"/>
    </xf>
    <xf numFmtId="0" fontId="0" fillId="4" borderId="7" xfId="0" applyFill="1" applyBorder="1" applyAlignment="1">
      <alignment horizontal="left" vertical="top" wrapText="1"/>
    </xf>
    <xf numFmtId="0" fontId="0" fillId="4" borderId="8" xfId="0" applyFill="1" applyBorder="1" applyAlignment="1">
      <alignment horizontal="left" vertical="top" wrapText="1"/>
    </xf>
    <xf numFmtId="0" fontId="0" fillId="4" borderId="9" xfId="0" applyFill="1" applyBorder="1" applyAlignment="1">
      <alignment horizontal="left" vertical="top" wrapText="1"/>
    </xf>
    <xf numFmtId="0" fontId="0" fillId="4" borderId="0" xfId="0" applyFill="1" applyAlignment="1">
      <alignment horizontal="left" vertical="top" wrapText="1"/>
    </xf>
    <xf numFmtId="0" fontId="0" fillId="4" borderId="10" xfId="0" applyFill="1" applyBorder="1" applyAlignment="1">
      <alignment horizontal="left" vertical="top" wrapText="1"/>
    </xf>
    <xf numFmtId="0" fontId="0" fillId="4" borderId="11" xfId="0" applyFill="1" applyBorder="1" applyAlignment="1">
      <alignment horizontal="left" vertical="top" wrapText="1"/>
    </xf>
    <xf numFmtId="0" fontId="0" fillId="4" borderId="12" xfId="0" applyFill="1" applyBorder="1" applyAlignment="1">
      <alignment horizontal="left" vertical="top" wrapText="1"/>
    </xf>
    <xf numFmtId="0" fontId="0" fillId="4" borderId="13" xfId="0" applyFill="1" applyBorder="1" applyAlignment="1">
      <alignment horizontal="left" vertical="top" wrapText="1"/>
    </xf>
    <xf numFmtId="0" fontId="0" fillId="3" borderId="6" xfId="0" applyFill="1" applyBorder="1" applyAlignment="1">
      <alignment horizontal="left" vertical="top" wrapText="1"/>
    </xf>
    <xf numFmtId="0" fontId="0" fillId="3" borderId="7" xfId="0" applyFill="1" applyBorder="1" applyAlignment="1">
      <alignment horizontal="left" vertical="top" wrapText="1"/>
    </xf>
    <xf numFmtId="0" fontId="0" fillId="3" borderId="8" xfId="0" applyFill="1" applyBorder="1" applyAlignment="1">
      <alignment horizontal="left" vertical="top" wrapText="1"/>
    </xf>
    <xf numFmtId="0" fontId="0" fillId="3" borderId="9" xfId="0" applyFill="1" applyBorder="1" applyAlignment="1">
      <alignment horizontal="left" vertical="top" wrapText="1"/>
    </xf>
    <xf numFmtId="0" fontId="0" fillId="3" borderId="0" xfId="0" applyFill="1" applyAlignment="1">
      <alignment horizontal="left" vertical="top" wrapText="1"/>
    </xf>
    <xf numFmtId="0" fontId="0" fillId="3" borderId="10" xfId="0" applyFill="1" applyBorder="1" applyAlignment="1">
      <alignment horizontal="left" vertical="top" wrapText="1"/>
    </xf>
    <xf numFmtId="0" fontId="0" fillId="3" borderId="11" xfId="0" applyFill="1" applyBorder="1" applyAlignment="1">
      <alignment horizontal="left" vertical="top" wrapText="1"/>
    </xf>
    <xf numFmtId="0" fontId="0" fillId="3" borderId="12" xfId="0" applyFill="1" applyBorder="1" applyAlignment="1">
      <alignment horizontal="left" vertical="top" wrapText="1"/>
    </xf>
    <xf numFmtId="0" fontId="0" fillId="3" borderId="13" xfId="0" applyFill="1" applyBorder="1" applyAlignment="1">
      <alignment horizontal="left" vertical="top" wrapText="1"/>
    </xf>
    <xf numFmtId="0" fontId="1" fillId="0" borderId="3" xfId="0" applyFont="1" applyBorder="1" applyAlignment="1">
      <alignment horizontal="left"/>
    </xf>
    <xf numFmtId="0" fontId="1" fillId="0" borderId="4" xfId="0" applyFont="1" applyBorder="1" applyAlignment="1">
      <alignment horizontal="left"/>
    </xf>
    <xf numFmtId="0" fontId="1" fillId="0" borderId="5" xfId="0" applyFont="1" applyBorder="1" applyAlignment="1">
      <alignment horizontal="left"/>
    </xf>
    <xf numFmtId="0" fontId="9" fillId="0" borderId="3" xfId="0" applyFont="1" applyBorder="1" applyAlignment="1">
      <alignment horizontal="left"/>
    </xf>
    <xf numFmtId="0" fontId="9" fillId="0" borderId="4" xfId="0" applyFont="1" applyBorder="1" applyAlignment="1">
      <alignment horizontal="left"/>
    </xf>
    <xf numFmtId="0" fontId="9" fillId="0" borderId="5" xfId="0" applyFont="1" applyBorder="1" applyAlignment="1">
      <alignment horizontal="left"/>
    </xf>
    <xf numFmtId="0" fontId="7" fillId="0" borderId="6" xfId="0" applyFont="1" applyBorder="1" applyAlignment="1">
      <alignment horizontal="center" wrapText="1"/>
    </xf>
    <xf numFmtId="0" fontId="7" fillId="0" borderId="7" xfId="0" applyFont="1" applyBorder="1" applyAlignment="1">
      <alignment horizontal="center" wrapText="1"/>
    </xf>
    <xf numFmtId="0" fontId="7" fillId="0" borderId="11" xfId="0" applyFont="1" applyBorder="1" applyAlignment="1">
      <alignment horizontal="center" wrapText="1"/>
    </xf>
    <xf numFmtId="0" fontId="7" fillId="0" borderId="12" xfId="0" applyFont="1" applyBorder="1" applyAlignment="1">
      <alignment horizontal="center" wrapText="1"/>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4" fillId="5" borderId="3" xfId="0" applyFont="1" applyFill="1" applyBorder="1" applyAlignment="1">
      <alignment horizontal="center"/>
    </xf>
    <xf numFmtId="0" fontId="4" fillId="5" borderId="4" xfId="0" applyFont="1" applyFill="1" applyBorder="1" applyAlignment="1">
      <alignment horizontal="center"/>
    </xf>
    <xf numFmtId="0" fontId="9" fillId="0" borderId="6" xfId="0" applyFont="1" applyBorder="1" applyAlignment="1">
      <alignment horizontal="left" wrapText="1"/>
    </xf>
    <xf numFmtId="0" fontId="9" fillId="0" borderId="7" xfId="0" applyFont="1" applyBorder="1" applyAlignment="1">
      <alignment horizontal="left" wrapText="1"/>
    </xf>
    <xf numFmtId="0" fontId="9" fillId="0" borderId="8" xfId="0" applyFont="1" applyBorder="1" applyAlignment="1">
      <alignment horizontal="left" wrapText="1"/>
    </xf>
    <xf numFmtId="0" fontId="9" fillId="0" borderId="11" xfId="0" applyFont="1" applyBorder="1" applyAlignment="1">
      <alignment horizontal="left" wrapText="1"/>
    </xf>
    <xf numFmtId="0" fontId="9" fillId="0" borderId="12" xfId="0" applyFont="1" applyBorder="1" applyAlignment="1">
      <alignment horizontal="left" wrapText="1"/>
    </xf>
    <xf numFmtId="0" fontId="9" fillId="0" borderId="13" xfId="0" applyFont="1" applyBorder="1" applyAlignment="1">
      <alignment horizontal="left" wrapText="1"/>
    </xf>
    <xf numFmtId="0" fontId="0" fillId="0" borderId="1" xfId="0" applyBorder="1" applyAlignment="1">
      <alignment horizontal="left"/>
    </xf>
    <xf numFmtId="0" fontId="12" fillId="0" borderId="0" xfId="0" applyFont="1" applyAlignment="1">
      <alignment horizontal="left" wrapText="1"/>
    </xf>
    <xf numFmtId="0" fontId="12" fillId="0" borderId="0" xfId="0" applyFont="1" applyAlignment="1">
      <alignment horizontal="left"/>
    </xf>
    <xf numFmtId="0" fontId="0" fillId="2" borderId="1" xfId="0" applyFill="1" applyBorder="1" applyAlignment="1">
      <alignment horizontal="center"/>
    </xf>
    <xf numFmtId="0" fontId="2" fillId="0" borderId="1" xfId="0" applyFont="1" applyBorder="1" applyAlignment="1">
      <alignment horizontal="center"/>
    </xf>
    <xf numFmtId="0" fontId="2" fillId="3" borderId="1" xfId="0" applyFont="1" applyFill="1" applyBorder="1" applyAlignment="1">
      <alignment horizontal="center"/>
    </xf>
    <xf numFmtId="0" fontId="2" fillId="6" borderId="1" xfId="0" applyFont="1" applyFill="1" applyBorder="1" applyAlignment="1">
      <alignment horizontal="center"/>
    </xf>
    <xf numFmtId="0" fontId="3" fillId="0" borderId="0" xfId="0" applyFont="1" applyAlignment="1">
      <alignment horizontal="center"/>
    </xf>
    <xf numFmtId="0" fontId="14" fillId="0" borderId="15" xfId="0" applyFont="1" applyBorder="1" applyAlignment="1">
      <alignment horizontal="center" vertical="center" textRotation="90" wrapText="1"/>
    </xf>
    <xf numFmtId="0" fontId="14" fillId="0" borderId="16" xfId="0" applyFont="1" applyBorder="1" applyAlignment="1">
      <alignment horizontal="center" vertical="center" textRotation="90" wrapText="1"/>
    </xf>
    <xf numFmtId="0" fontId="14" fillId="0" borderId="17" xfId="0" applyFont="1" applyBorder="1" applyAlignment="1">
      <alignment horizontal="center" vertical="center" textRotation="90" wrapText="1"/>
    </xf>
    <xf numFmtId="0" fontId="9" fillId="2" borderId="3" xfId="0" applyFont="1" applyFill="1" applyBorder="1" applyAlignment="1">
      <alignment horizontal="center"/>
    </xf>
    <xf numFmtId="0" fontId="9" fillId="2" borderId="4" xfId="0" applyFont="1" applyFill="1" applyBorder="1" applyAlignment="1">
      <alignment horizontal="center"/>
    </xf>
    <xf numFmtId="0" fontId="9" fillId="2" borderId="5" xfId="0" applyFont="1" applyFill="1" applyBorder="1" applyAlignment="1">
      <alignment horizontal="center"/>
    </xf>
    <xf numFmtId="0" fontId="0" fillId="7" borderId="3" xfId="0" applyFill="1" applyBorder="1" applyAlignment="1">
      <alignment horizontal="center"/>
    </xf>
    <xf numFmtId="0" fontId="0" fillId="7" borderId="4" xfId="0" applyFill="1" applyBorder="1" applyAlignment="1">
      <alignment horizontal="center"/>
    </xf>
    <xf numFmtId="0" fontId="0" fillId="7" borderId="5" xfId="0" applyFill="1" applyBorder="1" applyAlignment="1">
      <alignment horizontal="center"/>
    </xf>
    <xf numFmtId="0" fontId="2" fillId="5" borderId="3" xfId="0" applyFont="1" applyFill="1" applyBorder="1" applyAlignment="1">
      <alignment horizontal="center"/>
    </xf>
    <xf numFmtId="0" fontId="2" fillId="5" borderId="5" xfId="0" applyFont="1" applyFill="1" applyBorder="1" applyAlignment="1">
      <alignment horizontal="center"/>
    </xf>
    <xf numFmtId="0" fontId="10" fillId="5" borderId="3" xfId="0" applyFont="1" applyFill="1" applyBorder="1" applyAlignment="1">
      <alignment horizontal="center"/>
    </xf>
    <xf numFmtId="0" fontId="2" fillId="5" borderId="4" xfId="0" applyFont="1" applyFill="1" applyBorder="1" applyAlignment="1">
      <alignment horizontal="center"/>
    </xf>
    <xf numFmtId="0" fontId="0" fillId="0" borderId="6" xfId="0" applyBorder="1" applyAlignment="1">
      <alignment horizontal="center" wrapText="1"/>
    </xf>
    <xf numFmtId="0" fontId="0" fillId="0" borderId="7" xfId="0" applyBorder="1" applyAlignment="1">
      <alignment horizontal="center" wrapText="1"/>
    </xf>
    <xf numFmtId="0" fontId="0" fillId="0" borderId="8" xfId="0" applyBorder="1" applyAlignment="1">
      <alignment horizontal="center" wrapText="1"/>
    </xf>
    <xf numFmtId="0" fontId="0" fillId="0" borderId="11" xfId="0" applyBorder="1" applyAlignment="1">
      <alignment horizontal="center" wrapText="1"/>
    </xf>
    <xf numFmtId="0" fontId="0" fillId="0" borderId="12" xfId="0" applyBorder="1" applyAlignment="1">
      <alignment horizontal="center" wrapText="1"/>
    </xf>
    <xf numFmtId="0" fontId="0" fillId="0" borderId="13" xfId="0" applyBorder="1" applyAlignment="1">
      <alignment horizontal="center" wrapText="1"/>
    </xf>
    <xf numFmtId="0" fontId="2" fillId="7" borderId="3" xfId="0" applyFont="1" applyFill="1" applyBorder="1" applyAlignment="1">
      <alignment horizontal="center"/>
    </xf>
    <xf numFmtId="0" fontId="2" fillId="7" borderId="4" xfId="0" applyFont="1" applyFill="1" applyBorder="1" applyAlignment="1">
      <alignment horizontal="center"/>
    </xf>
    <xf numFmtId="0" fontId="2" fillId="0" borderId="3" xfId="0" applyFont="1" applyBorder="1" applyAlignment="1">
      <alignment horizontal="left"/>
    </xf>
    <xf numFmtId="0" fontId="2" fillId="0" borderId="5" xfId="0" applyFont="1" applyBorder="1" applyAlignment="1">
      <alignment horizontal="left"/>
    </xf>
    <xf numFmtId="0" fontId="0" fillId="0" borderId="3" xfId="0" applyBorder="1" applyAlignment="1">
      <alignment horizontal="left"/>
    </xf>
    <xf numFmtId="0" fontId="0" fillId="0" borderId="4" xfId="0" applyBorder="1" applyAlignment="1">
      <alignment horizontal="left"/>
    </xf>
    <xf numFmtId="0" fontId="0" fillId="0" borderId="5" xfId="0" applyBorder="1" applyAlignment="1">
      <alignment horizontal="left"/>
    </xf>
    <xf numFmtId="0" fontId="0" fillId="2" borderId="1" xfId="0" applyFill="1" applyBorder="1" applyAlignment="1">
      <alignment horizontal="center" wrapText="1"/>
    </xf>
    <xf numFmtId="0" fontId="0" fillId="2" borderId="3" xfId="0" applyFill="1" applyBorder="1" applyAlignment="1">
      <alignment horizontal="center" wrapText="1"/>
    </xf>
    <xf numFmtId="0" fontId="0" fillId="0" borderId="1" xfId="0" applyBorder="1" applyAlignment="1">
      <alignment horizontal="center"/>
    </xf>
    <xf numFmtId="0" fontId="4" fillId="8" borderId="1" xfId="0" applyFont="1" applyFill="1" applyBorder="1" applyAlignment="1">
      <alignment horizontal="center"/>
    </xf>
    <xf numFmtId="0" fontId="4" fillId="8" borderId="3" xfId="0" applyFont="1" applyFill="1" applyBorder="1" applyAlignment="1">
      <alignment horizontal="center"/>
    </xf>
    <xf numFmtId="0" fontId="4" fillId="8" borderId="4" xfId="0" applyFont="1" applyFill="1" applyBorder="1" applyAlignment="1">
      <alignment horizontal="center"/>
    </xf>
    <xf numFmtId="0" fontId="4" fillId="8" borderId="5" xfId="0" applyFont="1" applyFill="1" applyBorder="1" applyAlignment="1">
      <alignment horizontal="center"/>
    </xf>
    <xf numFmtId="0" fontId="6" fillId="8" borderId="1" xfId="0" applyFont="1" applyFill="1" applyBorder="1" applyAlignment="1">
      <alignment horizontal="center" vertical="center" textRotation="90"/>
    </xf>
    <xf numFmtId="0" fontId="5" fillId="8" borderId="1" xfId="0" applyFont="1" applyFill="1" applyBorder="1" applyAlignment="1">
      <alignment horizontal="center" vertical="center" textRotation="90"/>
    </xf>
    <xf numFmtId="0" fontId="2" fillId="9" borderId="1" xfId="0" applyFont="1" applyFill="1" applyBorder="1" applyAlignment="1">
      <alignment horizontal="center"/>
    </xf>
    <xf numFmtId="0" fontId="0" fillId="0" borderId="14" xfId="0" applyBorder="1" applyAlignment="1">
      <alignment horizontal="center"/>
    </xf>
    <xf numFmtId="0" fontId="15" fillId="0" borderId="3" xfId="0" applyFont="1" applyBorder="1" applyAlignment="1">
      <alignment horizontal="center"/>
    </xf>
    <xf numFmtId="0" fontId="15" fillId="0" borderId="5" xfId="0" applyFont="1" applyBorder="1" applyAlignment="1">
      <alignment horizontal="center"/>
    </xf>
    <xf numFmtId="0" fontId="34" fillId="0" borderId="1" xfId="0" applyFont="1" applyBorder="1" applyAlignment="1">
      <alignment horizontal="center"/>
    </xf>
    <xf numFmtId="0" fontId="34" fillId="0" borderId="3" xfId="0" applyFont="1" applyBorder="1" applyAlignment="1">
      <alignment horizontal="center"/>
    </xf>
    <xf numFmtId="0" fontId="2" fillId="13" borderId="36" xfId="0" applyFont="1" applyFill="1" applyBorder="1" applyAlignment="1">
      <alignment horizontal="center"/>
    </xf>
    <xf numFmtId="0" fontId="2" fillId="13" borderId="37" xfId="0" applyFont="1" applyFill="1" applyBorder="1" applyAlignment="1">
      <alignment horizontal="center"/>
    </xf>
    <xf numFmtId="0" fontId="2" fillId="13" borderId="38" xfId="0" applyFont="1" applyFill="1" applyBorder="1" applyAlignment="1">
      <alignment horizontal="center"/>
    </xf>
    <xf numFmtId="0" fontId="0" fillId="0" borderId="34" xfId="0" applyBorder="1" applyAlignment="1">
      <alignment horizontal="center"/>
    </xf>
    <xf numFmtId="0" fontId="15" fillId="0" borderId="1" xfId="0" applyFont="1" applyBorder="1" applyAlignment="1">
      <alignment horizontal="center"/>
    </xf>
    <xf numFmtId="0" fontId="2" fillId="10" borderId="48" xfId="0" applyFont="1" applyFill="1" applyBorder="1" applyAlignment="1">
      <alignment horizontal="center"/>
    </xf>
    <xf numFmtId="0" fontId="2" fillId="10" borderId="49" xfId="0" applyFont="1" applyFill="1" applyBorder="1" applyAlignment="1">
      <alignment horizontal="center"/>
    </xf>
    <xf numFmtId="0" fontId="2" fillId="10" borderId="50" xfId="0" applyFont="1" applyFill="1" applyBorder="1" applyAlignment="1">
      <alignment horizontal="center"/>
    </xf>
    <xf numFmtId="0" fontId="2" fillId="6" borderId="42" xfId="0" applyFont="1" applyFill="1" applyBorder="1" applyAlignment="1">
      <alignment horizontal="center"/>
    </xf>
    <xf numFmtId="0" fontId="2" fillId="6" borderId="43" xfId="0" applyFont="1" applyFill="1" applyBorder="1" applyAlignment="1">
      <alignment horizontal="center"/>
    </xf>
    <xf numFmtId="0" fontId="2" fillId="6" borderId="44" xfId="0" applyFont="1" applyFill="1" applyBorder="1" applyAlignment="1">
      <alignment horizontal="center"/>
    </xf>
    <xf numFmtId="0" fontId="29" fillId="0" borderId="14" xfId="0" applyFont="1" applyBorder="1" applyAlignment="1">
      <alignment horizontal="center" wrapText="1"/>
    </xf>
    <xf numFmtId="0" fontId="20" fillId="2" borderId="1" xfId="0" applyFont="1" applyFill="1" applyBorder="1" applyAlignment="1">
      <alignment horizontal="left"/>
    </xf>
    <xf numFmtId="0" fontId="2" fillId="13" borderId="48" xfId="0" applyFont="1" applyFill="1" applyBorder="1" applyAlignment="1">
      <alignment horizontal="center"/>
    </xf>
    <xf numFmtId="0" fontId="2" fillId="13" borderId="49" xfId="0" applyFont="1" applyFill="1" applyBorder="1" applyAlignment="1">
      <alignment horizontal="center"/>
    </xf>
    <xf numFmtId="0" fontId="2" fillId="13" borderId="50" xfId="0" applyFont="1" applyFill="1" applyBorder="1" applyAlignment="1">
      <alignment horizontal="center"/>
    </xf>
    <xf numFmtId="0" fontId="20" fillId="2" borderId="2" xfId="0" applyFont="1" applyFill="1" applyBorder="1" applyAlignment="1">
      <alignment horizontal="left"/>
    </xf>
    <xf numFmtId="0" fontId="0" fillId="0" borderId="0" xfId="0" applyAlignment="1">
      <alignment horizontal="center" vertical="center" wrapText="1"/>
    </xf>
    <xf numFmtId="0" fontId="2" fillId="11" borderId="48" xfId="0" applyFont="1" applyFill="1" applyBorder="1" applyAlignment="1">
      <alignment horizontal="center"/>
    </xf>
    <xf numFmtId="0" fontId="2" fillId="11" borderId="49" xfId="0" applyFont="1" applyFill="1" applyBorder="1" applyAlignment="1">
      <alignment horizontal="center"/>
    </xf>
    <xf numFmtId="0" fontId="2" fillId="11" borderId="50" xfId="0" applyFont="1" applyFill="1" applyBorder="1" applyAlignment="1">
      <alignment horizontal="center"/>
    </xf>
    <xf numFmtId="0" fontId="9" fillId="0" borderId="3" xfId="0" applyFont="1" applyBorder="1" applyAlignment="1">
      <alignment horizontal="center"/>
    </xf>
    <xf numFmtId="0" fontId="9" fillId="0" borderId="4" xfId="0" applyFont="1" applyBorder="1" applyAlignment="1">
      <alignment horizontal="center"/>
    </xf>
    <xf numFmtId="0" fontId="9" fillId="0" borderId="5" xfId="0" applyFont="1" applyBorder="1" applyAlignment="1">
      <alignment horizontal="center"/>
    </xf>
    <xf numFmtId="0" fontId="9" fillId="0" borderId="6" xfId="0" applyFont="1" applyBorder="1" applyAlignment="1">
      <alignment horizontal="center" wrapText="1"/>
    </xf>
    <xf numFmtId="0" fontId="9" fillId="0" borderId="7" xfId="0" applyFont="1" applyBorder="1" applyAlignment="1">
      <alignment horizontal="center" wrapText="1"/>
    </xf>
    <xf numFmtId="0" fontId="9" fillId="0" borderId="8" xfId="0" applyFont="1" applyBorder="1" applyAlignment="1">
      <alignment horizontal="center" wrapText="1"/>
    </xf>
    <xf numFmtId="0" fontId="9" fillId="0" borderId="11" xfId="0" applyFont="1" applyBorder="1" applyAlignment="1">
      <alignment horizontal="center" wrapText="1"/>
    </xf>
    <xf numFmtId="0" fontId="9" fillId="0" borderId="12" xfId="0" applyFont="1" applyBorder="1" applyAlignment="1">
      <alignment horizontal="center" wrapText="1"/>
    </xf>
    <xf numFmtId="0" fontId="9" fillId="0" borderId="13" xfId="0" applyFont="1" applyBorder="1" applyAlignment="1">
      <alignment horizontal="center" wrapText="1"/>
    </xf>
    <xf numFmtId="0" fontId="1" fillId="0" borderId="3" xfId="0" applyFont="1" applyBorder="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0" fillId="0" borderId="26" xfId="0" applyBorder="1" applyAlignment="1">
      <alignment horizontal="left" vertical="top" wrapText="1"/>
    </xf>
    <xf numFmtId="0" fontId="0" fillId="0" borderId="27" xfId="0" applyBorder="1" applyAlignment="1">
      <alignment horizontal="left" vertical="top" wrapText="1"/>
    </xf>
    <xf numFmtId="0" fontId="0" fillId="0" borderId="29" xfId="0" applyBorder="1" applyAlignment="1">
      <alignment horizontal="left" vertical="top" wrapText="1"/>
    </xf>
    <xf numFmtId="0" fontId="0" fillId="0" borderId="0" xfId="0" applyAlignment="1">
      <alignment horizontal="left" vertical="top" wrapText="1"/>
    </xf>
    <xf numFmtId="0" fontId="0" fillId="0" borderId="31" xfId="0" applyBorder="1" applyAlignment="1">
      <alignment horizontal="left" vertical="top" wrapText="1"/>
    </xf>
    <xf numFmtId="0" fontId="0" fillId="0" borderId="32" xfId="0" applyBorder="1" applyAlignment="1">
      <alignment horizontal="left" vertical="top" wrapText="1"/>
    </xf>
    <xf numFmtId="0" fontId="0" fillId="0" borderId="11" xfId="0" applyBorder="1" applyAlignment="1">
      <alignment horizontal="center"/>
    </xf>
    <xf numFmtId="0" fontId="0" fillId="0" borderId="12" xfId="0" applyBorder="1" applyAlignment="1">
      <alignment horizontal="center"/>
    </xf>
    <xf numFmtId="0" fontId="9" fillId="0" borderId="14" xfId="0" applyFont="1" applyBorder="1" applyAlignment="1">
      <alignment horizontal="center"/>
    </xf>
    <xf numFmtId="0" fontId="16" fillId="0" borderId="18" xfId="0" applyFont="1" applyBorder="1" applyAlignment="1">
      <alignment horizontal="center" vertical="center"/>
    </xf>
    <xf numFmtId="0" fontId="16" fillId="0" borderId="19" xfId="0" applyFont="1" applyBorder="1" applyAlignment="1">
      <alignment horizontal="center" vertical="center"/>
    </xf>
    <xf numFmtId="0" fontId="16" fillId="0" borderId="20" xfId="0" applyFont="1" applyBorder="1" applyAlignment="1">
      <alignment horizontal="center" vertical="center"/>
    </xf>
    <xf numFmtId="0" fontId="16" fillId="0" borderId="21" xfId="0" applyFont="1" applyBorder="1" applyAlignment="1">
      <alignment horizontal="center" vertical="center"/>
    </xf>
    <xf numFmtId="0" fontId="16" fillId="0" borderId="1" xfId="0" applyFont="1" applyBorder="1" applyAlignment="1">
      <alignment horizontal="center" vertical="center"/>
    </xf>
    <xf numFmtId="0" fontId="16" fillId="0" borderId="25" xfId="0" applyFont="1" applyBorder="1" applyAlignment="1">
      <alignment horizontal="center" vertical="center"/>
    </xf>
    <xf numFmtId="0" fontId="16" fillId="0" borderId="22" xfId="0" applyFont="1" applyBorder="1" applyAlignment="1">
      <alignment horizontal="center" vertical="center"/>
    </xf>
    <xf numFmtId="0" fontId="16" fillId="0" borderId="23" xfId="0" applyFont="1" applyBorder="1" applyAlignment="1">
      <alignment horizontal="center" vertical="center"/>
    </xf>
    <xf numFmtId="0" fontId="16" fillId="0" borderId="2" xfId="0" applyFont="1" applyBorder="1" applyAlignment="1">
      <alignment horizontal="center" vertical="center"/>
    </xf>
    <xf numFmtId="0" fontId="16" fillId="0" borderId="24" xfId="0" applyFont="1" applyBorder="1" applyAlignment="1">
      <alignment horizontal="center" vertical="center"/>
    </xf>
    <xf numFmtId="0" fontId="6" fillId="13" borderId="39" xfId="0" applyFont="1" applyFill="1" applyBorder="1" applyAlignment="1">
      <alignment horizontal="center" vertical="center" textRotation="90"/>
    </xf>
    <xf numFmtId="0" fontId="5" fillId="13" borderId="40" xfId="0" applyFont="1" applyFill="1" applyBorder="1" applyAlignment="1">
      <alignment horizontal="center" vertical="center" textRotation="90"/>
    </xf>
    <xf numFmtId="0" fontId="5" fillId="13" borderId="41" xfId="0" applyFont="1" applyFill="1" applyBorder="1" applyAlignment="1">
      <alignment horizontal="center" vertical="center" textRotation="90"/>
    </xf>
    <xf numFmtId="0" fontId="2" fillId="0" borderId="5" xfId="0" applyFont="1" applyBorder="1" applyAlignment="1">
      <alignment horizontal="center"/>
    </xf>
    <xf numFmtId="0" fontId="2" fillId="2" borderId="5" xfId="0" applyFont="1" applyFill="1" applyBorder="1" applyAlignment="1">
      <alignment horizontal="center"/>
    </xf>
    <xf numFmtId="0" fontId="2" fillId="2" borderId="1" xfId="0" applyFont="1" applyFill="1" applyBorder="1" applyAlignment="1">
      <alignment horizontal="center"/>
    </xf>
    <xf numFmtId="0" fontId="0" fillId="0" borderId="28" xfId="0" applyBorder="1" applyAlignment="1">
      <alignment horizontal="left" vertical="top" wrapText="1"/>
    </xf>
    <xf numFmtId="0" fontId="0" fillId="0" borderId="30" xfId="0" applyBorder="1" applyAlignment="1">
      <alignment horizontal="left" vertical="top" wrapText="1"/>
    </xf>
    <xf numFmtId="0" fontId="0" fillId="0" borderId="33" xfId="0" applyBorder="1" applyAlignment="1">
      <alignment horizontal="left" vertical="top" wrapText="1"/>
    </xf>
    <xf numFmtId="0" fontId="2" fillId="9" borderId="42" xfId="0" applyFont="1" applyFill="1" applyBorder="1" applyAlignment="1">
      <alignment horizontal="center"/>
    </xf>
    <xf numFmtId="0" fontId="2" fillId="9" borderId="43" xfId="0" applyFont="1" applyFill="1" applyBorder="1" applyAlignment="1">
      <alignment horizontal="center"/>
    </xf>
    <xf numFmtId="0" fontId="2" fillId="9" borderId="44" xfId="0" applyFont="1" applyFill="1" applyBorder="1" applyAlignment="1">
      <alignment horizontal="center"/>
    </xf>
    <xf numFmtId="0" fontId="4" fillId="13" borderId="36" xfId="0" applyFont="1" applyFill="1" applyBorder="1" applyAlignment="1">
      <alignment horizontal="center"/>
    </xf>
    <xf numFmtId="0" fontId="4" fillId="13" borderId="37" xfId="0" applyFont="1" applyFill="1" applyBorder="1" applyAlignment="1">
      <alignment horizontal="center"/>
    </xf>
    <xf numFmtId="0" fontId="4" fillId="13" borderId="38" xfId="0" applyFont="1" applyFill="1" applyBorder="1" applyAlignment="1">
      <alignment horizontal="center"/>
    </xf>
    <xf numFmtId="0" fontId="0" fillId="13" borderId="45" xfId="0" applyFill="1" applyBorder="1" applyAlignment="1">
      <alignment horizontal="center" wrapText="1"/>
    </xf>
    <xf numFmtId="0" fontId="0" fillId="13" borderId="46" xfId="0" applyFill="1" applyBorder="1" applyAlignment="1">
      <alignment horizontal="center" wrapText="1"/>
    </xf>
    <xf numFmtId="0" fontId="0" fillId="13" borderId="47" xfId="0" applyFill="1" applyBorder="1" applyAlignment="1">
      <alignment horizontal="center" wrapText="1"/>
    </xf>
    <xf numFmtId="0" fontId="10" fillId="2" borderId="3" xfId="0" applyFont="1" applyFill="1" applyBorder="1" applyAlignment="1">
      <alignment horizontal="center"/>
    </xf>
    <xf numFmtId="0" fontId="10" fillId="2" borderId="5" xfId="0" applyFont="1" applyFill="1" applyBorder="1" applyAlignment="1">
      <alignment horizontal="center"/>
    </xf>
    <xf numFmtId="0" fontId="10" fillId="0" borderId="6" xfId="0" applyFont="1" applyBorder="1" applyAlignment="1">
      <alignment horizontal="center" wrapText="1"/>
    </xf>
    <xf numFmtId="0" fontId="10" fillId="0" borderId="7" xfId="0" applyFont="1" applyBorder="1" applyAlignment="1">
      <alignment horizontal="center" wrapText="1"/>
    </xf>
    <xf numFmtId="0" fontId="10" fillId="0" borderId="8" xfId="0" applyFont="1" applyBorder="1" applyAlignment="1">
      <alignment horizontal="center" wrapText="1"/>
    </xf>
    <xf numFmtId="0" fontId="10" fillId="0" borderId="11" xfId="0" applyFont="1" applyBorder="1" applyAlignment="1">
      <alignment horizontal="center" wrapText="1"/>
    </xf>
    <xf numFmtId="0" fontId="10" fillId="0" borderId="12" xfId="0" applyFont="1" applyBorder="1" applyAlignment="1">
      <alignment horizontal="center" wrapText="1"/>
    </xf>
    <xf numFmtId="0" fontId="10" fillId="0" borderId="13" xfId="0" applyFont="1" applyBorder="1" applyAlignment="1">
      <alignment horizontal="center" wrapText="1"/>
    </xf>
    <xf numFmtId="0" fontId="2" fillId="2" borderId="6" xfId="0" applyFont="1" applyFill="1" applyBorder="1" applyAlignment="1">
      <alignment horizontal="center"/>
    </xf>
    <xf numFmtId="0" fontId="2" fillId="2" borderId="8" xfId="0" applyFont="1" applyFill="1" applyBorder="1" applyAlignment="1">
      <alignment horizontal="center"/>
    </xf>
    <xf numFmtId="0" fontId="10" fillId="0" borderId="6" xfId="0" applyFont="1" applyBorder="1" applyAlignment="1">
      <alignment horizontal="center"/>
    </xf>
    <xf numFmtId="0" fontId="10" fillId="0" borderId="7" xfId="0" applyFont="1" applyBorder="1" applyAlignment="1">
      <alignment horizontal="center"/>
    </xf>
    <xf numFmtId="0" fontId="10" fillId="0" borderId="8" xfId="0" applyFont="1" applyBorder="1" applyAlignment="1">
      <alignment horizontal="center"/>
    </xf>
    <xf numFmtId="0" fontId="2" fillId="12" borderId="36" xfId="0" applyFont="1" applyFill="1" applyBorder="1" applyAlignment="1">
      <alignment horizontal="center"/>
    </xf>
    <xf numFmtId="0" fontId="2" fillId="12" borderId="37" xfId="0" applyFont="1" applyFill="1" applyBorder="1" applyAlignment="1">
      <alignment horizontal="center"/>
    </xf>
    <xf numFmtId="0" fontId="2" fillId="12" borderId="38" xfId="0" applyFont="1" applyFill="1" applyBorder="1" applyAlignment="1">
      <alignment horizontal="center"/>
    </xf>
    <xf numFmtId="0" fontId="9" fillId="0" borderId="1" xfId="0" applyFont="1" applyBorder="1" applyAlignment="1">
      <alignment horizontal="center"/>
    </xf>
    <xf numFmtId="0" fontId="2" fillId="0" borderId="0" xfId="0" applyFont="1" applyAlignment="1">
      <alignment horizontal="left"/>
    </xf>
    <xf numFmtId="0" fontId="4" fillId="10" borderId="48" xfId="0" applyFont="1" applyFill="1" applyBorder="1" applyAlignment="1">
      <alignment horizontal="center"/>
    </xf>
    <xf numFmtId="0" fontId="4" fillId="10" borderId="49" xfId="0" applyFont="1" applyFill="1" applyBorder="1" applyAlignment="1">
      <alignment horizontal="center"/>
    </xf>
    <xf numFmtId="0" fontId="4" fillId="10" borderId="50" xfId="0" applyFont="1" applyFill="1" applyBorder="1" applyAlignment="1">
      <alignment horizontal="center"/>
    </xf>
    <xf numFmtId="0" fontId="0" fillId="2" borderId="36" xfId="0" applyFill="1" applyBorder="1" applyAlignment="1">
      <alignment horizontal="center"/>
    </xf>
    <xf numFmtId="0" fontId="0" fillId="2" borderId="37" xfId="0" applyFill="1" applyBorder="1" applyAlignment="1">
      <alignment horizontal="center"/>
    </xf>
    <xf numFmtId="0" fontId="0" fillId="2" borderId="38" xfId="0" applyFill="1" applyBorder="1" applyAlignment="1">
      <alignment horizontal="center"/>
    </xf>
    <xf numFmtId="0" fontId="2" fillId="6" borderId="36" xfId="0" applyFont="1" applyFill="1" applyBorder="1" applyAlignment="1">
      <alignment horizontal="center"/>
    </xf>
    <xf numFmtId="0" fontId="2" fillId="6" borderId="37" xfId="0" applyFont="1" applyFill="1" applyBorder="1" applyAlignment="1">
      <alignment horizontal="center"/>
    </xf>
    <xf numFmtId="0" fontId="2" fillId="6" borderId="38" xfId="0" applyFont="1" applyFill="1" applyBorder="1" applyAlignment="1">
      <alignment horizontal="center"/>
    </xf>
    <xf numFmtId="0" fontId="0" fillId="2" borderId="45" xfId="0" applyFill="1" applyBorder="1" applyAlignment="1">
      <alignment horizontal="center"/>
    </xf>
    <xf numFmtId="0" fontId="0" fillId="2" borderId="46" xfId="0" applyFill="1" applyBorder="1" applyAlignment="1">
      <alignment horizontal="center"/>
    </xf>
    <xf numFmtId="0" fontId="0" fillId="2" borderId="47" xfId="0" applyFill="1" applyBorder="1" applyAlignment="1">
      <alignment horizontal="center"/>
    </xf>
  </cellXfs>
  <cellStyles count="3">
    <cellStyle name="Normal" xfId="0" builtinId="0"/>
    <cellStyle name="Normal 10" xfId="2" xr:uid="{07904738-35C9-49B9-BBA5-CF9F2DF33B85}"/>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iagrams/colors1.xml><?xml version="1.0" encoding="utf-8"?>
<dgm:colorsDef xmlns:dgm="http://schemas.openxmlformats.org/drawingml/2006/diagram" xmlns:a="http://schemas.openxmlformats.org/drawingml/2006/main" uniqueId="urn:microsoft.com/office/officeart/2005/8/colors/colorful1">
  <dgm:title val=""/>
  <dgm:desc val=""/>
  <dgm:catLst>
    <dgm:cat type="colorful" pri="10100"/>
  </dgm:catLst>
  <dgm:styleLbl name="node0">
    <dgm:fillClrLst meth="repeat">
      <a:schemeClr val="accent1"/>
    </dgm:fillClrLst>
    <dgm:linClrLst meth="repeat">
      <a:schemeClr val="lt1"/>
    </dgm:linClrLst>
    <dgm:effectClrLst/>
    <dgm:txLinClrLst/>
    <dgm:txFillClrLst/>
    <dgm:txEffectClrLst/>
  </dgm:styleLbl>
  <dgm:styleLbl name="node1">
    <dgm:fillClrLst meth="repeat">
      <a:schemeClr val="accent2"/>
      <a:schemeClr val="accent3"/>
      <a:schemeClr val="accent4"/>
      <a:schemeClr val="accent5"/>
      <a:schemeClr val="accent6"/>
    </dgm:fillClrLst>
    <dgm:linClrLst meth="repeat">
      <a:schemeClr val="lt1"/>
    </dgm:linClrLst>
    <dgm:effectClrLst/>
    <dgm:txLinClrLst/>
    <dgm:txFillClrLst/>
    <dgm:txEffectClrLst/>
  </dgm:styleLbl>
  <dgm:styleLbl name="alignNode1">
    <dgm:fillClrLst meth="repeat">
      <a:schemeClr val="accent2"/>
      <a:schemeClr val="accent3"/>
      <a:schemeClr val="accent4"/>
      <a:schemeClr val="accent5"/>
      <a:schemeClr val="accent6"/>
    </dgm:fillClrLst>
    <dgm:linClrLst meth="repeat">
      <a:schemeClr val="accent2"/>
      <a:schemeClr val="accent3"/>
      <a:schemeClr val="accent4"/>
      <a:schemeClr val="accent5"/>
      <a:schemeClr val="accent6"/>
    </dgm:linClrLst>
    <dgm:effectClrLst/>
    <dgm:txLinClrLst/>
    <dgm:txFillClrLst/>
    <dgm:txEffectClrLst/>
  </dgm:styleLbl>
  <dgm:styleLbl name="lnNode1">
    <dgm:fillClrLst meth="repeat">
      <a:schemeClr val="accent2"/>
      <a:schemeClr val="accent3"/>
      <a:schemeClr val="accent4"/>
      <a:schemeClr val="accent5"/>
      <a:schemeClr val="accent6"/>
    </dgm:fillClrLst>
    <dgm:linClrLst meth="repeat">
      <a:schemeClr val="lt1"/>
    </dgm:linClrLst>
    <dgm:effectClrLst/>
    <dgm:txLinClrLst/>
    <dgm:txFillClrLst/>
    <dgm:txEffectClrLst/>
  </dgm:styleLbl>
  <dgm:styleLbl name="vennNode1">
    <dgm:fillClrLst meth="repeat">
      <a:schemeClr val="accent2">
        <a:alpha val="50000"/>
      </a:schemeClr>
      <a:schemeClr val="accent3">
        <a:alpha val="50000"/>
      </a:schemeClr>
      <a:schemeClr val="accent4">
        <a:alpha val="50000"/>
      </a:schemeClr>
      <a:schemeClr val="accent5">
        <a:alpha val="50000"/>
      </a:schemeClr>
      <a:schemeClr val="accent6">
        <a:alpha val="50000"/>
      </a:schemeClr>
    </dgm:fillClrLst>
    <dgm:linClrLst meth="repeat">
      <a:schemeClr val="lt1"/>
    </dgm:linClrLst>
    <dgm:effectClrLst/>
    <dgm:txLinClrLst/>
    <dgm:txFillClrLst/>
    <dgm:txEffectClrLst/>
  </dgm:styleLbl>
  <dgm:styleLbl name="node2">
    <dgm:fillClrLst>
      <a:schemeClr val="accent2"/>
    </dgm:fillClrLst>
    <dgm:linClrLst meth="repeat">
      <a:schemeClr val="lt1"/>
    </dgm:linClrLst>
    <dgm:effectClrLst/>
    <dgm:txLinClrLst/>
    <dgm:txFillClrLst/>
    <dgm:txEffectClrLst/>
  </dgm:styleLbl>
  <dgm:styleLbl name="node3">
    <dgm:fillClrLst>
      <a:schemeClr val="accent3"/>
    </dgm:fillClrLst>
    <dgm:linClrLst meth="repeat">
      <a:schemeClr val="lt1"/>
    </dgm:linClrLst>
    <dgm:effectClrLst/>
    <dgm:txLinClrLst/>
    <dgm:txFillClrLst/>
    <dgm:txEffectClrLst/>
  </dgm:styleLbl>
  <dgm:styleLbl name="node4">
    <dgm:fillClrLst>
      <a:schemeClr val="accent4"/>
    </dgm:fillClrLst>
    <dgm:linClrLst meth="repeat">
      <a:schemeClr val="lt1"/>
    </dgm:linClrLst>
    <dgm:effectClrLst/>
    <dgm:txLinClrLst/>
    <dgm:txFillClrLst/>
    <dgm:txEffectClrLst/>
  </dgm:styleLbl>
  <dgm:styleLbl name="fgImgPlace1">
    <dgm:fillClrLst meth="repeat">
      <a:schemeClr val="accent2">
        <a:tint val="50000"/>
      </a:schemeClr>
      <a:schemeClr val="accent3">
        <a:tint val="50000"/>
      </a:schemeClr>
      <a:schemeClr val="accent4">
        <a:tint val="50000"/>
      </a:schemeClr>
      <a:schemeClr val="accent5">
        <a:tint val="50000"/>
      </a:schemeClr>
      <a:schemeClr val="accent6">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1">
        <a:tint val="50000"/>
      </a:schemeClr>
      <a:schemeClr val="accent2">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1">
        <a:tint val="50000"/>
      </a:schemeClr>
      <a:schemeClr val="accent2">
        <a:tint val="2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2"/>
      <a:schemeClr val="accent3"/>
      <a:schemeClr val="accent4"/>
      <a:schemeClr val="accent5"/>
      <a:schemeClr val="accent6"/>
    </dgm:fillClrLst>
    <dgm:linClrLst meth="cycle">
      <a:schemeClr val="lt1"/>
    </dgm:linClrLst>
    <dgm:effectClrLst/>
    <dgm:txLinClrLst/>
    <dgm:txFillClrLst/>
    <dgm:txEffectClrLst/>
  </dgm:styleLbl>
  <dgm:styleLbl name="fgSibTrans2D1">
    <dgm:fillClrLst meth="repeat">
      <a:schemeClr val="accent2"/>
      <a:schemeClr val="accent3"/>
      <a:schemeClr val="accent4"/>
      <a:schemeClr val="accent5"/>
      <a:schemeClr val="accent6"/>
    </dgm:fillClrLst>
    <dgm:linClrLst meth="cycle">
      <a:schemeClr val="lt1"/>
    </dgm:linClrLst>
    <dgm:effectClrLst/>
    <dgm:txLinClrLst/>
    <dgm:txFillClrLst meth="repeat">
      <a:schemeClr val="lt1"/>
    </dgm:txFillClrLst>
    <dgm:txEffectClrLst/>
  </dgm:styleLbl>
  <dgm:styleLbl name="bgSibTrans2D1">
    <dgm:fillClrLst meth="repeat">
      <a:schemeClr val="accent2"/>
      <a:schemeClr val="accent3"/>
      <a:schemeClr val="accent4"/>
      <a:schemeClr val="accent5"/>
      <a:schemeClr val="accent6"/>
    </dgm:fillClrLst>
    <dgm:linClrLst meth="cycle">
      <a:schemeClr val="lt1"/>
    </dgm:linClrLst>
    <dgm:effectClrLst/>
    <dgm:txLinClrLst/>
    <dgm:txFillClrLst meth="repeat">
      <a:schemeClr val="lt1"/>
    </dgm:txFillClrLst>
    <dgm:txEffectClrLst/>
  </dgm:styleLbl>
  <dgm:styleLbl name="sibTrans1D1">
    <dgm:fillClrLst meth="repeat">
      <a:schemeClr val="accent2"/>
      <a:schemeClr val="accent3"/>
      <a:schemeClr val="accent4"/>
      <a:schemeClr val="accent5"/>
      <a:schemeClr val="accent6"/>
    </dgm:fillClrLst>
    <dgm:linClrLst meth="repeat">
      <a:schemeClr val="accent2"/>
      <a:schemeClr val="accent3"/>
      <a:schemeClr val="accent4"/>
      <a:schemeClr val="accent5"/>
      <a:schemeClr val="accent6"/>
    </dgm:linClrLst>
    <dgm:effectClrLst/>
    <dgm:txLinClrLst/>
    <dgm:txFillClrLst meth="repeat">
      <a:schemeClr val="tx1"/>
    </dgm:txFillClrLst>
    <dgm:txEffectClrLst/>
  </dgm:styleLbl>
  <dgm:styleLbl name="callout">
    <dgm:fillClrLst meth="repeat">
      <a:schemeClr val="accent2"/>
    </dgm:fillClrLst>
    <dgm:linClrLst meth="repeat">
      <a:schemeClr val="accent2">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2"/>
    </dgm:fillClrLst>
    <dgm:linClrLst meth="repeat">
      <a:schemeClr val="lt1"/>
    </dgm:linClrLst>
    <dgm:effectClrLst/>
    <dgm:txLinClrLst/>
    <dgm:txFillClrLst/>
    <dgm:txEffectClrLst/>
  </dgm:styleLbl>
  <dgm:styleLbl name="asst2">
    <dgm:fillClrLst>
      <a:schemeClr val="accent3"/>
    </dgm:fillClrLst>
    <dgm:linClrLst meth="repeat">
      <a:schemeClr val="lt1"/>
    </dgm:linClrLst>
    <dgm:effectClrLst/>
    <dgm:txLinClrLst/>
    <dgm:txFillClrLst/>
    <dgm:txEffectClrLst/>
  </dgm:styleLbl>
  <dgm:styleLbl name="asst3">
    <dgm:fillClrLst>
      <a:schemeClr val="accent4"/>
    </dgm:fillClrLst>
    <dgm:linClrLst meth="repeat">
      <a:schemeClr val="lt1"/>
    </dgm:linClrLst>
    <dgm:effectClrLst/>
    <dgm:txLinClrLst/>
    <dgm:txFillClrLst/>
    <dgm:txEffectClrLst/>
  </dgm:styleLbl>
  <dgm:styleLbl name="asst4">
    <dgm:fillClrLst>
      <a:schemeClr val="accent5"/>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2"/>
    </dgm:fillClrLst>
    <dgm:linClrLst meth="repeat">
      <a:schemeClr val="accent1"/>
    </dgm:linClrLst>
    <dgm:effectClrLst/>
    <dgm:txLinClrLst/>
    <dgm:txFillClrLst meth="repeat">
      <a:schemeClr val="tx1"/>
    </dgm:txFillClrLst>
    <dgm:txEffectClrLst/>
  </dgm:styleLbl>
  <dgm:styleLbl name="parChTrans1D2">
    <dgm:fillClrLst meth="repeat">
      <a:schemeClr val="accent3">
        <a:tint val="90000"/>
      </a:schemeClr>
    </dgm:fillClrLst>
    <dgm:linClrLst meth="repeat">
      <a:schemeClr val="accent2"/>
    </dgm:linClrLst>
    <dgm:effectClrLst/>
    <dgm:txLinClrLst/>
    <dgm:txFillClrLst meth="repeat">
      <a:schemeClr val="tx1"/>
    </dgm:txFillClrLst>
    <dgm:txEffectClrLst/>
  </dgm:styleLbl>
  <dgm:styleLbl name="parChTrans1D3">
    <dgm:fillClrLst meth="repeat">
      <a:schemeClr val="accent4">
        <a:tint val="70000"/>
      </a:schemeClr>
    </dgm:fillClrLst>
    <dgm:linClrLst meth="repeat">
      <a:schemeClr val="accent3"/>
    </dgm:linClrLst>
    <dgm:effectClrLst/>
    <dgm:txLinClrLst/>
    <dgm:txFillClrLst meth="repeat">
      <a:schemeClr val="tx1"/>
    </dgm:txFillClrLst>
    <dgm:txEffectClrLst/>
  </dgm:styleLbl>
  <dgm:styleLbl name="parChTrans1D4">
    <dgm:fillClrLst meth="repeat">
      <a:schemeClr val="accent5">
        <a:tint val="50000"/>
      </a:schemeClr>
    </dgm:fillClrLst>
    <dgm:linClrLst meth="repeat">
      <a:schemeClr val="accent4"/>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Fg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Align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Bg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fg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align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bg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1"/>
    </dgm:linClrLst>
    <dgm:effectClrLst/>
    <dgm:txLinClrLst/>
    <dgm:txFillClrLst meth="repeat">
      <a:schemeClr val="dk1"/>
    </dgm:txFillClrLst>
    <dgm:txEffectClrLst/>
  </dgm:styleLbl>
  <dgm:styleLbl name="fgAcc2">
    <dgm:fillClrLst meth="repeat">
      <a:schemeClr val="lt1">
        <a:alpha val="90000"/>
      </a:schemeClr>
    </dgm:fillClrLst>
    <dgm:linClrLst>
      <a:schemeClr val="accent2"/>
    </dgm:linClrLst>
    <dgm:effectClrLst/>
    <dgm:txLinClrLst/>
    <dgm:txFillClrLst meth="repeat">
      <a:schemeClr val="dk1"/>
    </dgm:txFillClrLst>
    <dgm:txEffectClrLst/>
  </dgm:styleLbl>
  <dgm:styleLbl name="fgAcc3">
    <dgm:fillClrLst meth="repeat">
      <a:schemeClr val="lt1">
        <a:alpha val="90000"/>
      </a:schemeClr>
    </dgm:fillClrLst>
    <dgm:linClrLst>
      <a:schemeClr val="accent3"/>
    </dgm:linClrLst>
    <dgm:effectClrLst/>
    <dgm:txLinClrLst/>
    <dgm:txFillClrLst meth="repeat">
      <a:schemeClr val="dk1"/>
    </dgm:txFillClrLst>
    <dgm:txEffectClrLst/>
  </dgm:styleLbl>
  <dgm:styleLbl name="fgAcc4">
    <dgm:fillClrLst meth="repeat">
      <a:schemeClr val="lt1">
        <a:alpha val="90000"/>
      </a:schemeClr>
    </dgm:fillClrLst>
    <dgm:linClrLst>
      <a:schemeClr val="accent4"/>
    </dgm:linClrLst>
    <dgm:effectClrLst/>
    <dgm:txLinClrLst/>
    <dgm:txFillClrLst meth="repeat">
      <a:schemeClr val="dk1"/>
    </dgm:txFillClrLst>
    <dgm:txEffectClrLst/>
  </dgm:styleLbl>
  <dgm:styleLbl name="bgShp">
    <dgm:fillClrLst meth="repeat">
      <a:schemeClr val="accent2">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2">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2"/>
    </dgm:linClrLst>
    <dgm:effectClrLst/>
    <dgm:txLinClrLst/>
    <dgm:txFillClrLst meth="repeat">
      <a:schemeClr val="lt1"/>
    </dgm:txFillClrLst>
    <dgm:txEffectClrLst/>
  </dgm:styleLbl>
  <dgm:styleLbl name="fgShp">
    <dgm:fillClrLst meth="repeat">
      <a:schemeClr val="accent2">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1">
  <dgm:title val=""/>
  <dgm:desc val=""/>
  <dgm:catLst>
    <dgm:cat type="colorful" pri="10100"/>
  </dgm:catLst>
  <dgm:styleLbl name="node0">
    <dgm:fillClrLst meth="repeat">
      <a:schemeClr val="accent1"/>
    </dgm:fillClrLst>
    <dgm:linClrLst meth="repeat">
      <a:schemeClr val="lt1"/>
    </dgm:linClrLst>
    <dgm:effectClrLst/>
    <dgm:txLinClrLst/>
    <dgm:txFillClrLst/>
    <dgm:txEffectClrLst/>
  </dgm:styleLbl>
  <dgm:styleLbl name="node1">
    <dgm:fillClrLst meth="repeat">
      <a:schemeClr val="accent2"/>
      <a:schemeClr val="accent3"/>
      <a:schemeClr val="accent4"/>
      <a:schemeClr val="accent5"/>
      <a:schemeClr val="accent6"/>
    </dgm:fillClrLst>
    <dgm:linClrLst meth="repeat">
      <a:schemeClr val="lt1"/>
    </dgm:linClrLst>
    <dgm:effectClrLst/>
    <dgm:txLinClrLst/>
    <dgm:txFillClrLst/>
    <dgm:txEffectClrLst/>
  </dgm:styleLbl>
  <dgm:styleLbl name="alignNode1">
    <dgm:fillClrLst meth="repeat">
      <a:schemeClr val="accent2"/>
      <a:schemeClr val="accent3"/>
      <a:schemeClr val="accent4"/>
      <a:schemeClr val="accent5"/>
      <a:schemeClr val="accent6"/>
    </dgm:fillClrLst>
    <dgm:linClrLst meth="repeat">
      <a:schemeClr val="accent2"/>
      <a:schemeClr val="accent3"/>
      <a:schemeClr val="accent4"/>
      <a:schemeClr val="accent5"/>
      <a:schemeClr val="accent6"/>
    </dgm:linClrLst>
    <dgm:effectClrLst/>
    <dgm:txLinClrLst/>
    <dgm:txFillClrLst/>
    <dgm:txEffectClrLst/>
  </dgm:styleLbl>
  <dgm:styleLbl name="lnNode1">
    <dgm:fillClrLst meth="repeat">
      <a:schemeClr val="accent2"/>
      <a:schemeClr val="accent3"/>
      <a:schemeClr val="accent4"/>
      <a:schemeClr val="accent5"/>
      <a:schemeClr val="accent6"/>
    </dgm:fillClrLst>
    <dgm:linClrLst meth="repeat">
      <a:schemeClr val="lt1"/>
    </dgm:linClrLst>
    <dgm:effectClrLst/>
    <dgm:txLinClrLst/>
    <dgm:txFillClrLst/>
    <dgm:txEffectClrLst/>
  </dgm:styleLbl>
  <dgm:styleLbl name="vennNode1">
    <dgm:fillClrLst meth="repeat">
      <a:schemeClr val="accent2">
        <a:alpha val="50000"/>
      </a:schemeClr>
      <a:schemeClr val="accent3">
        <a:alpha val="50000"/>
      </a:schemeClr>
      <a:schemeClr val="accent4">
        <a:alpha val="50000"/>
      </a:schemeClr>
      <a:schemeClr val="accent5">
        <a:alpha val="50000"/>
      </a:schemeClr>
      <a:schemeClr val="accent6">
        <a:alpha val="50000"/>
      </a:schemeClr>
    </dgm:fillClrLst>
    <dgm:linClrLst meth="repeat">
      <a:schemeClr val="lt1"/>
    </dgm:linClrLst>
    <dgm:effectClrLst/>
    <dgm:txLinClrLst/>
    <dgm:txFillClrLst/>
    <dgm:txEffectClrLst/>
  </dgm:styleLbl>
  <dgm:styleLbl name="node2">
    <dgm:fillClrLst>
      <a:schemeClr val="accent2"/>
    </dgm:fillClrLst>
    <dgm:linClrLst meth="repeat">
      <a:schemeClr val="lt1"/>
    </dgm:linClrLst>
    <dgm:effectClrLst/>
    <dgm:txLinClrLst/>
    <dgm:txFillClrLst/>
    <dgm:txEffectClrLst/>
  </dgm:styleLbl>
  <dgm:styleLbl name="node3">
    <dgm:fillClrLst>
      <a:schemeClr val="accent3"/>
    </dgm:fillClrLst>
    <dgm:linClrLst meth="repeat">
      <a:schemeClr val="lt1"/>
    </dgm:linClrLst>
    <dgm:effectClrLst/>
    <dgm:txLinClrLst/>
    <dgm:txFillClrLst/>
    <dgm:txEffectClrLst/>
  </dgm:styleLbl>
  <dgm:styleLbl name="node4">
    <dgm:fillClrLst>
      <a:schemeClr val="accent4"/>
    </dgm:fillClrLst>
    <dgm:linClrLst meth="repeat">
      <a:schemeClr val="lt1"/>
    </dgm:linClrLst>
    <dgm:effectClrLst/>
    <dgm:txLinClrLst/>
    <dgm:txFillClrLst/>
    <dgm:txEffectClrLst/>
  </dgm:styleLbl>
  <dgm:styleLbl name="fgImgPlace1">
    <dgm:fillClrLst meth="repeat">
      <a:schemeClr val="accent2">
        <a:tint val="50000"/>
      </a:schemeClr>
      <a:schemeClr val="accent3">
        <a:tint val="50000"/>
      </a:schemeClr>
      <a:schemeClr val="accent4">
        <a:tint val="50000"/>
      </a:schemeClr>
      <a:schemeClr val="accent5">
        <a:tint val="50000"/>
      </a:schemeClr>
      <a:schemeClr val="accent6">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1">
        <a:tint val="50000"/>
      </a:schemeClr>
      <a:schemeClr val="accent2">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1">
        <a:tint val="50000"/>
      </a:schemeClr>
      <a:schemeClr val="accent2">
        <a:tint val="2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2"/>
      <a:schemeClr val="accent3"/>
      <a:schemeClr val="accent4"/>
      <a:schemeClr val="accent5"/>
      <a:schemeClr val="accent6"/>
    </dgm:fillClrLst>
    <dgm:linClrLst meth="cycle">
      <a:schemeClr val="lt1"/>
    </dgm:linClrLst>
    <dgm:effectClrLst/>
    <dgm:txLinClrLst/>
    <dgm:txFillClrLst/>
    <dgm:txEffectClrLst/>
  </dgm:styleLbl>
  <dgm:styleLbl name="fgSibTrans2D1">
    <dgm:fillClrLst meth="repeat">
      <a:schemeClr val="accent2"/>
      <a:schemeClr val="accent3"/>
      <a:schemeClr val="accent4"/>
      <a:schemeClr val="accent5"/>
      <a:schemeClr val="accent6"/>
    </dgm:fillClrLst>
    <dgm:linClrLst meth="cycle">
      <a:schemeClr val="lt1"/>
    </dgm:linClrLst>
    <dgm:effectClrLst/>
    <dgm:txLinClrLst/>
    <dgm:txFillClrLst meth="repeat">
      <a:schemeClr val="lt1"/>
    </dgm:txFillClrLst>
    <dgm:txEffectClrLst/>
  </dgm:styleLbl>
  <dgm:styleLbl name="bgSibTrans2D1">
    <dgm:fillClrLst meth="repeat">
      <a:schemeClr val="accent2"/>
      <a:schemeClr val="accent3"/>
      <a:schemeClr val="accent4"/>
      <a:schemeClr val="accent5"/>
      <a:schemeClr val="accent6"/>
    </dgm:fillClrLst>
    <dgm:linClrLst meth="cycle">
      <a:schemeClr val="lt1"/>
    </dgm:linClrLst>
    <dgm:effectClrLst/>
    <dgm:txLinClrLst/>
    <dgm:txFillClrLst meth="repeat">
      <a:schemeClr val="lt1"/>
    </dgm:txFillClrLst>
    <dgm:txEffectClrLst/>
  </dgm:styleLbl>
  <dgm:styleLbl name="sibTrans1D1">
    <dgm:fillClrLst meth="repeat">
      <a:schemeClr val="accent2"/>
      <a:schemeClr val="accent3"/>
      <a:schemeClr val="accent4"/>
      <a:schemeClr val="accent5"/>
      <a:schemeClr val="accent6"/>
    </dgm:fillClrLst>
    <dgm:linClrLst meth="repeat">
      <a:schemeClr val="accent2"/>
      <a:schemeClr val="accent3"/>
      <a:schemeClr val="accent4"/>
      <a:schemeClr val="accent5"/>
      <a:schemeClr val="accent6"/>
    </dgm:linClrLst>
    <dgm:effectClrLst/>
    <dgm:txLinClrLst/>
    <dgm:txFillClrLst meth="repeat">
      <a:schemeClr val="tx1"/>
    </dgm:txFillClrLst>
    <dgm:txEffectClrLst/>
  </dgm:styleLbl>
  <dgm:styleLbl name="callout">
    <dgm:fillClrLst meth="repeat">
      <a:schemeClr val="accent2"/>
    </dgm:fillClrLst>
    <dgm:linClrLst meth="repeat">
      <a:schemeClr val="accent2">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2"/>
    </dgm:fillClrLst>
    <dgm:linClrLst meth="repeat">
      <a:schemeClr val="lt1"/>
    </dgm:linClrLst>
    <dgm:effectClrLst/>
    <dgm:txLinClrLst/>
    <dgm:txFillClrLst/>
    <dgm:txEffectClrLst/>
  </dgm:styleLbl>
  <dgm:styleLbl name="asst2">
    <dgm:fillClrLst>
      <a:schemeClr val="accent3"/>
    </dgm:fillClrLst>
    <dgm:linClrLst meth="repeat">
      <a:schemeClr val="lt1"/>
    </dgm:linClrLst>
    <dgm:effectClrLst/>
    <dgm:txLinClrLst/>
    <dgm:txFillClrLst/>
    <dgm:txEffectClrLst/>
  </dgm:styleLbl>
  <dgm:styleLbl name="asst3">
    <dgm:fillClrLst>
      <a:schemeClr val="accent4"/>
    </dgm:fillClrLst>
    <dgm:linClrLst meth="repeat">
      <a:schemeClr val="lt1"/>
    </dgm:linClrLst>
    <dgm:effectClrLst/>
    <dgm:txLinClrLst/>
    <dgm:txFillClrLst/>
    <dgm:txEffectClrLst/>
  </dgm:styleLbl>
  <dgm:styleLbl name="asst4">
    <dgm:fillClrLst>
      <a:schemeClr val="accent5"/>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2"/>
    </dgm:fillClrLst>
    <dgm:linClrLst meth="repeat">
      <a:schemeClr val="accent1"/>
    </dgm:linClrLst>
    <dgm:effectClrLst/>
    <dgm:txLinClrLst/>
    <dgm:txFillClrLst meth="repeat">
      <a:schemeClr val="tx1"/>
    </dgm:txFillClrLst>
    <dgm:txEffectClrLst/>
  </dgm:styleLbl>
  <dgm:styleLbl name="parChTrans1D2">
    <dgm:fillClrLst meth="repeat">
      <a:schemeClr val="accent3">
        <a:tint val="90000"/>
      </a:schemeClr>
    </dgm:fillClrLst>
    <dgm:linClrLst meth="repeat">
      <a:schemeClr val="accent2"/>
    </dgm:linClrLst>
    <dgm:effectClrLst/>
    <dgm:txLinClrLst/>
    <dgm:txFillClrLst meth="repeat">
      <a:schemeClr val="tx1"/>
    </dgm:txFillClrLst>
    <dgm:txEffectClrLst/>
  </dgm:styleLbl>
  <dgm:styleLbl name="parChTrans1D3">
    <dgm:fillClrLst meth="repeat">
      <a:schemeClr val="accent4">
        <a:tint val="70000"/>
      </a:schemeClr>
    </dgm:fillClrLst>
    <dgm:linClrLst meth="repeat">
      <a:schemeClr val="accent3"/>
    </dgm:linClrLst>
    <dgm:effectClrLst/>
    <dgm:txLinClrLst/>
    <dgm:txFillClrLst meth="repeat">
      <a:schemeClr val="tx1"/>
    </dgm:txFillClrLst>
    <dgm:txEffectClrLst/>
  </dgm:styleLbl>
  <dgm:styleLbl name="parChTrans1D4">
    <dgm:fillClrLst meth="repeat">
      <a:schemeClr val="accent5">
        <a:tint val="50000"/>
      </a:schemeClr>
    </dgm:fillClrLst>
    <dgm:linClrLst meth="repeat">
      <a:schemeClr val="accent4"/>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Fg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Align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Bg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fg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align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bg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1"/>
    </dgm:linClrLst>
    <dgm:effectClrLst/>
    <dgm:txLinClrLst/>
    <dgm:txFillClrLst meth="repeat">
      <a:schemeClr val="dk1"/>
    </dgm:txFillClrLst>
    <dgm:txEffectClrLst/>
  </dgm:styleLbl>
  <dgm:styleLbl name="fgAcc2">
    <dgm:fillClrLst meth="repeat">
      <a:schemeClr val="lt1">
        <a:alpha val="90000"/>
      </a:schemeClr>
    </dgm:fillClrLst>
    <dgm:linClrLst>
      <a:schemeClr val="accent2"/>
    </dgm:linClrLst>
    <dgm:effectClrLst/>
    <dgm:txLinClrLst/>
    <dgm:txFillClrLst meth="repeat">
      <a:schemeClr val="dk1"/>
    </dgm:txFillClrLst>
    <dgm:txEffectClrLst/>
  </dgm:styleLbl>
  <dgm:styleLbl name="fgAcc3">
    <dgm:fillClrLst meth="repeat">
      <a:schemeClr val="lt1">
        <a:alpha val="90000"/>
      </a:schemeClr>
    </dgm:fillClrLst>
    <dgm:linClrLst>
      <a:schemeClr val="accent3"/>
    </dgm:linClrLst>
    <dgm:effectClrLst/>
    <dgm:txLinClrLst/>
    <dgm:txFillClrLst meth="repeat">
      <a:schemeClr val="dk1"/>
    </dgm:txFillClrLst>
    <dgm:txEffectClrLst/>
  </dgm:styleLbl>
  <dgm:styleLbl name="fgAcc4">
    <dgm:fillClrLst meth="repeat">
      <a:schemeClr val="lt1">
        <a:alpha val="90000"/>
      </a:schemeClr>
    </dgm:fillClrLst>
    <dgm:linClrLst>
      <a:schemeClr val="accent4"/>
    </dgm:linClrLst>
    <dgm:effectClrLst/>
    <dgm:txLinClrLst/>
    <dgm:txFillClrLst meth="repeat">
      <a:schemeClr val="dk1"/>
    </dgm:txFillClrLst>
    <dgm:txEffectClrLst/>
  </dgm:styleLbl>
  <dgm:styleLbl name="bgShp">
    <dgm:fillClrLst meth="repeat">
      <a:schemeClr val="accent2">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2">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2"/>
    </dgm:linClrLst>
    <dgm:effectClrLst/>
    <dgm:txLinClrLst/>
    <dgm:txFillClrLst meth="repeat">
      <a:schemeClr val="lt1"/>
    </dgm:txFillClrLst>
    <dgm:txEffectClrLst/>
  </dgm:styleLbl>
  <dgm:styleLbl name="fgShp">
    <dgm:fillClrLst meth="repeat">
      <a:schemeClr val="accent2">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1F5743CC-7B72-487A-AD43-B66A52D798E1}" type="doc">
      <dgm:prSet loTypeId="urn:microsoft.com/office/officeart/2008/layout/HorizontalMultiLevelHierarchy" loCatId="hierarchy" qsTypeId="urn:microsoft.com/office/officeart/2005/8/quickstyle/simple1" qsCatId="simple" csTypeId="urn:microsoft.com/office/officeart/2005/8/colors/colorful1" csCatId="colorful" phldr="1"/>
      <dgm:spPr/>
      <dgm:t>
        <a:bodyPr/>
        <a:lstStyle/>
        <a:p>
          <a:endParaRPr lang="es-CL"/>
        </a:p>
      </dgm:t>
    </dgm:pt>
    <dgm:pt modelId="{A94A4B4E-2162-451B-9715-4A880C36868E}">
      <dgm:prSet phldrT="[Texto]" phldr="1"/>
      <dgm:spPr/>
      <dgm:t>
        <a:bodyPr/>
        <a:lstStyle/>
        <a:p>
          <a:endParaRPr lang="es-CL" dirty="0"/>
        </a:p>
      </dgm:t>
    </dgm:pt>
    <dgm:pt modelId="{78B9BF0A-17AA-4ACD-93CD-7CFCFB50B3AE}" type="parTrans" cxnId="{CA17C740-F157-4B3A-ADFE-C4FADA26B35A}">
      <dgm:prSet/>
      <dgm:spPr/>
      <dgm:t>
        <a:bodyPr/>
        <a:lstStyle/>
        <a:p>
          <a:endParaRPr lang="es-CL"/>
        </a:p>
      </dgm:t>
    </dgm:pt>
    <dgm:pt modelId="{EE55ED47-40CD-4D85-8481-FFE797BB3A46}" type="sibTrans" cxnId="{CA17C740-F157-4B3A-ADFE-C4FADA26B35A}">
      <dgm:prSet/>
      <dgm:spPr/>
      <dgm:t>
        <a:bodyPr/>
        <a:lstStyle/>
        <a:p>
          <a:endParaRPr lang="es-CL"/>
        </a:p>
      </dgm:t>
    </dgm:pt>
    <dgm:pt modelId="{4338E26D-B086-4C46-976A-F059B670E172}">
      <dgm:prSet phldrT="[Texto]"/>
      <dgm:spPr/>
      <dgm:t>
        <a:bodyPr/>
        <a:lstStyle/>
        <a:p>
          <a:r>
            <a:rPr lang="es-CL" dirty="0"/>
            <a:t>Demanda crece</a:t>
          </a:r>
        </a:p>
      </dgm:t>
    </dgm:pt>
    <dgm:pt modelId="{B6DE5F35-306E-477E-A297-15A43317085A}" type="parTrans" cxnId="{39F86C32-DDB7-4AAA-A4C4-9BB4AF847C58}">
      <dgm:prSet/>
      <dgm:spPr/>
      <dgm:t>
        <a:bodyPr/>
        <a:lstStyle/>
        <a:p>
          <a:endParaRPr lang="es-CL"/>
        </a:p>
      </dgm:t>
    </dgm:pt>
    <dgm:pt modelId="{408EC10E-0DE1-48F2-AE52-EC4FE28E5527}" type="sibTrans" cxnId="{39F86C32-DDB7-4AAA-A4C4-9BB4AF847C58}">
      <dgm:prSet/>
      <dgm:spPr/>
      <dgm:t>
        <a:bodyPr/>
        <a:lstStyle/>
        <a:p>
          <a:endParaRPr lang="es-CL"/>
        </a:p>
      </dgm:t>
    </dgm:pt>
    <dgm:pt modelId="{0AB90F36-4A14-47EE-A636-72AEB08D8EF6}">
      <dgm:prSet phldrT="[Texto]"/>
      <dgm:spPr/>
      <dgm:t>
        <a:bodyPr/>
        <a:lstStyle/>
        <a:p>
          <a:r>
            <a:rPr lang="es-CL" dirty="0"/>
            <a:t>No invertir</a:t>
          </a:r>
        </a:p>
      </dgm:t>
    </dgm:pt>
    <dgm:pt modelId="{E442837C-71D8-42EB-BEAC-A005013B022E}" type="parTrans" cxnId="{4B4FBEA7-DEA4-43B1-8924-00CF8E0A974C}">
      <dgm:prSet/>
      <dgm:spPr/>
      <dgm:t>
        <a:bodyPr/>
        <a:lstStyle/>
        <a:p>
          <a:endParaRPr lang="es-CL"/>
        </a:p>
      </dgm:t>
    </dgm:pt>
    <dgm:pt modelId="{E2149ED2-036B-471D-A39B-B0DB4009496E}" type="sibTrans" cxnId="{4B4FBEA7-DEA4-43B1-8924-00CF8E0A974C}">
      <dgm:prSet/>
      <dgm:spPr/>
      <dgm:t>
        <a:bodyPr/>
        <a:lstStyle/>
        <a:p>
          <a:endParaRPr lang="es-CL"/>
        </a:p>
      </dgm:t>
    </dgm:pt>
    <dgm:pt modelId="{9BAF2D50-5432-4773-92B8-AC1927A1E95B}">
      <dgm:prSet phldrT="[Texto]"/>
      <dgm:spPr/>
      <dgm:t>
        <a:bodyPr/>
        <a:lstStyle/>
        <a:p>
          <a:r>
            <a:rPr lang="es-CL" dirty="0"/>
            <a:t>Inv. GD</a:t>
          </a:r>
        </a:p>
      </dgm:t>
    </dgm:pt>
    <dgm:pt modelId="{8C08E020-8626-4080-8DA8-8150E886C272}" type="parTrans" cxnId="{EDD7D148-D60F-4A69-8651-6CC5C1525FC4}">
      <dgm:prSet/>
      <dgm:spPr/>
      <dgm:t>
        <a:bodyPr/>
        <a:lstStyle/>
        <a:p>
          <a:endParaRPr lang="es-CL"/>
        </a:p>
      </dgm:t>
    </dgm:pt>
    <dgm:pt modelId="{14B01CD4-3036-4953-A261-585851A6ABFB}" type="sibTrans" cxnId="{EDD7D148-D60F-4A69-8651-6CC5C1525FC4}">
      <dgm:prSet/>
      <dgm:spPr/>
      <dgm:t>
        <a:bodyPr/>
        <a:lstStyle/>
        <a:p>
          <a:endParaRPr lang="es-CL"/>
        </a:p>
      </dgm:t>
    </dgm:pt>
    <dgm:pt modelId="{485239D6-E3E1-44B2-BE1B-36D4E3FA53D3}">
      <dgm:prSet phldrT="[Texto]"/>
      <dgm:spPr/>
      <dgm:t>
        <a:bodyPr/>
        <a:lstStyle/>
        <a:p>
          <a:r>
            <a:rPr lang="es-CL" dirty="0"/>
            <a:t>+E y P, por ende, Inv. Alimentador</a:t>
          </a:r>
        </a:p>
      </dgm:t>
    </dgm:pt>
    <dgm:pt modelId="{D48A2287-5D37-40C3-874D-825CD20FCE37}" type="parTrans" cxnId="{DFDE2043-0826-4CEE-A336-D83DA7E8514C}">
      <dgm:prSet/>
      <dgm:spPr/>
      <dgm:t>
        <a:bodyPr/>
        <a:lstStyle/>
        <a:p>
          <a:endParaRPr lang="es-CL"/>
        </a:p>
      </dgm:t>
    </dgm:pt>
    <dgm:pt modelId="{3E8CA4F2-2671-400A-B0B3-D2A8321F2179}" type="sibTrans" cxnId="{DFDE2043-0826-4CEE-A336-D83DA7E8514C}">
      <dgm:prSet/>
      <dgm:spPr/>
      <dgm:t>
        <a:bodyPr/>
        <a:lstStyle/>
        <a:p>
          <a:endParaRPr lang="es-CL"/>
        </a:p>
      </dgm:t>
    </dgm:pt>
    <dgm:pt modelId="{8B68C6CD-679A-4822-B65B-00058FE31AB1}">
      <dgm:prSet phldrT="[Texto]"/>
      <dgm:spPr/>
      <dgm:t>
        <a:bodyPr/>
        <a:lstStyle/>
        <a:p>
          <a:r>
            <a:rPr lang="es-CL" dirty="0"/>
            <a:t>Demanda no crece</a:t>
          </a:r>
        </a:p>
      </dgm:t>
    </dgm:pt>
    <dgm:pt modelId="{32E0ECE9-658C-4176-977F-44457DA39FD2}" type="sibTrans" cxnId="{BCA7420F-649B-435B-B6CE-5E5B8406D677}">
      <dgm:prSet/>
      <dgm:spPr/>
      <dgm:t>
        <a:bodyPr/>
        <a:lstStyle/>
        <a:p>
          <a:endParaRPr lang="es-CL"/>
        </a:p>
      </dgm:t>
    </dgm:pt>
    <dgm:pt modelId="{6C2ACF4A-13B8-4E3A-A42B-B11E8D7D6B23}" type="parTrans" cxnId="{BCA7420F-649B-435B-B6CE-5E5B8406D677}">
      <dgm:prSet/>
      <dgm:spPr/>
      <dgm:t>
        <a:bodyPr/>
        <a:lstStyle/>
        <a:p>
          <a:endParaRPr lang="es-CL"/>
        </a:p>
      </dgm:t>
    </dgm:pt>
    <dgm:pt modelId="{48D75BF0-90BE-4FB9-8C8C-8ABE1BD7C5CE}">
      <dgm:prSet phldrT="[Texto]"/>
      <dgm:spPr/>
      <dgm:t>
        <a:bodyPr/>
        <a:lstStyle/>
        <a:p>
          <a:r>
            <a:rPr lang="es-CL" dirty="0"/>
            <a:t>No invertir</a:t>
          </a:r>
        </a:p>
      </dgm:t>
    </dgm:pt>
    <dgm:pt modelId="{3434C0AE-432D-429E-8DA3-17062FE4592D}" type="parTrans" cxnId="{142DFF87-DBCD-4765-8F99-D6D0B79F70D8}">
      <dgm:prSet/>
      <dgm:spPr/>
      <dgm:t>
        <a:bodyPr/>
        <a:lstStyle/>
        <a:p>
          <a:endParaRPr lang="es-CL"/>
        </a:p>
      </dgm:t>
    </dgm:pt>
    <dgm:pt modelId="{10FD194D-D4AE-4FDF-AC98-D963B66E0580}" type="sibTrans" cxnId="{142DFF87-DBCD-4765-8F99-D6D0B79F70D8}">
      <dgm:prSet/>
      <dgm:spPr/>
      <dgm:t>
        <a:bodyPr/>
        <a:lstStyle/>
        <a:p>
          <a:endParaRPr lang="es-CL"/>
        </a:p>
      </dgm:t>
    </dgm:pt>
    <dgm:pt modelId="{A2CC352E-91CE-476F-ABE0-25832A42FF60}">
      <dgm:prSet phldrT="[Texto]"/>
      <dgm:spPr/>
      <dgm:t>
        <a:bodyPr/>
        <a:lstStyle/>
        <a:p>
          <a:r>
            <a:rPr lang="es-CL" dirty="0"/>
            <a:t>+E y P, por ende, Inv. Alimentador</a:t>
          </a:r>
        </a:p>
      </dgm:t>
    </dgm:pt>
    <dgm:pt modelId="{55DFF091-0B05-40E5-AC2D-56567D6C86AD}" type="parTrans" cxnId="{3CED8C8F-2735-4C99-A2F7-268045C75310}">
      <dgm:prSet/>
      <dgm:spPr/>
      <dgm:t>
        <a:bodyPr/>
        <a:lstStyle/>
        <a:p>
          <a:endParaRPr lang="es-CL"/>
        </a:p>
      </dgm:t>
    </dgm:pt>
    <dgm:pt modelId="{5F3C2570-8BD6-48BE-B19E-80681EAA523F}" type="sibTrans" cxnId="{3CED8C8F-2735-4C99-A2F7-268045C75310}">
      <dgm:prSet/>
      <dgm:spPr/>
      <dgm:t>
        <a:bodyPr/>
        <a:lstStyle/>
        <a:p>
          <a:endParaRPr lang="es-CL"/>
        </a:p>
      </dgm:t>
    </dgm:pt>
    <dgm:pt modelId="{C8DDDF9F-415F-4637-BF51-8830E612A6E3}">
      <dgm:prSet phldrT="[Texto]"/>
      <dgm:spPr/>
      <dgm:t>
        <a:bodyPr/>
        <a:lstStyle/>
        <a:p>
          <a:r>
            <a:rPr lang="es-CL" dirty="0"/>
            <a:t>Inv. GD</a:t>
          </a:r>
        </a:p>
      </dgm:t>
    </dgm:pt>
    <dgm:pt modelId="{DBEDB092-C8EB-4265-B687-DAB6495A43EB}" type="parTrans" cxnId="{A6BC670E-FCFA-4D7F-858D-75BC32D3C6BA}">
      <dgm:prSet/>
      <dgm:spPr/>
      <dgm:t>
        <a:bodyPr/>
        <a:lstStyle/>
        <a:p>
          <a:endParaRPr lang="es-CL"/>
        </a:p>
      </dgm:t>
    </dgm:pt>
    <dgm:pt modelId="{16402A32-9BF7-42E6-B76B-3BD8BD469673}" type="sibTrans" cxnId="{A6BC670E-FCFA-4D7F-858D-75BC32D3C6BA}">
      <dgm:prSet/>
      <dgm:spPr/>
      <dgm:t>
        <a:bodyPr/>
        <a:lstStyle/>
        <a:p>
          <a:endParaRPr lang="es-CL"/>
        </a:p>
      </dgm:t>
    </dgm:pt>
    <dgm:pt modelId="{A4B0D075-B464-4457-AAD1-6D7948DA7EA5}">
      <dgm:prSet phldrT="[Texto]"/>
      <dgm:spPr>
        <a:solidFill>
          <a:schemeClr val="accent5">
            <a:lumMod val="40000"/>
            <a:lumOff val="60000"/>
          </a:schemeClr>
        </a:solidFill>
      </dgm:spPr>
      <dgm:t>
        <a:bodyPr/>
        <a:lstStyle/>
        <a:p>
          <a:r>
            <a:rPr lang="es-CL" b="1" dirty="0">
              <a:solidFill>
                <a:schemeClr val="tx1"/>
              </a:solidFill>
            </a:rPr>
            <a:t>2AL + venta </a:t>
          </a:r>
          <a:r>
            <a:rPr lang="es-CL" b="1" dirty="0" err="1">
              <a:solidFill>
                <a:schemeClr val="tx1"/>
              </a:solidFill>
            </a:rPr>
            <a:t>exc</a:t>
          </a:r>
          <a:endParaRPr lang="es-CL" b="1" dirty="0">
            <a:solidFill>
              <a:schemeClr val="tx1"/>
            </a:solidFill>
          </a:endParaRPr>
        </a:p>
      </dgm:t>
    </dgm:pt>
    <dgm:pt modelId="{AB98CCD0-4B2E-4BD0-8FAB-FBF3620F4B3F}" type="parTrans" cxnId="{0FA8286D-7F24-442F-9506-B1919E7C91FC}">
      <dgm:prSet/>
      <dgm:spPr/>
      <dgm:t>
        <a:bodyPr/>
        <a:lstStyle/>
        <a:p>
          <a:endParaRPr lang="es-CL"/>
        </a:p>
      </dgm:t>
    </dgm:pt>
    <dgm:pt modelId="{FA23D1B8-5479-4526-A14C-85685142EBE7}" type="sibTrans" cxnId="{0FA8286D-7F24-442F-9506-B1919E7C91FC}">
      <dgm:prSet/>
      <dgm:spPr/>
      <dgm:t>
        <a:bodyPr/>
        <a:lstStyle/>
        <a:p>
          <a:endParaRPr lang="es-CL"/>
        </a:p>
      </dgm:t>
    </dgm:pt>
    <dgm:pt modelId="{A26A66B1-B706-4473-A679-85F5D23E881F}">
      <dgm:prSet phldrT="[Texto]"/>
      <dgm:spPr/>
      <dgm:t>
        <a:bodyPr/>
        <a:lstStyle/>
        <a:p>
          <a:r>
            <a:rPr lang="es-CL" dirty="0"/>
            <a:t>AL</a:t>
          </a:r>
        </a:p>
      </dgm:t>
    </dgm:pt>
    <dgm:pt modelId="{92D08BF8-23E6-446E-933F-F7B6EDCED309}" type="parTrans" cxnId="{424158F4-8E75-4208-B829-8A8CA7432994}">
      <dgm:prSet/>
      <dgm:spPr/>
      <dgm:t>
        <a:bodyPr/>
        <a:lstStyle/>
        <a:p>
          <a:endParaRPr lang="es-CL"/>
        </a:p>
      </dgm:t>
    </dgm:pt>
    <dgm:pt modelId="{C41F8AD9-D47F-4A7E-9355-9CA158192E2E}" type="sibTrans" cxnId="{424158F4-8E75-4208-B829-8A8CA7432994}">
      <dgm:prSet/>
      <dgm:spPr/>
      <dgm:t>
        <a:bodyPr/>
        <a:lstStyle/>
        <a:p>
          <a:endParaRPr lang="es-CL"/>
        </a:p>
      </dgm:t>
    </dgm:pt>
    <dgm:pt modelId="{118EA4DD-B704-4604-8DD3-A10996AE4700}">
      <dgm:prSet phldrT="[Texto]"/>
      <dgm:spPr/>
      <dgm:t>
        <a:bodyPr/>
        <a:lstStyle/>
        <a:p>
          <a:r>
            <a:rPr lang="es-CL" dirty="0"/>
            <a:t>Ab</a:t>
          </a:r>
        </a:p>
      </dgm:t>
    </dgm:pt>
    <dgm:pt modelId="{4366527E-EE67-41DC-9387-63A1B2992750}" type="parTrans" cxnId="{A116340C-9F18-4CFE-A023-47D704E2AC99}">
      <dgm:prSet/>
      <dgm:spPr/>
      <dgm:t>
        <a:bodyPr/>
        <a:lstStyle/>
        <a:p>
          <a:endParaRPr lang="es-CL"/>
        </a:p>
      </dgm:t>
    </dgm:pt>
    <dgm:pt modelId="{F9FE9229-FD23-4A70-B826-B8C293D8F7F6}" type="sibTrans" cxnId="{A116340C-9F18-4CFE-A023-47D704E2AC99}">
      <dgm:prSet/>
      <dgm:spPr/>
      <dgm:t>
        <a:bodyPr/>
        <a:lstStyle/>
        <a:p>
          <a:endParaRPr lang="es-CL"/>
        </a:p>
      </dgm:t>
    </dgm:pt>
    <dgm:pt modelId="{88D54AF7-088C-47B9-B0BC-CB82A248EBB8}">
      <dgm:prSet phldrT="[Texto]"/>
      <dgm:spPr/>
      <dgm:t>
        <a:bodyPr/>
        <a:lstStyle/>
        <a:p>
          <a:r>
            <a:rPr lang="es-CL" dirty="0"/>
            <a:t>AL+ Ab</a:t>
          </a:r>
        </a:p>
      </dgm:t>
    </dgm:pt>
    <dgm:pt modelId="{35178BB7-474E-4437-8030-03874636B5D8}" type="parTrans" cxnId="{F108BC3A-FEF9-47C3-9738-20EA66DF0285}">
      <dgm:prSet/>
      <dgm:spPr/>
      <dgm:t>
        <a:bodyPr/>
        <a:lstStyle/>
        <a:p>
          <a:endParaRPr lang="es-CL"/>
        </a:p>
      </dgm:t>
    </dgm:pt>
    <dgm:pt modelId="{673DD652-4CA4-45E7-B738-6F7B4B6FBB5F}" type="sibTrans" cxnId="{F108BC3A-FEF9-47C3-9738-20EA66DF0285}">
      <dgm:prSet/>
      <dgm:spPr/>
      <dgm:t>
        <a:bodyPr/>
        <a:lstStyle/>
        <a:p>
          <a:endParaRPr lang="es-CL"/>
        </a:p>
      </dgm:t>
    </dgm:pt>
    <dgm:pt modelId="{C1281590-F62C-41B4-B6D1-A831E0F5E697}">
      <dgm:prSet phldrT="[Texto]"/>
      <dgm:spPr/>
      <dgm:t>
        <a:bodyPr/>
        <a:lstStyle/>
        <a:p>
          <a:r>
            <a:rPr lang="es-CL" dirty="0"/>
            <a:t>Abandonar</a:t>
          </a:r>
        </a:p>
      </dgm:t>
    </dgm:pt>
    <dgm:pt modelId="{8293B278-EEAC-4916-9440-1C91EAA7F705}" type="parTrans" cxnId="{7EE59E67-B67B-4E41-A217-99E62DC46F9D}">
      <dgm:prSet/>
      <dgm:spPr/>
      <dgm:t>
        <a:bodyPr/>
        <a:lstStyle/>
        <a:p>
          <a:endParaRPr lang="es-CL"/>
        </a:p>
      </dgm:t>
    </dgm:pt>
    <dgm:pt modelId="{5F56500C-2AA0-47AB-A1EE-53BF5B43E683}" type="sibTrans" cxnId="{7EE59E67-B67B-4E41-A217-99E62DC46F9D}">
      <dgm:prSet/>
      <dgm:spPr/>
      <dgm:t>
        <a:bodyPr/>
        <a:lstStyle/>
        <a:p>
          <a:endParaRPr lang="es-CL"/>
        </a:p>
      </dgm:t>
    </dgm:pt>
    <dgm:pt modelId="{B72F3FCF-A8DC-47A6-B677-D29DD67B8316}">
      <dgm:prSet phldrT="[Texto]"/>
      <dgm:spPr>
        <a:solidFill>
          <a:schemeClr val="bg2">
            <a:lumMod val="90000"/>
          </a:schemeClr>
        </a:solidFill>
      </dgm:spPr>
      <dgm:t>
        <a:bodyPr/>
        <a:lstStyle/>
        <a:p>
          <a:r>
            <a:rPr lang="es-CL" b="1" dirty="0">
              <a:solidFill>
                <a:schemeClr val="tx1"/>
              </a:solidFill>
            </a:rPr>
            <a:t>AL + venta </a:t>
          </a:r>
          <a:r>
            <a:rPr lang="es-CL" b="1" dirty="0" err="1">
              <a:solidFill>
                <a:schemeClr val="tx1"/>
              </a:solidFill>
            </a:rPr>
            <a:t>exc</a:t>
          </a:r>
          <a:endParaRPr lang="es-CL" b="1" dirty="0">
            <a:solidFill>
              <a:schemeClr val="tx1"/>
            </a:solidFill>
          </a:endParaRPr>
        </a:p>
      </dgm:t>
    </dgm:pt>
    <dgm:pt modelId="{2EEA940E-FF89-4372-9F1A-4EED9763C314}" type="parTrans" cxnId="{EBD0E5FC-A727-4E19-B938-F6D840648AF4}">
      <dgm:prSet/>
      <dgm:spPr/>
      <dgm:t>
        <a:bodyPr/>
        <a:lstStyle/>
        <a:p>
          <a:endParaRPr lang="es-CL"/>
        </a:p>
      </dgm:t>
    </dgm:pt>
    <dgm:pt modelId="{88D95B6B-58DA-48CC-B5B4-2B6750EB8133}" type="sibTrans" cxnId="{EBD0E5FC-A727-4E19-B938-F6D840648AF4}">
      <dgm:prSet/>
      <dgm:spPr/>
      <dgm:t>
        <a:bodyPr/>
        <a:lstStyle/>
        <a:p>
          <a:endParaRPr lang="es-CL"/>
        </a:p>
      </dgm:t>
    </dgm:pt>
    <dgm:pt modelId="{D6F4F8F3-81B4-43B8-94E3-DB16B79EFA24}">
      <dgm:prSet phldrT="[Texto]"/>
      <dgm:spPr>
        <a:solidFill>
          <a:schemeClr val="accent6">
            <a:lumMod val="60000"/>
            <a:lumOff val="40000"/>
          </a:schemeClr>
        </a:solidFill>
      </dgm:spPr>
      <dgm:t>
        <a:bodyPr/>
        <a:lstStyle/>
        <a:p>
          <a:r>
            <a:rPr lang="es-CL" b="1" dirty="0">
              <a:solidFill>
                <a:schemeClr val="tx1"/>
              </a:solidFill>
            </a:rPr>
            <a:t>GD + venta exc</a:t>
          </a:r>
        </a:p>
      </dgm:t>
    </dgm:pt>
    <dgm:pt modelId="{FD2E0CB8-91CE-45BD-8D9E-47857E20B6B1}" type="parTrans" cxnId="{EECD96A3-EF5C-423A-8384-2D8CCEAE8E70}">
      <dgm:prSet/>
      <dgm:spPr/>
      <dgm:t>
        <a:bodyPr/>
        <a:lstStyle/>
        <a:p>
          <a:endParaRPr lang="es-CL"/>
        </a:p>
      </dgm:t>
    </dgm:pt>
    <dgm:pt modelId="{19BFE027-5A7F-4496-8422-D32FF3B2DE67}" type="sibTrans" cxnId="{EECD96A3-EF5C-423A-8384-2D8CCEAE8E70}">
      <dgm:prSet/>
      <dgm:spPr/>
      <dgm:t>
        <a:bodyPr/>
        <a:lstStyle/>
        <a:p>
          <a:endParaRPr lang="es-CL"/>
        </a:p>
      </dgm:t>
    </dgm:pt>
    <dgm:pt modelId="{BFE473DC-87C0-48BE-8173-58452A34E2FA}" type="pres">
      <dgm:prSet presAssocID="{1F5743CC-7B72-487A-AD43-B66A52D798E1}" presName="Name0" presStyleCnt="0">
        <dgm:presLayoutVars>
          <dgm:chPref val="1"/>
          <dgm:dir/>
          <dgm:animOne val="branch"/>
          <dgm:animLvl val="lvl"/>
          <dgm:resizeHandles val="exact"/>
        </dgm:presLayoutVars>
      </dgm:prSet>
      <dgm:spPr/>
    </dgm:pt>
    <dgm:pt modelId="{D646C6A3-CBFF-4FD0-8065-BB0670C9AC45}" type="pres">
      <dgm:prSet presAssocID="{A94A4B4E-2162-451B-9715-4A880C36868E}" presName="root1" presStyleCnt="0"/>
      <dgm:spPr/>
    </dgm:pt>
    <dgm:pt modelId="{389BD0D3-91D0-4AA7-B539-165926CC4CF4}" type="pres">
      <dgm:prSet presAssocID="{A94A4B4E-2162-451B-9715-4A880C36868E}" presName="LevelOneTextNode" presStyleLbl="node0" presStyleIdx="0" presStyleCnt="1">
        <dgm:presLayoutVars>
          <dgm:chPref val="3"/>
        </dgm:presLayoutVars>
      </dgm:prSet>
      <dgm:spPr/>
    </dgm:pt>
    <dgm:pt modelId="{DCF97E4C-13A5-42F3-85F7-83E9FC3D7430}" type="pres">
      <dgm:prSet presAssocID="{A94A4B4E-2162-451B-9715-4A880C36868E}" presName="level2hierChild" presStyleCnt="0"/>
      <dgm:spPr/>
    </dgm:pt>
    <dgm:pt modelId="{2F8EF566-1C4A-491C-9116-F938E8F3D6A5}" type="pres">
      <dgm:prSet presAssocID="{B6DE5F35-306E-477E-A297-15A43317085A}" presName="conn2-1" presStyleLbl="parChTrans1D2" presStyleIdx="0" presStyleCnt="2"/>
      <dgm:spPr/>
    </dgm:pt>
    <dgm:pt modelId="{02B609D5-E77D-4732-B15D-4A6A04091ABE}" type="pres">
      <dgm:prSet presAssocID="{B6DE5F35-306E-477E-A297-15A43317085A}" presName="connTx" presStyleLbl="parChTrans1D2" presStyleIdx="0" presStyleCnt="2"/>
      <dgm:spPr/>
    </dgm:pt>
    <dgm:pt modelId="{7C7D5A58-783E-47F8-839E-F25144C82884}" type="pres">
      <dgm:prSet presAssocID="{4338E26D-B086-4C46-976A-F059B670E172}" presName="root2" presStyleCnt="0"/>
      <dgm:spPr/>
    </dgm:pt>
    <dgm:pt modelId="{3F41E26B-11EB-47B1-8ACC-4921900006DB}" type="pres">
      <dgm:prSet presAssocID="{4338E26D-B086-4C46-976A-F059B670E172}" presName="LevelTwoTextNode" presStyleLbl="node2" presStyleIdx="0" presStyleCnt="2">
        <dgm:presLayoutVars>
          <dgm:chPref val="3"/>
        </dgm:presLayoutVars>
      </dgm:prSet>
      <dgm:spPr/>
    </dgm:pt>
    <dgm:pt modelId="{525FCAFB-57B8-4C53-839C-4346E6F4501B}" type="pres">
      <dgm:prSet presAssocID="{4338E26D-B086-4C46-976A-F059B670E172}" presName="level3hierChild" presStyleCnt="0"/>
      <dgm:spPr/>
    </dgm:pt>
    <dgm:pt modelId="{693AFC02-2A32-4C4F-B483-80CD719B424C}" type="pres">
      <dgm:prSet presAssocID="{D48A2287-5D37-40C3-874D-825CD20FCE37}" presName="conn2-1" presStyleLbl="parChTrans1D3" presStyleIdx="0" presStyleCnt="6"/>
      <dgm:spPr/>
    </dgm:pt>
    <dgm:pt modelId="{1BDCD77C-B12F-4B1A-87B7-DD61304DDDCB}" type="pres">
      <dgm:prSet presAssocID="{D48A2287-5D37-40C3-874D-825CD20FCE37}" presName="connTx" presStyleLbl="parChTrans1D3" presStyleIdx="0" presStyleCnt="6"/>
      <dgm:spPr/>
    </dgm:pt>
    <dgm:pt modelId="{A7F8CC49-1FDC-4EF8-8E1D-C4494ECFDD48}" type="pres">
      <dgm:prSet presAssocID="{485239D6-E3E1-44B2-BE1B-36D4E3FA53D3}" presName="root2" presStyleCnt="0"/>
      <dgm:spPr/>
    </dgm:pt>
    <dgm:pt modelId="{AB67E0BB-C6BE-4688-8749-566041095066}" type="pres">
      <dgm:prSet presAssocID="{485239D6-E3E1-44B2-BE1B-36D4E3FA53D3}" presName="LevelTwoTextNode" presStyleLbl="node3" presStyleIdx="0" presStyleCnt="6">
        <dgm:presLayoutVars>
          <dgm:chPref val="3"/>
        </dgm:presLayoutVars>
      </dgm:prSet>
      <dgm:spPr/>
    </dgm:pt>
    <dgm:pt modelId="{FB954869-BC7A-4E94-A9A7-98AD8F02354B}" type="pres">
      <dgm:prSet presAssocID="{485239D6-E3E1-44B2-BE1B-36D4E3FA53D3}" presName="level3hierChild" presStyleCnt="0"/>
      <dgm:spPr/>
    </dgm:pt>
    <dgm:pt modelId="{E10C9DA3-D0B4-47F4-9F47-2FB8427D5F6F}" type="pres">
      <dgm:prSet presAssocID="{8C08E020-8626-4080-8DA8-8150E886C272}" presName="conn2-1" presStyleLbl="parChTrans1D3" presStyleIdx="1" presStyleCnt="6"/>
      <dgm:spPr/>
    </dgm:pt>
    <dgm:pt modelId="{50D1C200-23F4-4548-980F-FF352B546700}" type="pres">
      <dgm:prSet presAssocID="{8C08E020-8626-4080-8DA8-8150E886C272}" presName="connTx" presStyleLbl="parChTrans1D3" presStyleIdx="1" presStyleCnt="6"/>
      <dgm:spPr/>
    </dgm:pt>
    <dgm:pt modelId="{4040FB0C-ADC0-4556-A6F2-BAF45191EF30}" type="pres">
      <dgm:prSet presAssocID="{9BAF2D50-5432-4773-92B8-AC1927A1E95B}" presName="root2" presStyleCnt="0"/>
      <dgm:spPr/>
    </dgm:pt>
    <dgm:pt modelId="{A54C6CF1-9666-4215-BB6D-5A93E40B6D23}" type="pres">
      <dgm:prSet presAssocID="{9BAF2D50-5432-4773-92B8-AC1927A1E95B}" presName="LevelTwoTextNode" presStyleLbl="node3" presStyleIdx="1" presStyleCnt="6">
        <dgm:presLayoutVars>
          <dgm:chPref val="3"/>
        </dgm:presLayoutVars>
      </dgm:prSet>
      <dgm:spPr/>
    </dgm:pt>
    <dgm:pt modelId="{A5DFB709-465B-45FC-86EA-4FBB8BBC35FD}" type="pres">
      <dgm:prSet presAssocID="{9BAF2D50-5432-4773-92B8-AC1927A1E95B}" presName="level3hierChild" presStyleCnt="0"/>
      <dgm:spPr/>
    </dgm:pt>
    <dgm:pt modelId="{AF571542-FBB4-46B2-8721-0CD401B001F6}" type="pres">
      <dgm:prSet presAssocID="{92D08BF8-23E6-446E-933F-F7B6EDCED309}" presName="conn2-1" presStyleLbl="parChTrans1D4" presStyleIdx="0" presStyleCnt="7"/>
      <dgm:spPr/>
    </dgm:pt>
    <dgm:pt modelId="{15F31EC9-A5EE-4B9F-9793-9A3A8D634A1B}" type="pres">
      <dgm:prSet presAssocID="{92D08BF8-23E6-446E-933F-F7B6EDCED309}" presName="connTx" presStyleLbl="parChTrans1D4" presStyleIdx="0" presStyleCnt="7"/>
      <dgm:spPr/>
    </dgm:pt>
    <dgm:pt modelId="{38E9947D-9096-4DE4-B672-393B843FC82E}" type="pres">
      <dgm:prSet presAssocID="{A26A66B1-B706-4473-A679-85F5D23E881F}" presName="root2" presStyleCnt="0"/>
      <dgm:spPr/>
    </dgm:pt>
    <dgm:pt modelId="{D526920F-9861-44DD-93D9-1E7F3E59F694}" type="pres">
      <dgm:prSet presAssocID="{A26A66B1-B706-4473-A679-85F5D23E881F}" presName="LevelTwoTextNode" presStyleLbl="node4" presStyleIdx="0" presStyleCnt="7">
        <dgm:presLayoutVars>
          <dgm:chPref val="3"/>
        </dgm:presLayoutVars>
      </dgm:prSet>
      <dgm:spPr/>
    </dgm:pt>
    <dgm:pt modelId="{B5170179-6820-4697-B8EF-78ACD1B5AE14}" type="pres">
      <dgm:prSet presAssocID="{A26A66B1-B706-4473-A679-85F5D23E881F}" presName="level3hierChild" presStyleCnt="0"/>
      <dgm:spPr/>
    </dgm:pt>
    <dgm:pt modelId="{2D2D2807-574D-4A47-AB1B-B3EB20AAE2AB}" type="pres">
      <dgm:prSet presAssocID="{4366527E-EE67-41DC-9387-63A1B2992750}" presName="conn2-1" presStyleLbl="parChTrans1D4" presStyleIdx="1" presStyleCnt="7"/>
      <dgm:spPr/>
    </dgm:pt>
    <dgm:pt modelId="{81CFD087-212B-4AAB-80D6-48FD6EC637EA}" type="pres">
      <dgm:prSet presAssocID="{4366527E-EE67-41DC-9387-63A1B2992750}" presName="connTx" presStyleLbl="parChTrans1D4" presStyleIdx="1" presStyleCnt="7"/>
      <dgm:spPr/>
    </dgm:pt>
    <dgm:pt modelId="{BA7EDD4B-05F8-449E-BF48-D47AD776C66D}" type="pres">
      <dgm:prSet presAssocID="{118EA4DD-B704-4604-8DD3-A10996AE4700}" presName="root2" presStyleCnt="0"/>
      <dgm:spPr/>
    </dgm:pt>
    <dgm:pt modelId="{542CA573-4857-442A-9F4A-8702A1C8B413}" type="pres">
      <dgm:prSet presAssocID="{118EA4DD-B704-4604-8DD3-A10996AE4700}" presName="LevelTwoTextNode" presStyleLbl="node4" presStyleIdx="1" presStyleCnt="7">
        <dgm:presLayoutVars>
          <dgm:chPref val="3"/>
        </dgm:presLayoutVars>
      </dgm:prSet>
      <dgm:spPr/>
    </dgm:pt>
    <dgm:pt modelId="{6AD653D6-D319-4D4B-95BA-D69B09347855}" type="pres">
      <dgm:prSet presAssocID="{118EA4DD-B704-4604-8DD3-A10996AE4700}" presName="level3hierChild" presStyleCnt="0"/>
      <dgm:spPr/>
    </dgm:pt>
    <dgm:pt modelId="{E989A813-E22E-4574-A597-8E20FB75514C}" type="pres">
      <dgm:prSet presAssocID="{35178BB7-474E-4437-8030-03874636B5D8}" presName="conn2-1" presStyleLbl="parChTrans1D4" presStyleIdx="2" presStyleCnt="7"/>
      <dgm:spPr/>
    </dgm:pt>
    <dgm:pt modelId="{B2D7A915-579C-4A7F-9CD4-E18457A3E0BB}" type="pres">
      <dgm:prSet presAssocID="{35178BB7-474E-4437-8030-03874636B5D8}" presName="connTx" presStyleLbl="parChTrans1D4" presStyleIdx="2" presStyleCnt="7"/>
      <dgm:spPr/>
    </dgm:pt>
    <dgm:pt modelId="{721DCE23-B91B-43B3-8E75-D088920CAC64}" type="pres">
      <dgm:prSet presAssocID="{88D54AF7-088C-47B9-B0BC-CB82A248EBB8}" presName="root2" presStyleCnt="0"/>
      <dgm:spPr/>
    </dgm:pt>
    <dgm:pt modelId="{A06B619D-C59C-4C24-B70B-4709428B8572}" type="pres">
      <dgm:prSet presAssocID="{88D54AF7-088C-47B9-B0BC-CB82A248EBB8}" presName="LevelTwoTextNode" presStyleLbl="node4" presStyleIdx="2" presStyleCnt="7">
        <dgm:presLayoutVars>
          <dgm:chPref val="3"/>
        </dgm:presLayoutVars>
      </dgm:prSet>
      <dgm:spPr/>
    </dgm:pt>
    <dgm:pt modelId="{EBD8AEF6-3CB0-4B0C-8645-9E2A8DB3EFD5}" type="pres">
      <dgm:prSet presAssocID="{88D54AF7-088C-47B9-B0BC-CB82A248EBB8}" presName="level3hierChild" presStyleCnt="0"/>
      <dgm:spPr/>
    </dgm:pt>
    <dgm:pt modelId="{1177FAFB-4D2B-4B00-9E7C-503DCCAC80A5}" type="pres">
      <dgm:prSet presAssocID="{AB98CCD0-4B2E-4BD0-8FAB-FBF3620F4B3F}" presName="conn2-1" presStyleLbl="parChTrans1D4" presStyleIdx="3" presStyleCnt="7"/>
      <dgm:spPr/>
    </dgm:pt>
    <dgm:pt modelId="{CCCE5F93-0C21-4958-AF72-18F657D42A68}" type="pres">
      <dgm:prSet presAssocID="{AB98CCD0-4B2E-4BD0-8FAB-FBF3620F4B3F}" presName="connTx" presStyleLbl="parChTrans1D4" presStyleIdx="3" presStyleCnt="7"/>
      <dgm:spPr/>
    </dgm:pt>
    <dgm:pt modelId="{850C0048-2CCD-47A6-BEBD-2FA32D0794A7}" type="pres">
      <dgm:prSet presAssocID="{A4B0D075-B464-4457-AAD1-6D7948DA7EA5}" presName="root2" presStyleCnt="0"/>
      <dgm:spPr/>
    </dgm:pt>
    <dgm:pt modelId="{D1A2B2A6-3D04-4FB1-B109-923A5FB30E6F}" type="pres">
      <dgm:prSet presAssocID="{A4B0D075-B464-4457-AAD1-6D7948DA7EA5}" presName="LevelTwoTextNode" presStyleLbl="node4" presStyleIdx="3" presStyleCnt="7">
        <dgm:presLayoutVars>
          <dgm:chPref val="3"/>
        </dgm:presLayoutVars>
      </dgm:prSet>
      <dgm:spPr/>
    </dgm:pt>
    <dgm:pt modelId="{C3624491-96AE-4797-A30D-2F26E2AEEDAE}" type="pres">
      <dgm:prSet presAssocID="{A4B0D075-B464-4457-AAD1-6D7948DA7EA5}" presName="level3hierChild" presStyleCnt="0"/>
      <dgm:spPr/>
    </dgm:pt>
    <dgm:pt modelId="{14F8A28E-96A1-4162-9A8A-DA94A3B921EA}" type="pres">
      <dgm:prSet presAssocID="{E442837C-71D8-42EB-BEAC-A005013B022E}" presName="conn2-1" presStyleLbl="parChTrans1D3" presStyleIdx="2" presStyleCnt="6"/>
      <dgm:spPr/>
    </dgm:pt>
    <dgm:pt modelId="{16027D2C-3CFC-4C92-B7FB-E45FAF08A1C4}" type="pres">
      <dgm:prSet presAssocID="{E442837C-71D8-42EB-BEAC-A005013B022E}" presName="connTx" presStyleLbl="parChTrans1D3" presStyleIdx="2" presStyleCnt="6"/>
      <dgm:spPr/>
    </dgm:pt>
    <dgm:pt modelId="{0FFAB837-E230-4F64-9E7A-C0321C155542}" type="pres">
      <dgm:prSet presAssocID="{0AB90F36-4A14-47EE-A636-72AEB08D8EF6}" presName="root2" presStyleCnt="0"/>
      <dgm:spPr/>
    </dgm:pt>
    <dgm:pt modelId="{49046632-515D-41EC-AC23-7DAA414BE2C0}" type="pres">
      <dgm:prSet presAssocID="{0AB90F36-4A14-47EE-A636-72AEB08D8EF6}" presName="LevelTwoTextNode" presStyleLbl="node3" presStyleIdx="2" presStyleCnt="6">
        <dgm:presLayoutVars>
          <dgm:chPref val="3"/>
        </dgm:presLayoutVars>
      </dgm:prSet>
      <dgm:spPr/>
    </dgm:pt>
    <dgm:pt modelId="{7E2BCB68-2551-4EC6-955C-95AA8262FBE8}" type="pres">
      <dgm:prSet presAssocID="{0AB90F36-4A14-47EE-A636-72AEB08D8EF6}" presName="level3hierChild" presStyleCnt="0"/>
      <dgm:spPr/>
    </dgm:pt>
    <dgm:pt modelId="{24D9A42F-E653-4F6B-909F-4ED003425ADD}" type="pres">
      <dgm:prSet presAssocID="{6C2ACF4A-13B8-4E3A-A42B-B11E8D7D6B23}" presName="conn2-1" presStyleLbl="parChTrans1D2" presStyleIdx="1" presStyleCnt="2"/>
      <dgm:spPr/>
    </dgm:pt>
    <dgm:pt modelId="{2AF5580D-43FB-480E-9FC5-312247634A15}" type="pres">
      <dgm:prSet presAssocID="{6C2ACF4A-13B8-4E3A-A42B-B11E8D7D6B23}" presName="connTx" presStyleLbl="parChTrans1D2" presStyleIdx="1" presStyleCnt="2"/>
      <dgm:spPr/>
    </dgm:pt>
    <dgm:pt modelId="{A1B9A938-52C0-4B92-B10F-C0D72335B3AF}" type="pres">
      <dgm:prSet presAssocID="{8B68C6CD-679A-4822-B65B-00058FE31AB1}" presName="root2" presStyleCnt="0"/>
      <dgm:spPr/>
    </dgm:pt>
    <dgm:pt modelId="{80EC6066-8A46-4AB2-B546-5BD5D9323C70}" type="pres">
      <dgm:prSet presAssocID="{8B68C6CD-679A-4822-B65B-00058FE31AB1}" presName="LevelTwoTextNode" presStyleLbl="node2" presStyleIdx="1" presStyleCnt="2">
        <dgm:presLayoutVars>
          <dgm:chPref val="3"/>
        </dgm:presLayoutVars>
      </dgm:prSet>
      <dgm:spPr/>
    </dgm:pt>
    <dgm:pt modelId="{3C5C2EEA-7EE8-4824-8511-885FB33E39DF}" type="pres">
      <dgm:prSet presAssocID="{8B68C6CD-679A-4822-B65B-00058FE31AB1}" presName="level3hierChild" presStyleCnt="0"/>
      <dgm:spPr/>
    </dgm:pt>
    <dgm:pt modelId="{59F3A200-0BA1-40E9-9F63-3832C9E89611}" type="pres">
      <dgm:prSet presAssocID="{55DFF091-0B05-40E5-AC2D-56567D6C86AD}" presName="conn2-1" presStyleLbl="parChTrans1D3" presStyleIdx="3" presStyleCnt="6"/>
      <dgm:spPr/>
    </dgm:pt>
    <dgm:pt modelId="{C86E486B-D1BC-49B2-AAF1-1FA01D6ECD46}" type="pres">
      <dgm:prSet presAssocID="{55DFF091-0B05-40E5-AC2D-56567D6C86AD}" presName="connTx" presStyleLbl="parChTrans1D3" presStyleIdx="3" presStyleCnt="6"/>
      <dgm:spPr/>
    </dgm:pt>
    <dgm:pt modelId="{35FBC7D7-77E1-45BD-9872-3878451ED936}" type="pres">
      <dgm:prSet presAssocID="{A2CC352E-91CE-476F-ABE0-25832A42FF60}" presName="root2" presStyleCnt="0"/>
      <dgm:spPr/>
    </dgm:pt>
    <dgm:pt modelId="{F90319E6-05D1-4BE1-99F0-E1E9E30543E5}" type="pres">
      <dgm:prSet presAssocID="{A2CC352E-91CE-476F-ABE0-25832A42FF60}" presName="LevelTwoTextNode" presStyleLbl="node3" presStyleIdx="3" presStyleCnt="6">
        <dgm:presLayoutVars>
          <dgm:chPref val="3"/>
        </dgm:presLayoutVars>
      </dgm:prSet>
      <dgm:spPr/>
    </dgm:pt>
    <dgm:pt modelId="{61B074BD-F277-4739-BBD3-51C7F94B136D}" type="pres">
      <dgm:prSet presAssocID="{A2CC352E-91CE-476F-ABE0-25832A42FF60}" presName="level3hierChild" presStyleCnt="0"/>
      <dgm:spPr/>
    </dgm:pt>
    <dgm:pt modelId="{60F402EC-AA4C-4308-A119-4F7F2BFD14B7}" type="pres">
      <dgm:prSet presAssocID="{FD2E0CB8-91CE-45BD-8D9E-47857E20B6B1}" presName="conn2-1" presStyleLbl="parChTrans1D4" presStyleIdx="4" presStyleCnt="7"/>
      <dgm:spPr/>
    </dgm:pt>
    <dgm:pt modelId="{2D945433-3FD2-4DF0-8381-47C2561BCCDA}" type="pres">
      <dgm:prSet presAssocID="{FD2E0CB8-91CE-45BD-8D9E-47857E20B6B1}" presName="connTx" presStyleLbl="parChTrans1D4" presStyleIdx="4" presStyleCnt="7"/>
      <dgm:spPr/>
    </dgm:pt>
    <dgm:pt modelId="{1EBEF9C7-1BF2-4223-AD52-6D9AF0FFBDED}" type="pres">
      <dgm:prSet presAssocID="{D6F4F8F3-81B4-43B8-94E3-DB16B79EFA24}" presName="root2" presStyleCnt="0"/>
      <dgm:spPr/>
    </dgm:pt>
    <dgm:pt modelId="{C9728A2C-5392-4126-A84A-8E24EC015016}" type="pres">
      <dgm:prSet presAssocID="{D6F4F8F3-81B4-43B8-94E3-DB16B79EFA24}" presName="LevelTwoTextNode" presStyleLbl="node4" presStyleIdx="4" presStyleCnt="7">
        <dgm:presLayoutVars>
          <dgm:chPref val="3"/>
        </dgm:presLayoutVars>
      </dgm:prSet>
      <dgm:spPr/>
    </dgm:pt>
    <dgm:pt modelId="{772A9891-2844-48EA-968B-3C3275019FBD}" type="pres">
      <dgm:prSet presAssocID="{D6F4F8F3-81B4-43B8-94E3-DB16B79EFA24}" presName="level3hierChild" presStyleCnt="0"/>
      <dgm:spPr/>
    </dgm:pt>
    <dgm:pt modelId="{4D43EF89-E959-4640-AF70-16ECCF5CE78D}" type="pres">
      <dgm:prSet presAssocID="{DBEDB092-C8EB-4265-B687-DAB6495A43EB}" presName="conn2-1" presStyleLbl="parChTrans1D3" presStyleIdx="4" presStyleCnt="6"/>
      <dgm:spPr/>
    </dgm:pt>
    <dgm:pt modelId="{57263D0B-9DFA-4623-BD86-2D8373630D70}" type="pres">
      <dgm:prSet presAssocID="{DBEDB092-C8EB-4265-B687-DAB6495A43EB}" presName="connTx" presStyleLbl="parChTrans1D3" presStyleIdx="4" presStyleCnt="6"/>
      <dgm:spPr/>
    </dgm:pt>
    <dgm:pt modelId="{B885CD7A-6D8C-443A-9E58-36705C9FABFC}" type="pres">
      <dgm:prSet presAssocID="{C8DDDF9F-415F-4637-BF51-8830E612A6E3}" presName="root2" presStyleCnt="0"/>
      <dgm:spPr/>
    </dgm:pt>
    <dgm:pt modelId="{5B20A107-03D6-4F65-BE12-63A33AFE7B68}" type="pres">
      <dgm:prSet presAssocID="{C8DDDF9F-415F-4637-BF51-8830E612A6E3}" presName="LevelTwoTextNode" presStyleLbl="node3" presStyleIdx="4" presStyleCnt="6" custLinFactNeighborX="0" custLinFactNeighborY="-27865">
        <dgm:presLayoutVars>
          <dgm:chPref val="3"/>
        </dgm:presLayoutVars>
      </dgm:prSet>
      <dgm:spPr/>
    </dgm:pt>
    <dgm:pt modelId="{BB1490A7-A167-480E-B5B1-945240245611}" type="pres">
      <dgm:prSet presAssocID="{C8DDDF9F-415F-4637-BF51-8830E612A6E3}" presName="level3hierChild" presStyleCnt="0"/>
      <dgm:spPr/>
    </dgm:pt>
    <dgm:pt modelId="{A2DF700B-BFEE-478D-B1C6-10A61764B838}" type="pres">
      <dgm:prSet presAssocID="{8293B278-EEAC-4916-9440-1C91EAA7F705}" presName="conn2-1" presStyleLbl="parChTrans1D4" presStyleIdx="5" presStyleCnt="7"/>
      <dgm:spPr/>
    </dgm:pt>
    <dgm:pt modelId="{7DC8CE2D-E711-4F71-99E1-F197C7AFEE16}" type="pres">
      <dgm:prSet presAssocID="{8293B278-EEAC-4916-9440-1C91EAA7F705}" presName="connTx" presStyleLbl="parChTrans1D4" presStyleIdx="5" presStyleCnt="7"/>
      <dgm:spPr/>
    </dgm:pt>
    <dgm:pt modelId="{CF447BE9-F570-491E-8460-E149DBCF7BC3}" type="pres">
      <dgm:prSet presAssocID="{C1281590-F62C-41B4-B6D1-A831E0F5E697}" presName="root2" presStyleCnt="0"/>
      <dgm:spPr/>
    </dgm:pt>
    <dgm:pt modelId="{588BD9D2-0FDE-45DA-B9C1-22F46371BDC0}" type="pres">
      <dgm:prSet presAssocID="{C1281590-F62C-41B4-B6D1-A831E0F5E697}" presName="LevelTwoTextNode" presStyleLbl="node4" presStyleIdx="5" presStyleCnt="7">
        <dgm:presLayoutVars>
          <dgm:chPref val="3"/>
        </dgm:presLayoutVars>
      </dgm:prSet>
      <dgm:spPr/>
    </dgm:pt>
    <dgm:pt modelId="{6D5770CE-433B-4D8F-AF30-DFA4FB8FF398}" type="pres">
      <dgm:prSet presAssocID="{C1281590-F62C-41B4-B6D1-A831E0F5E697}" presName="level3hierChild" presStyleCnt="0"/>
      <dgm:spPr/>
    </dgm:pt>
    <dgm:pt modelId="{19D1DECA-05EF-43ED-B90A-B3AD68735CB6}" type="pres">
      <dgm:prSet presAssocID="{2EEA940E-FF89-4372-9F1A-4EED9763C314}" presName="conn2-1" presStyleLbl="parChTrans1D4" presStyleIdx="6" presStyleCnt="7"/>
      <dgm:spPr/>
    </dgm:pt>
    <dgm:pt modelId="{470F1696-6C85-4D66-BA09-510FA6FFA3CD}" type="pres">
      <dgm:prSet presAssocID="{2EEA940E-FF89-4372-9F1A-4EED9763C314}" presName="connTx" presStyleLbl="parChTrans1D4" presStyleIdx="6" presStyleCnt="7"/>
      <dgm:spPr/>
    </dgm:pt>
    <dgm:pt modelId="{E8EFFECE-907A-4C78-B009-5F44A4D34B68}" type="pres">
      <dgm:prSet presAssocID="{B72F3FCF-A8DC-47A6-B677-D29DD67B8316}" presName="root2" presStyleCnt="0"/>
      <dgm:spPr/>
    </dgm:pt>
    <dgm:pt modelId="{F246E136-6A10-4EF3-8E35-EB69F2015B09}" type="pres">
      <dgm:prSet presAssocID="{B72F3FCF-A8DC-47A6-B677-D29DD67B8316}" presName="LevelTwoTextNode" presStyleLbl="node4" presStyleIdx="6" presStyleCnt="7">
        <dgm:presLayoutVars>
          <dgm:chPref val="3"/>
        </dgm:presLayoutVars>
      </dgm:prSet>
      <dgm:spPr/>
    </dgm:pt>
    <dgm:pt modelId="{BDEF201E-8F7D-43B2-ABB4-A65B0B69FEFE}" type="pres">
      <dgm:prSet presAssocID="{B72F3FCF-A8DC-47A6-B677-D29DD67B8316}" presName="level3hierChild" presStyleCnt="0"/>
      <dgm:spPr/>
    </dgm:pt>
    <dgm:pt modelId="{359F8E71-1899-49A2-A3C8-92AD35522E4F}" type="pres">
      <dgm:prSet presAssocID="{3434C0AE-432D-429E-8DA3-17062FE4592D}" presName="conn2-1" presStyleLbl="parChTrans1D3" presStyleIdx="5" presStyleCnt="6"/>
      <dgm:spPr/>
    </dgm:pt>
    <dgm:pt modelId="{23F2F9E1-ABAD-44F3-8BA6-4DD037112DBB}" type="pres">
      <dgm:prSet presAssocID="{3434C0AE-432D-429E-8DA3-17062FE4592D}" presName="connTx" presStyleLbl="parChTrans1D3" presStyleIdx="5" presStyleCnt="6"/>
      <dgm:spPr/>
    </dgm:pt>
    <dgm:pt modelId="{7E131A58-C82D-438E-99A4-8423ED7BF034}" type="pres">
      <dgm:prSet presAssocID="{48D75BF0-90BE-4FB9-8C8C-8ABE1BD7C5CE}" presName="root2" presStyleCnt="0"/>
      <dgm:spPr/>
    </dgm:pt>
    <dgm:pt modelId="{E19F38A9-67D6-4570-9579-0041D5A0E5E1}" type="pres">
      <dgm:prSet presAssocID="{48D75BF0-90BE-4FB9-8C8C-8ABE1BD7C5CE}" presName="LevelTwoTextNode" presStyleLbl="node3" presStyleIdx="5" presStyleCnt="6">
        <dgm:presLayoutVars>
          <dgm:chPref val="3"/>
        </dgm:presLayoutVars>
      </dgm:prSet>
      <dgm:spPr/>
    </dgm:pt>
    <dgm:pt modelId="{EA6B137D-AB99-4386-B2C3-D7A0420727C5}" type="pres">
      <dgm:prSet presAssocID="{48D75BF0-90BE-4FB9-8C8C-8ABE1BD7C5CE}" presName="level3hierChild" presStyleCnt="0"/>
      <dgm:spPr/>
    </dgm:pt>
  </dgm:ptLst>
  <dgm:cxnLst>
    <dgm:cxn modelId="{A116340C-9F18-4CFE-A023-47D704E2AC99}" srcId="{9BAF2D50-5432-4773-92B8-AC1927A1E95B}" destId="{118EA4DD-B704-4604-8DD3-A10996AE4700}" srcOrd="1" destOrd="0" parTransId="{4366527E-EE67-41DC-9387-63A1B2992750}" sibTransId="{F9FE9229-FD23-4A70-B826-B8C293D8F7F6}"/>
    <dgm:cxn modelId="{A6BC670E-FCFA-4D7F-858D-75BC32D3C6BA}" srcId="{8B68C6CD-679A-4822-B65B-00058FE31AB1}" destId="{C8DDDF9F-415F-4637-BF51-8830E612A6E3}" srcOrd="1" destOrd="0" parTransId="{DBEDB092-C8EB-4265-B687-DAB6495A43EB}" sibTransId="{16402A32-9BF7-42E6-B76B-3BD8BD469673}"/>
    <dgm:cxn modelId="{F973880E-D171-4D05-9D62-584B56A4ED4D}" type="presOf" srcId="{55DFF091-0B05-40E5-AC2D-56567D6C86AD}" destId="{59F3A200-0BA1-40E9-9F63-3832C9E89611}" srcOrd="0" destOrd="0" presId="urn:microsoft.com/office/officeart/2008/layout/HorizontalMultiLevelHierarchy"/>
    <dgm:cxn modelId="{BCA7420F-649B-435B-B6CE-5E5B8406D677}" srcId="{A94A4B4E-2162-451B-9715-4A880C36868E}" destId="{8B68C6CD-679A-4822-B65B-00058FE31AB1}" srcOrd="1" destOrd="0" parTransId="{6C2ACF4A-13B8-4E3A-A42B-B11E8D7D6B23}" sibTransId="{32E0ECE9-658C-4176-977F-44457DA39FD2}"/>
    <dgm:cxn modelId="{BBBC4F16-44E2-48B2-A96A-0C447372A023}" type="presOf" srcId="{48D75BF0-90BE-4FB9-8C8C-8ABE1BD7C5CE}" destId="{E19F38A9-67D6-4570-9579-0041D5A0E5E1}" srcOrd="0" destOrd="0" presId="urn:microsoft.com/office/officeart/2008/layout/HorizontalMultiLevelHierarchy"/>
    <dgm:cxn modelId="{7C6ECD2C-918B-466F-909A-E72756C4909C}" type="presOf" srcId="{35178BB7-474E-4437-8030-03874636B5D8}" destId="{B2D7A915-579C-4A7F-9CD4-E18457A3E0BB}" srcOrd="1" destOrd="0" presId="urn:microsoft.com/office/officeart/2008/layout/HorizontalMultiLevelHierarchy"/>
    <dgm:cxn modelId="{A037182D-5870-4370-8705-D3BEC0BA41E2}" type="presOf" srcId="{8B68C6CD-679A-4822-B65B-00058FE31AB1}" destId="{80EC6066-8A46-4AB2-B546-5BD5D9323C70}" srcOrd="0" destOrd="0" presId="urn:microsoft.com/office/officeart/2008/layout/HorizontalMultiLevelHierarchy"/>
    <dgm:cxn modelId="{39F86C32-DDB7-4AAA-A4C4-9BB4AF847C58}" srcId="{A94A4B4E-2162-451B-9715-4A880C36868E}" destId="{4338E26D-B086-4C46-976A-F059B670E172}" srcOrd="0" destOrd="0" parTransId="{B6DE5F35-306E-477E-A297-15A43317085A}" sibTransId="{408EC10E-0DE1-48F2-AE52-EC4FE28E5527}"/>
    <dgm:cxn modelId="{323E853A-BADE-453D-966D-2CBE67A3C430}" type="presOf" srcId="{C8DDDF9F-415F-4637-BF51-8830E612A6E3}" destId="{5B20A107-03D6-4F65-BE12-63A33AFE7B68}" srcOrd="0" destOrd="0" presId="urn:microsoft.com/office/officeart/2008/layout/HorizontalMultiLevelHierarchy"/>
    <dgm:cxn modelId="{F108BC3A-FEF9-47C3-9738-20EA66DF0285}" srcId="{9BAF2D50-5432-4773-92B8-AC1927A1E95B}" destId="{88D54AF7-088C-47B9-B0BC-CB82A248EBB8}" srcOrd="2" destOrd="0" parTransId="{35178BB7-474E-4437-8030-03874636B5D8}" sibTransId="{673DD652-4CA4-45E7-B738-6F7B4B6FBB5F}"/>
    <dgm:cxn modelId="{CA17C740-F157-4B3A-ADFE-C4FADA26B35A}" srcId="{1F5743CC-7B72-487A-AD43-B66A52D798E1}" destId="{A94A4B4E-2162-451B-9715-4A880C36868E}" srcOrd="0" destOrd="0" parTransId="{78B9BF0A-17AA-4ACD-93CD-7CFCFB50B3AE}" sibTransId="{EE55ED47-40CD-4D85-8481-FFE797BB3A46}"/>
    <dgm:cxn modelId="{7133E040-C26F-4912-97A8-14DF2792E7D1}" type="presOf" srcId="{D48A2287-5D37-40C3-874D-825CD20FCE37}" destId="{693AFC02-2A32-4C4F-B483-80CD719B424C}" srcOrd="0" destOrd="0" presId="urn:microsoft.com/office/officeart/2008/layout/HorizontalMultiLevelHierarchy"/>
    <dgm:cxn modelId="{248ABC60-A4A5-4729-9F82-8C8B1BD5B82B}" type="presOf" srcId="{AB98CCD0-4B2E-4BD0-8FAB-FBF3620F4B3F}" destId="{CCCE5F93-0C21-4958-AF72-18F657D42A68}" srcOrd="1" destOrd="0" presId="urn:microsoft.com/office/officeart/2008/layout/HorizontalMultiLevelHierarchy"/>
    <dgm:cxn modelId="{C6C12641-F708-4D0A-BB22-A9B2510E548C}" type="presOf" srcId="{A26A66B1-B706-4473-A679-85F5D23E881F}" destId="{D526920F-9861-44DD-93D9-1E7F3E59F694}" srcOrd="0" destOrd="0" presId="urn:microsoft.com/office/officeart/2008/layout/HorizontalMultiLevelHierarchy"/>
    <dgm:cxn modelId="{42B3A362-A34C-4A73-A5DA-64A784F1E739}" type="presOf" srcId="{92D08BF8-23E6-446E-933F-F7B6EDCED309}" destId="{AF571542-FBB4-46B2-8721-0CD401B001F6}" srcOrd="0" destOrd="0" presId="urn:microsoft.com/office/officeart/2008/layout/HorizontalMultiLevelHierarchy"/>
    <dgm:cxn modelId="{DFDE2043-0826-4CEE-A336-D83DA7E8514C}" srcId="{4338E26D-B086-4C46-976A-F059B670E172}" destId="{485239D6-E3E1-44B2-BE1B-36D4E3FA53D3}" srcOrd="0" destOrd="0" parTransId="{D48A2287-5D37-40C3-874D-825CD20FCE37}" sibTransId="{3E8CA4F2-2671-400A-B0B3-D2A8321F2179}"/>
    <dgm:cxn modelId="{9CC38C47-AB3D-401B-8DC8-3B8931D1E1E5}" type="presOf" srcId="{D48A2287-5D37-40C3-874D-825CD20FCE37}" destId="{1BDCD77C-B12F-4B1A-87B7-DD61304DDDCB}" srcOrd="1" destOrd="0" presId="urn:microsoft.com/office/officeart/2008/layout/HorizontalMultiLevelHierarchy"/>
    <dgm:cxn modelId="{7EE59E67-B67B-4E41-A217-99E62DC46F9D}" srcId="{C8DDDF9F-415F-4637-BF51-8830E612A6E3}" destId="{C1281590-F62C-41B4-B6D1-A831E0F5E697}" srcOrd="0" destOrd="0" parTransId="{8293B278-EEAC-4916-9440-1C91EAA7F705}" sibTransId="{5F56500C-2AA0-47AB-A1EE-53BF5B43E683}"/>
    <dgm:cxn modelId="{5ACCB548-CBBB-4489-94F4-6D577D839A2A}" type="presOf" srcId="{4338E26D-B086-4C46-976A-F059B670E172}" destId="{3F41E26B-11EB-47B1-8ACC-4921900006DB}" srcOrd="0" destOrd="0" presId="urn:microsoft.com/office/officeart/2008/layout/HorizontalMultiLevelHierarchy"/>
    <dgm:cxn modelId="{EDD7D148-D60F-4A69-8651-6CC5C1525FC4}" srcId="{4338E26D-B086-4C46-976A-F059B670E172}" destId="{9BAF2D50-5432-4773-92B8-AC1927A1E95B}" srcOrd="1" destOrd="0" parTransId="{8C08E020-8626-4080-8DA8-8150E886C272}" sibTransId="{14B01CD4-3036-4953-A261-585851A6ABFB}"/>
    <dgm:cxn modelId="{9826A36B-9F19-41EB-8BEA-860843373608}" type="presOf" srcId="{9BAF2D50-5432-4773-92B8-AC1927A1E95B}" destId="{A54C6CF1-9666-4215-BB6D-5A93E40B6D23}" srcOrd="0" destOrd="0" presId="urn:microsoft.com/office/officeart/2008/layout/HorizontalMultiLevelHierarchy"/>
    <dgm:cxn modelId="{C117C26B-98E7-43CA-B3D7-281BF6BA49B7}" type="presOf" srcId="{FD2E0CB8-91CE-45BD-8D9E-47857E20B6B1}" destId="{2D945433-3FD2-4DF0-8381-47C2561BCCDA}" srcOrd="1" destOrd="0" presId="urn:microsoft.com/office/officeart/2008/layout/HorizontalMultiLevelHierarchy"/>
    <dgm:cxn modelId="{0FA8286D-7F24-442F-9506-B1919E7C91FC}" srcId="{9BAF2D50-5432-4773-92B8-AC1927A1E95B}" destId="{A4B0D075-B464-4457-AAD1-6D7948DA7EA5}" srcOrd="3" destOrd="0" parTransId="{AB98CCD0-4B2E-4BD0-8FAB-FBF3620F4B3F}" sibTransId="{FA23D1B8-5479-4526-A14C-85685142EBE7}"/>
    <dgm:cxn modelId="{1431B76D-2348-4562-A411-5AC969C5357A}" type="presOf" srcId="{88D54AF7-088C-47B9-B0BC-CB82A248EBB8}" destId="{A06B619D-C59C-4C24-B70B-4709428B8572}" srcOrd="0" destOrd="0" presId="urn:microsoft.com/office/officeart/2008/layout/HorizontalMultiLevelHierarchy"/>
    <dgm:cxn modelId="{8452B252-1040-481B-80EE-4B86EB558F2C}" type="presOf" srcId="{8293B278-EEAC-4916-9440-1C91EAA7F705}" destId="{7DC8CE2D-E711-4F71-99E1-F197C7AFEE16}" srcOrd="1" destOrd="0" presId="urn:microsoft.com/office/officeart/2008/layout/HorizontalMultiLevelHierarchy"/>
    <dgm:cxn modelId="{BE908173-7A56-4DF4-963A-5D1BF81F3CDE}" type="presOf" srcId="{1F5743CC-7B72-487A-AD43-B66A52D798E1}" destId="{BFE473DC-87C0-48BE-8173-58452A34E2FA}" srcOrd="0" destOrd="0" presId="urn:microsoft.com/office/officeart/2008/layout/HorizontalMultiLevelHierarchy"/>
    <dgm:cxn modelId="{C3DE4E56-AA1B-4A25-B5F4-9836285B75C0}" type="presOf" srcId="{AB98CCD0-4B2E-4BD0-8FAB-FBF3620F4B3F}" destId="{1177FAFB-4D2B-4B00-9E7C-503DCCAC80A5}" srcOrd="0" destOrd="0" presId="urn:microsoft.com/office/officeart/2008/layout/HorizontalMultiLevelHierarchy"/>
    <dgm:cxn modelId="{6287C876-A3CD-4052-BC75-26E45BEFDC90}" type="presOf" srcId="{2EEA940E-FF89-4372-9F1A-4EED9763C314}" destId="{19D1DECA-05EF-43ED-B90A-B3AD68735CB6}" srcOrd="0" destOrd="0" presId="urn:microsoft.com/office/officeart/2008/layout/HorizontalMultiLevelHierarchy"/>
    <dgm:cxn modelId="{5442B97B-FC23-46E4-8FF5-4DBD14EFE23B}" type="presOf" srcId="{FD2E0CB8-91CE-45BD-8D9E-47857E20B6B1}" destId="{60F402EC-AA4C-4308-A119-4F7F2BFD14B7}" srcOrd="0" destOrd="0" presId="urn:microsoft.com/office/officeart/2008/layout/HorizontalMultiLevelHierarchy"/>
    <dgm:cxn modelId="{1304027C-1725-43AA-BC85-18B4B158B644}" type="presOf" srcId="{B6DE5F35-306E-477E-A297-15A43317085A}" destId="{02B609D5-E77D-4732-B15D-4A6A04091ABE}" srcOrd="1" destOrd="0" presId="urn:microsoft.com/office/officeart/2008/layout/HorizontalMultiLevelHierarchy"/>
    <dgm:cxn modelId="{7BDB1287-2DB5-4D56-89E4-663AD6C76CD6}" type="presOf" srcId="{4366527E-EE67-41DC-9387-63A1B2992750}" destId="{81CFD087-212B-4AAB-80D6-48FD6EC637EA}" srcOrd="1" destOrd="0" presId="urn:microsoft.com/office/officeart/2008/layout/HorizontalMultiLevelHierarchy"/>
    <dgm:cxn modelId="{142DFF87-DBCD-4765-8F99-D6D0B79F70D8}" srcId="{8B68C6CD-679A-4822-B65B-00058FE31AB1}" destId="{48D75BF0-90BE-4FB9-8C8C-8ABE1BD7C5CE}" srcOrd="2" destOrd="0" parTransId="{3434C0AE-432D-429E-8DA3-17062FE4592D}" sibTransId="{10FD194D-D4AE-4FDF-AC98-D963B66E0580}"/>
    <dgm:cxn modelId="{3CED8C8F-2735-4C99-A2F7-268045C75310}" srcId="{8B68C6CD-679A-4822-B65B-00058FE31AB1}" destId="{A2CC352E-91CE-476F-ABE0-25832A42FF60}" srcOrd="0" destOrd="0" parTransId="{55DFF091-0B05-40E5-AC2D-56567D6C86AD}" sibTransId="{5F3C2570-8BD6-48BE-B19E-80681EAA523F}"/>
    <dgm:cxn modelId="{6C6DE194-E5EA-42D0-8146-E7B2D4211174}" type="presOf" srcId="{B6DE5F35-306E-477E-A297-15A43317085A}" destId="{2F8EF566-1C4A-491C-9116-F938E8F3D6A5}" srcOrd="0" destOrd="0" presId="urn:microsoft.com/office/officeart/2008/layout/HorizontalMultiLevelHierarchy"/>
    <dgm:cxn modelId="{BB33B897-9650-4D8E-91FB-7F4FA4A26F52}" type="presOf" srcId="{D6F4F8F3-81B4-43B8-94E3-DB16B79EFA24}" destId="{C9728A2C-5392-4126-A84A-8E24EC015016}" srcOrd="0" destOrd="0" presId="urn:microsoft.com/office/officeart/2008/layout/HorizontalMultiLevelHierarchy"/>
    <dgm:cxn modelId="{EECD96A3-EF5C-423A-8384-2D8CCEAE8E70}" srcId="{A2CC352E-91CE-476F-ABE0-25832A42FF60}" destId="{D6F4F8F3-81B4-43B8-94E3-DB16B79EFA24}" srcOrd="0" destOrd="0" parTransId="{FD2E0CB8-91CE-45BD-8D9E-47857E20B6B1}" sibTransId="{19BFE027-5A7F-4496-8422-D32FF3B2DE67}"/>
    <dgm:cxn modelId="{4B4FBEA7-DEA4-43B1-8924-00CF8E0A974C}" srcId="{4338E26D-B086-4C46-976A-F059B670E172}" destId="{0AB90F36-4A14-47EE-A636-72AEB08D8EF6}" srcOrd="2" destOrd="0" parTransId="{E442837C-71D8-42EB-BEAC-A005013B022E}" sibTransId="{E2149ED2-036B-471D-A39B-B0DB4009496E}"/>
    <dgm:cxn modelId="{5510EDA7-3A0F-44B9-925C-A9577ED9D0BB}" type="presOf" srcId="{B72F3FCF-A8DC-47A6-B677-D29DD67B8316}" destId="{F246E136-6A10-4EF3-8E35-EB69F2015B09}" srcOrd="0" destOrd="0" presId="urn:microsoft.com/office/officeart/2008/layout/HorizontalMultiLevelHierarchy"/>
    <dgm:cxn modelId="{857E07A8-E0C7-4DEF-B365-509E2F9C947F}" type="presOf" srcId="{0AB90F36-4A14-47EE-A636-72AEB08D8EF6}" destId="{49046632-515D-41EC-AC23-7DAA414BE2C0}" srcOrd="0" destOrd="0" presId="urn:microsoft.com/office/officeart/2008/layout/HorizontalMultiLevelHierarchy"/>
    <dgm:cxn modelId="{DDA96BA8-1E6D-4414-9416-11C1499AEC76}" type="presOf" srcId="{55DFF091-0B05-40E5-AC2D-56567D6C86AD}" destId="{C86E486B-D1BC-49B2-AAF1-1FA01D6ECD46}" srcOrd="1" destOrd="0" presId="urn:microsoft.com/office/officeart/2008/layout/HorizontalMultiLevelHierarchy"/>
    <dgm:cxn modelId="{1AC6D7AA-57A8-429D-9EBB-FA9DDCC9EC53}" type="presOf" srcId="{35178BB7-474E-4437-8030-03874636B5D8}" destId="{E989A813-E22E-4574-A597-8E20FB75514C}" srcOrd="0" destOrd="0" presId="urn:microsoft.com/office/officeart/2008/layout/HorizontalMultiLevelHierarchy"/>
    <dgm:cxn modelId="{BBC8C7AB-5BDD-40B9-8929-3DE194F3F0B9}" type="presOf" srcId="{A94A4B4E-2162-451B-9715-4A880C36868E}" destId="{389BD0D3-91D0-4AA7-B539-165926CC4CF4}" srcOrd="0" destOrd="0" presId="urn:microsoft.com/office/officeart/2008/layout/HorizontalMultiLevelHierarchy"/>
    <dgm:cxn modelId="{A2CE12B2-6EB9-482B-B1F0-2A5C5B872231}" type="presOf" srcId="{118EA4DD-B704-4604-8DD3-A10996AE4700}" destId="{542CA573-4857-442A-9F4A-8702A1C8B413}" srcOrd="0" destOrd="0" presId="urn:microsoft.com/office/officeart/2008/layout/HorizontalMultiLevelHierarchy"/>
    <dgm:cxn modelId="{C60B6BB5-848F-44C7-8FAA-76AA804FF523}" type="presOf" srcId="{A4B0D075-B464-4457-AAD1-6D7948DA7EA5}" destId="{D1A2B2A6-3D04-4FB1-B109-923A5FB30E6F}" srcOrd="0" destOrd="0" presId="urn:microsoft.com/office/officeart/2008/layout/HorizontalMultiLevelHierarchy"/>
    <dgm:cxn modelId="{0C55F5BD-7D3D-4406-8C24-DCCFF6F4B948}" type="presOf" srcId="{485239D6-E3E1-44B2-BE1B-36D4E3FA53D3}" destId="{AB67E0BB-C6BE-4688-8749-566041095066}" srcOrd="0" destOrd="0" presId="urn:microsoft.com/office/officeart/2008/layout/HorizontalMultiLevelHierarchy"/>
    <dgm:cxn modelId="{375A15C0-CB1A-4A8F-A853-64AA8CCD6335}" type="presOf" srcId="{2EEA940E-FF89-4372-9F1A-4EED9763C314}" destId="{470F1696-6C85-4D66-BA09-510FA6FFA3CD}" srcOrd="1" destOrd="0" presId="urn:microsoft.com/office/officeart/2008/layout/HorizontalMultiLevelHierarchy"/>
    <dgm:cxn modelId="{EE41F4C0-ABD1-4E60-A3CF-CB61569D2FE5}" type="presOf" srcId="{6C2ACF4A-13B8-4E3A-A42B-B11E8D7D6B23}" destId="{24D9A42F-E653-4F6B-909F-4ED003425ADD}" srcOrd="0" destOrd="0" presId="urn:microsoft.com/office/officeart/2008/layout/HorizontalMultiLevelHierarchy"/>
    <dgm:cxn modelId="{FAAFB7C8-D3C4-43DE-A4E2-7A14AF67F16A}" type="presOf" srcId="{8293B278-EEAC-4916-9440-1C91EAA7F705}" destId="{A2DF700B-BFEE-478D-B1C6-10A61764B838}" srcOrd="0" destOrd="0" presId="urn:microsoft.com/office/officeart/2008/layout/HorizontalMultiLevelHierarchy"/>
    <dgm:cxn modelId="{8D7086CD-8F0B-4C9A-8ACC-1BA1D08805A1}" type="presOf" srcId="{C1281590-F62C-41B4-B6D1-A831E0F5E697}" destId="{588BD9D2-0FDE-45DA-B9C1-22F46371BDC0}" srcOrd="0" destOrd="0" presId="urn:microsoft.com/office/officeart/2008/layout/HorizontalMultiLevelHierarchy"/>
    <dgm:cxn modelId="{500791D8-CF36-4BF5-88BA-1A46531A46EF}" type="presOf" srcId="{DBEDB092-C8EB-4265-B687-DAB6495A43EB}" destId="{57263D0B-9DFA-4623-BD86-2D8373630D70}" srcOrd="1" destOrd="0" presId="urn:microsoft.com/office/officeart/2008/layout/HorizontalMultiLevelHierarchy"/>
    <dgm:cxn modelId="{808689DC-8558-4D10-A6C4-6DC1D93ADD1B}" type="presOf" srcId="{6C2ACF4A-13B8-4E3A-A42B-B11E8D7D6B23}" destId="{2AF5580D-43FB-480E-9FC5-312247634A15}" srcOrd="1" destOrd="0" presId="urn:microsoft.com/office/officeart/2008/layout/HorizontalMultiLevelHierarchy"/>
    <dgm:cxn modelId="{6A3FCCDC-63BE-4136-B710-7153E2DD4CB8}" type="presOf" srcId="{E442837C-71D8-42EB-BEAC-A005013B022E}" destId="{14F8A28E-96A1-4162-9A8A-DA94A3B921EA}" srcOrd="0" destOrd="0" presId="urn:microsoft.com/office/officeart/2008/layout/HorizontalMultiLevelHierarchy"/>
    <dgm:cxn modelId="{F3D040E5-4EC4-4D3B-920C-353FF3191756}" type="presOf" srcId="{8C08E020-8626-4080-8DA8-8150E886C272}" destId="{E10C9DA3-D0B4-47F4-9F47-2FB8427D5F6F}" srcOrd="0" destOrd="0" presId="urn:microsoft.com/office/officeart/2008/layout/HorizontalMultiLevelHierarchy"/>
    <dgm:cxn modelId="{5E3A9FE7-6A2E-43BB-85B2-7FE8868A0F23}" type="presOf" srcId="{3434C0AE-432D-429E-8DA3-17062FE4592D}" destId="{359F8E71-1899-49A2-A3C8-92AD35522E4F}" srcOrd="0" destOrd="0" presId="urn:microsoft.com/office/officeart/2008/layout/HorizontalMultiLevelHierarchy"/>
    <dgm:cxn modelId="{5C3EC0ED-AD06-4F0C-B18E-48E5F47626EA}" type="presOf" srcId="{4366527E-EE67-41DC-9387-63A1B2992750}" destId="{2D2D2807-574D-4A47-AB1B-B3EB20AAE2AB}" srcOrd="0" destOrd="0" presId="urn:microsoft.com/office/officeart/2008/layout/HorizontalMultiLevelHierarchy"/>
    <dgm:cxn modelId="{10CCF4ED-F9EA-477F-80A9-0CB98DDAE65D}" type="presOf" srcId="{3434C0AE-432D-429E-8DA3-17062FE4592D}" destId="{23F2F9E1-ABAD-44F3-8BA6-4DD037112DBB}" srcOrd="1" destOrd="0" presId="urn:microsoft.com/office/officeart/2008/layout/HorizontalMultiLevelHierarchy"/>
    <dgm:cxn modelId="{759E50F2-82C2-42CF-8451-1410D9B6A2AA}" type="presOf" srcId="{DBEDB092-C8EB-4265-B687-DAB6495A43EB}" destId="{4D43EF89-E959-4640-AF70-16ECCF5CE78D}" srcOrd="0" destOrd="0" presId="urn:microsoft.com/office/officeart/2008/layout/HorizontalMultiLevelHierarchy"/>
    <dgm:cxn modelId="{433E45F3-87AE-4FD8-A3C1-A2F791146E02}" type="presOf" srcId="{92D08BF8-23E6-446E-933F-F7B6EDCED309}" destId="{15F31EC9-A5EE-4B9F-9793-9A3A8D634A1B}" srcOrd="1" destOrd="0" presId="urn:microsoft.com/office/officeart/2008/layout/HorizontalMultiLevelHierarchy"/>
    <dgm:cxn modelId="{424158F4-8E75-4208-B829-8A8CA7432994}" srcId="{9BAF2D50-5432-4773-92B8-AC1927A1E95B}" destId="{A26A66B1-B706-4473-A679-85F5D23E881F}" srcOrd="0" destOrd="0" parTransId="{92D08BF8-23E6-446E-933F-F7B6EDCED309}" sibTransId="{C41F8AD9-D47F-4A7E-9355-9CA158192E2E}"/>
    <dgm:cxn modelId="{18EDBBF4-4E90-485F-B24B-87FD47142D76}" type="presOf" srcId="{E442837C-71D8-42EB-BEAC-A005013B022E}" destId="{16027D2C-3CFC-4C92-B7FB-E45FAF08A1C4}" srcOrd="1" destOrd="0" presId="urn:microsoft.com/office/officeart/2008/layout/HorizontalMultiLevelHierarchy"/>
    <dgm:cxn modelId="{FE76EFF5-0242-4ED7-8C6A-493E3829F107}" type="presOf" srcId="{A2CC352E-91CE-476F-ABE0-25832A42FF60}" destId="{F90319E6-05D1-4BE1-99F0-E1E9E30543E5}" srcOrd="0" destOrd="0" presId="urn:microsoft.com/office/officeart/2008/layout/HorizontalMultiLevelHierarchy"/>
    <dgm:cxn modelId="{BEC196F6-E384-40ED-9800-D40FD8981840}" type="presOf" srcId="{8C08E020-8626-4080-8DA8-8150E886C272}" destId="{50D1C200-23F4-4548-980F-FF352B546700}" srcOrd="1" destOrd="0" presId="urn:microsoft.com/office/officeart/2008/layout/HorizontalMultiLevelHierarchy"/>
    <dgm:cxn modelId="{EBD0E5FC-A727-4E19-B938-F6D840648AF4}" srcId="{C8DDDF9F-415F-4637-BF51-8830E612A6E3}" destId="{B72F3FCF-A8DC-47A6-B677-D29DD67B8316}" srcOrd="1" destOrd="0" parTransId="{2EEA940E-FF89-4372-9F1A-4EED9763C314}" sibTransId="{88D95B6B-58DA-48CC-B5B4-2B6750EB8133}"/>
    <dgm:cxn modelId="{8AEF9B9E-20B2-4F2C-B167-E54BE983B849}" type="presParOf" srcId="{BFE473DC-87C0-48BE-8173-58452A34E2FA}" destId="{D646C6A3-CBFF-4FD0-8065-BB0670C9AC45}" srcOrd="0" destOrd="0" presId="urn:microsoft.com/office/officeart/2008/layout/HorizontalMultiLevelHierarchy"/>
    <dgm:cxn modelId="{08C4E137-7850-41AF-B709-5D92CF753986}" type="presParOf" srcId="{D646C6A3-CBFF-4FD0-8065-BB0670C9AC45}" destId="{389BD0D3-91D0-4AA7-B539-165926CC4CF4}" srcOrd="0" destOrd="0" presId="urn:microsoft.com/office/officeart/2008/layout/HorizontalMultiLevelHierarchy"/>
    <dgm:cxn modelId="{DD7DF5B3-C5BE-4CD8-BF65-92AFCECFFC14}" type="presParOf" srcId="{D646C6A3-CBFF-4FD0-8065-BB0670C9AC45}" destId="{DCF97E4C-13A5-42F3-85F7-83E9FC3D7430}" srcOrd="1" destOrd="0" presId="urn:microsoft.com/office/officeart/2008/layout/HorizontalMultiLevelHierarchy"/>
    <dgm:cxn modelId="{2CFF2677-7701-42B3-A00F-ACD3F3CA7154}" type="presParOf" srcId="{DCF97E4C-13A5-42F3-85F7-83E9FC3D7430}" destId="{2F8EF566-1C4A-491C-9116-F938E8F3D6A5}" srcOrd="0" destOrd="0" presId="urn:microsoft.com/office/officeart/2008/layout/HorizontalMultiLevelHierarchy"/>
    <dgm:cxn modelId="{C57437E3-E7D1-48C9-967C-4B8AFFD2B2FA}" type="presParOf" srcId="{2F8EF566-1C4A-491C-9116-F938E8F3D6A5}" destId="{02B609D5-E77D-4732-B15D-4A6A04091ABE}" srcOrd="0" destOrd="0" presId="urn:microsoft.com/office/officeart/2008/layout/HorizontalMultiLevelHierarchy"/>
    <dgm:cxn modelId="{BF14C7CD-18E2-432F-8FEB-D891F5F64E2D}" type="presParOf" srcId="{DCF97E4C-13A5-42F3-85F7-83E9FC3D7430}" destId="{7C7D5A58-783E-47F8-839E-F25144C82884}" srcOrd="1" destOrd="0" presId="urn:microsoft.com/office/officeart/2008/layout/HorizontalMultiLevelHierarchy"/>
    <dgm:cxn modelId="{E8EFDE89-4745-4067-8FEF-CA9386A2ED64}" type="presParOf" srcId="{7C7D5A58-783E-47F8-839E-F25144C82884}" destId="{3F41E26B-11EB-47B1-8ACC-4921900006DB}" srcOrd="0" destOrd="0" presId="urn:microsoft.com/office/officeart/2008/layout/HorizontalMultiLevelHierarchy"/>
    <dgm:cxn modelId="{C17204F7-9F15-4B58-9232-7E3A87C91E83}" type="presParOf" srcId="{7C7D5A58-783E-47F8-839E-F25144C82884}" destId="{525FCAFB-57B8-4C53-839C-4346E6F4501B}" srcOrd="1" destOrd="0" presId="urn:microsoft.com/office/officeart/2008/layout/HorizontalMultiLevelHierarchy"/>
    <dgm:cxn modelId="{AA5CE508-16C9-450D-B44E-27A07A6BC723}" type="presParOf" srcId="{525FCAFB-57B8-4C53-839C-4346E6F4501B}" destId="{693AFC02-2A32-4C4F-B483-80CD719B424C}" srcOrd="0" destOrd="0" presId="urn:microsoft.com/office/officeart/2008/layout/HorizontalMultiLevelHierarchy"/>
    <dgm:cxn modelId="{063B90BA-6A30-456A-84F6-0580EB3CEFE0}" type="presParOf" srcId="{693AFC02-2A32-4C4F-B483-80CD719B424C}" destId="{1BDCD77C-B12F-4B1A-87B7-DD61304DDDCB}" srcOrd="0" destOrd="0" presId="urn:microsoft.com/office/officeart/2008/layout/HorizontalMultiLevelHierarchy"/>
    <dgm:cxn modelId="{BFD72C9E-8166-4D5B-838C-4354E66984DD}" type="presParOf" srcId="{525FCAFB-57B8-4C53-839C-4346E6F4501B}" destId="{A7F8CC49-1FDC-4EF8-8E1D-C4494ECFDD48}" srcOrd="1" destOrd="0" presId="urn:microsoft.com/office/officeart/2008/layout/HorizontalMultiLevelHierarchy"/>
    <dgm:cxn modelId="{DDC9F2FF-FE09-4629-AACA-680563893A55}" type="presParOf" srcId="{A7F8CC49-1FDC-4EF8-8E1D-C4494ECFDD48}" destId="{AB67E0BB-C6BE-4688-8749-566041095066}" srcOrd="0" destOrd="0" presId="urn:microsoft.com/office/officeart/2008/layout/HorizontalMultiLevelHierarchy"/>
    <dgm:cxn modelId="{E216FDA1-7299-4BFE-8BBF-7E99B58AB4AB}" type="presParOf" srcId="{A7F8CC49-1FDC-4EF8-8E1D-C4494ECFDD48}" destId="{FB954869-BC7A-4E94-A9A7-98AD8F02354B}" srcOrd="1" destOrd="0" presId="urn:microsoft.com/office/officeart/2008/layout/HorizontalMultiLevelHierarchy"/>
    <dgm:cxn modelId="{1B44D627-8EFE-4A6F-A8C1-DD2D4AE20F5C}" type="presParOf" srcId="{525FCAFB-57B8-4C53-839C-4346E6F4501B}" destId="{E10C9DA3-D0B4-47F4-9F47-2FB8427D5F6F}" srcOrd="2" destOrd="0" presId="urn:microsoft.com/office/officeart/2008/layout/HorizontalMultiLevelHierarchy"/>
    <dgm:cxn modelId="{F221D831-3BB3-4CC6-BD9D-A96BB0853641}" type="presParOf" srcId="{E10C9DA3-D0B4-47F4-9F47-2FB8427D5F6F}" destId="{50D1C200-23F4-4548-980F-FF352B546700}" srcOrd="0" destOrd="0" presId="urn:microsoft.com/office/officeart/2008/layout/HorizontalMultiLevelHierarchy"/>
    <dgm:cxn modelId="{D7D5F136-C4AF-4907-89DF-083DEE528E34}" type="presParOf" srcId="{525FCAFB-57B8-4C53-839C-4346E6F4501B}" destId="{4040FB0C-ADC0-4556-A6F2-BAF45191EF30}" srcOrd="3" destOrd="0" presId="urn:microsoft.com/office/officeart/2008/layout/HorizontalMultiLevelHierarchy"/>
    <dgm:cxn modelId="{54D32F56-99C0-4A51-8E48-6DA538B5797B}" type="presParOf" srcId="{4040FB0C-ADC0-4556-A6F2-BAF45191EF30}" destId="{A54C6CF1-9666-4215-BB6D-5A93E40B6D23}" srcOrd="0" destOrd="0" presId="urn:microsoft.com/office/officeart/2008/layout/HorizontalMultiLevelHierarchy"/>
    <dgm:cxn modelId="{5FBA68C7-2B5A-45BE-8824-90FEDF265CB7}" type="presParOf" srcId="{4040FB0C-ADC0-4556-A6F2-BAF45191EF30}" destId="{A5DFB709-465B-45FC-86EA-4FBB8BBC35FD}" srcOrd="1" destOrd="0" presId="urn:microsoft.com/office/officeart/2008/layout/HorizontalMultiLevelHierarchy"/>
    <dgm:cxn modelId="{1D93B510-0934-4407-AEE1-9EF80F47C5B3}" type="presParOf" srcId="{A5DFB709-465B-45FC-86EA-4FBB8BBC35FD}" destId="{AF571542-FBB4-46B2-8721-0CD401B001F6}" srcOrd="0" destOrd="0" presId="urn:microsoft.com/office/officeart/2008/layout/HorizontalMultiLevelHierarchy"/>
    <dgm:cxn modelId="{BA202A90-2C08-4804-8A04-1544A2FFB2F9}" type="presParOf" srcId="{AF571542-FBB4-46B2-8721-0CD401B001F6}" destId="{15F31EC9-A5EE-4B9F-9793-9A3A8D634A1B}" srcOrd="0" destOrd="0" presId="urn:microsoft.com/office/officeart/2008/layout/HorizontalMultiLevelHierarchy"/>
    <dgm:cxn modelId="{F172CB6D-8DA9-4033-8817-4B5C7636D132}" type="presParOf" srcId="{A5DFB709-465B-45FC-86EA-4FBB8BBC35FD}" destId="{38E9947D-9096-4DE4-B672-393B843FC82E}" srcOrd="1" destOrd="0" presId="urn:microsoft.com/office/officeart/2008/layout/HorizontalMultiLevelHierarchy"/>
    <dgm:cxn modelId="{D9DEA657-D4D3-4575-8F03-8294F0177C28}" type="presParOf" srcId="{38E9947D-9096-4DE4-B672-393B843FC82E}" destId="{D526920F-9861-44DD-93D9-1E7F3E59F694}" srcOrd="0" destOrd="0" presId="urn:microsoft.com/office/officeart/2008/layout/HorizontalMultiLevelHierarchy"/>
    <dgm:cxn modelId="{1292017D-31BA-4268-A83D-1113066D8CE7}" type="presParOf" srcId="{38E9947D-9096-4DE4-B672-393B843FC82E}" destId="{B5170179-6820-4697-B8EF-78ACD1B5AE14}" srcOrd="1" destOrd="0" presId="urn:microsoft.com/office/officeart/2008/layout/HorizontalMultiLevelHierarchy"/>
    <dgm:cxn modelId="{75A27B49-D45A-4044-8621-43213A781AC4}" type="presParOf" srcId="{A5DFB709-465B-45FC-86EA-4FBB8BBC35FD}" destId="{2D2D2807-574D-4A47-AB1B-B3EB20AAE2AB}" srcOrd="2" destOrd="0" presId="urn:microsoft.com/office/officeart/2008/layout/HorizontalMultiLevelHierarchy"/>
    <dgm:cxn modelId="{D7DA941E-2A38-4BAC-ABB7-4408316103CE}" type="presParOf" srcId="{2D2D2807-574D-4A47-AB1B-B3EB20AAE2AB}" destId="{81CFD087-212B-4AAB-80D6-48FD6EC637EA}" srcOrd="0" destOrd="0" presId="urn:microsoft.com/office/officeart/2008/layout/HorizontalMultiLevelHierarchy"/>
    <dgm:cxn modelId="{5748516D-CA9C-4365-BEB3-885CE7B6786B}" type="presParOf" srcId="{A5DFB709-465B-45FC-86EA-4FBB8BBC35FD}" destId="{BA7EDD4B-05F8-449E-BF48-D47AD776C66D}" srcOrd="3" destOrd="0" presId="urn:microsoft.com/office/officeart/2008/layout/HorizontalMultiLevelHierarchy"/>
    <dgm:cxn modelId="{49121130-BD4D-48A7-9A0C-2DA634AD987D}" type="presParOf" srcId="{BA7EDD4B-05F8-449E-BF48-D47AD776C66D}" destId="{542CA573-4857-442A-9F4A-8702A1C8B413}" srcOrd="0" destOrd="0" presId="urn:microsoft.com/office/officeart/2008/layout/HorizontalMultiLevelHierarchy"/>
    <dgm:cxn modelId="{B2153235-0947-475A-AC64-70E8ADD1D30A}" type="presParOf" srcId="{BA7EDD4B-05F8-449E-BF48-D47AD776C66D}" destId="{6AD653D6-D319-4D4B-95BA-D69B09347855}" srcOrd="1" destOrd="0" presId="urn:microsoft.com/office/officeart/2008/layout/HorizontalMultiLevelHierarchy"/>
    <dgm:cxn modelId="{A3B8035D-393A-4C8F-AEFF-106B2F8E5C82}" type="presParOf" srcId="{A5DFB709-465B-45FC-86EA-4FBB8BBC35FD}" destId="{E989A813-E22E-4574-A597-8E20FB75514C}" srcOrd="4" destOrd="0" presId="urn:microsoft.com/office/officeart/2008/layout/HorizontalMultiLevelHierarchy"/>
    <dgm:cxn modelId="{EC7088DC-B9C7-4D09-95AB-F6F47018811A}" type="presParOf" srcId="{E989A813-E22E-4574-A597-8E20FB75514C}" destId="{B2D7A915-579C-4A7F-9CD4-E18457A3E0BB}" srcOrd="0" destOrd="0" presId="urn:microsoft.com/office/officeart/2008/layout/HorizontalMultiLevelHierarchy"/>
    <dgm:cxn modelId="{D25DEA82-CE49-4630-BB90-54BF456D1917}" type="presParOf" srcId="{A5DFB709-465B-45FC-86EA-4FBB8BBC35FD}" destId="{721DCE23-B91B-43B3-8E75-D088920CAC64}" srcOrd="5" destOrd="0" presId="urn:microsoft.com/office/officeart/2008/layout/HorizontalMultiLevelHierarchy"/>
    <dgm:cxn modelId="{73BD3547-BF21-4BCB-BF0C-6A3AD5525FFD}" type="presParOf" srcId="{721DCE23-B91B-43B3-8E75-D088920CAC64}" destId="{A06B619D-C59C-4C24-B70B-4709428B8572}" srcOrd="0" destOrd="0" presId="urn:microsoft.com/office/officeart/2008/layout/HorizontalMultiLevelHierarchy"/>
    <dgm:cxn modelId="{D6AC58EB-278A-48F0-A22E-FBECC91516FE}" type="presParOf" srcId="{721DCE23-B91B-43B3-8E75-D088920CAC64}" destId="{EBD8AEF6-3CB0-4B0C-8645-9E2A8DB3EFD5}" srcOrd="1" destOrd="0" presId="urn:microsoft.com/office/officeart/2008/layout/HorizontalMultiLevelHierarchy"/>
    <dgm:cxn modelId="{48AAAC54-00AE-41AC-8B13-D9ACF4878242}" type="presParOf" srcId="{A5DFB709-465B-45FC-86EA-4FBB8BBC35FD}" destId="{1177FAFB-4D2B-4B00-9E7C-503DCCAC80A5}" srcOrd="6" destOrd="0" presId="urn:microsoft.com/office/officeart/2008/layout/HorizontalMultiLevelHierarchy"/>
    <dgm:cxn modelId="{72774C06-240F-4712-9DF6-00963796AAB1}" type="presParOf" srcId="{1177FAFB-4D2B-4B00-9E7C-503DCCAC80A5}" destId="{CCCE5F93-0C21-4958-AF72-18F657D42A68}" srcOrd="0" destOrd="0" presId="urn:microsoft.com/office/officeart/2008/layout/HorizontalMultiLevelHierarchy"/>
    <dgm:cxn modelId="{BFA00302-EEAD-4603-B290-77547048AA50}" type="presParOf" srcId="{A5DFB709-465B-45FC-86EA-4FBB8BBC35FD}" destId="{850C0048-2CCD-47A6-BEBD-2FA32D0794A7}" srcOrd="7" destOrd="0" presId="urn:microsoft.com/office/officeart/2008/layout/HorizontalMultiLevelHierarchy"/>
    <dgm:cxn modelId="{B237DDBC-D7FB-42EC-B5F0-0E632A1C305B}" type="presParOf" srcId="{850C0048-2CCD-47A6-BEBD-2FA32D0794A7}" destId="{D1A2B2A6-3D04-4FB1-B109-923A5FB30E6F}" srcOrd="0" destOrd="0" presId="urn:microsoft.com/office/officeart/2008/layout/HorizontalMultiLevelHierarchy"/>
    <dgm:cxn modelId="{A0949691-57FB-4D78-9170-AA42EF78BFCB}" type="presParOf" srcId="{850C0048-2CCD-47A6-BEBD-2FA32D0794A7}" destId="{C3624491-96AE-4797-A30D-2F26E2AEEDAE}" srcOrd="1" destOrd="0" presId="urn:microsoft.com/office/officeart/2008/layout/HorizontalMultiLevelHierarchy"/>
    <dgm:cxn modelId="{626BC0B8-00B1-4A82-BEA6-C537EB1F57E2}" type="presParOf" srcId="{525FCAFB-57B8-4C53-839C-4346E6F4501B}" destId="{14F8A28E-96A1-4162-9A8A-DA94A3B921EA}" srcOrd="4" destOrd="0" presId="urn:microsoft.com/office/officeart/2008/layout/HorizontalMultiLevelHierarchy"/>
    <dgm:cxn modelId="{957FF064-3A2F-4A89-8402-393934EF3916}" type="presParOf" srcId="{14F8A28E-96A1-4162-9A8A-DA94A3B921EA}" destId="{16027D2C-3CFC-4C92-B7FB-E45FAF08A1C4}" srcOrd="0" destOrd="0" presId="urn:microsoft.com/office/officeart/2008/layout/HorizontalMultiLevelHierarchy"/>
    <dgm:cxn modelId="{6A4A69D4-0DE9-4B38-8204-1E1B658AD0BB}" type="presParOf" srcId="{525FCAFB-57B8-4C53-839C-4346E6F4501B}" destId="{0FFAB837-E230-4F64-9E7A-C0321C155542}" srcOrd="5" destOrd="0" presId="urn:microsoft.com/office/officeart/2008/layout/HorizontalMultiLevelHierarchy"/>
    <dgm:cxn modelId="{68CDA6F3-6E69-458C-8F3E-1BADAE044F2D}" type="presParOf" srcId="{0FFAB837-E230-4F64-9E7A-C0321C155542}" destId="{49046632-515D-41EC-AC23-7DAA414BE2C0}" srcOrd="0" destOrd="0" presId="urn:microsoft.com/office/officeart/2008/layout/HorizontalMultiLevelHierarchy"/>
    <dgm:cxn modelId="{F8311D43-073E-47E5-8CB8-F3852B53E377}" type="presParOf" srcId="{0FFAB837-E230-4F64-9E7A-C0321C155542}" destId="{7E2BCB68-2551-4EC6-955C-95AA8262FBE8}" srcOrd="1" destOrd="0" presId="urn:microsoft.com/office/officeart/2008/layout/HorizontalMultiLevelHierarchy"/>
    <dgm:cxn modelId="{6D0A3795-BFA2-4740-A1CB-9C3055E19E97}" type="presParOf" srcId="{DCF97E4C-13A5-42F3-85F7-83E9FC3D7430}" destId="{24D9A42F-E653-4F6B-909F-4ED003425ADD}" srcOrd="2" destOrd="0" presId="urn:microsoft.com/office/officeart/2008/layout/HorizontalMultiLevelHierarchy"/>
    <dgm:cxn modelId="{3377BDDB-A2EA-4F3C-995C-DFD3483A55E9}" type="presParOf" srcId="{24D9A42F-E653-4F6B-909F-4ED003425ADD}" destId="{2AF5580D-43FB-480E-9FC5-312247634A15}" srcOrd="0" destOrd="0" presId="urn:microsoft.com/office/officeart/2008/layout/HorizontalMultiLevelHierarchy"/>
    <dgm:cxn modelId="{CA58DF30-729C-495E-BA66-00E15912334F}" type="presParOf" srcId="{DCF97E4C-13A5-42F3-85F7-83E9FC3D7430}" destId="{A1B9A938-52C0-4B92-B10F-C0D72335B3AF}" srcOrd="3" destOrd="0" presId="urn:microsoft.com/office/officeart/2008/layout/HorizontalMultiLevelHierarchy"/>
    <dgm:cxn modelId="{15C9E823-6EAE-4BA1-9A0A-37FB83008978}" type="presParOf" srcId="{A1B9A938-52C0-4B92-B10F-C0D72335B3AF}" destId="{80EC6066-8A46-4AB2-B546-5BD5D9323C70}" srcOrd="0" destOrd="0" presId="urn:microsoft.com/office/officeart/2008/layout/HorizontalMultiLevelHierarchy"/>
    <dgm:cxn modelId="{E730395F-6C97-44F6-8578-90CFF9BB69E6}" type="presParOf" srcId="{A1B9A938-52C0-4B92-B10F-C0D72335B3AF}" destId="{3C5C2EEA-7EE8-4824-8511-885FB33E39DF}" srcOrd="1" destOrd="0" presId="urn:microsoft.com/office/officeart/2008/layout/HorizontalMultiLevelHierarchy"/>
    <dgm:cxn modelId="{5DE960A2-A632-4CDC-92FF-2718252034C2}" type="presParOf" srcId="{3C5C2EEA-7EE8-4824-8511-885FB33E39DF}" destId="{59F3A200-0BA1-40E9-9F63-3832C9E89611}" srcOrd="0" destOrd="0" presId="urn:microsoft.com/office/officeart/2008/layout/HorizontalMultiLevelHierarchy"/>
    <dgm:cxn modelId="{181E4187-5332-4C66-A953-6FF191D54283}" type="presParOf" srcId="{59F3A200-0BA1-40E9-9F63-3832C9E89611}" destId="{C86E486B-D1BC-49B2-AAF1-1FA01D6ECD46}" srcOrd="0" destOrd="0" presId="urn:microsoft.com/office/officeart/2008/layout/HorizontalMultiLevelHierarchy"/>
    <dgm:cxn modelId="{D174C3EF-0F2D-4949-9E0E-355BF6458C9A}" type="presParOf" srcId="{3C5C2EEA-7EE8-4824-8511-885FB33E39DF}" destId="{35FBC7D7-77E1-45BD-9872-3878451ED936}" srcOrd="1" destOrd="0" presId="urn:microsoft.com/office/officeart/2008/layout/HorizontalMultiLevelHierarchy"/>
    <dgm:cxn modelId="{47444308-27F6-42EE-989E-61247E19B0CA}" type="presParOf" srcId="{35FBC7D7-77E1-45BD-9872-3878451ED936}" destId="{F90319E6-05D1-4BE1-99F0-E1E9E30543E5}" srcOrd="0" destOrd="0" presId="urn:microsoft.com/office/officeart/2008/layout/HorizontalMultiLevelHierarchy"/>
    <dgm:cxn modelId="{BCB21210-F9ED-47EC-BF7B-830933FCBB06}" type="presParOf" srcId="{35FBC7D7-77E1-45BD-9872-3878451ED936}" destId="{61B074BD-F277-4739-BBD3-51C7F94B136D}" srcOrd="1" destOrd="0" presId="urn:microsoft.com/office/officeart/2008/layout/HorizontalMultiLevelHierarchy"/>
    <dgm:cxn modelId="{0E42344E-44D0-4AE6-A229-EB922A364997}" type="presParOf" srcId="{61B074BD-F277-4739-BBD3-51C7F94B136D}" destId="{60F402EC-AA4C-4308-A119-4F7F2BFD14B7}" srcOrd="0" destOrd="0" presId="urn:microsoft.com/office/officeart/2008/layout/HorizontalMultiLevelHierarchy"/>
    <dgm:cxn modelId="{903CCF35-6DB3-4593-B1D9-B7A8DFD0B186}" type="presParOf" srcId="{60F402EC-AA4C-4308-A119-4F7F2BFD14B7}" destId="{2D945433-3FD2-4DF0-8381-47C2561BCCDA}" srcOrd="0" destOrd="0" presId="urn:microsoft.com/office/officeart/2008/layout/HorizontalMultiLevelHierarchy"/>
    <dgm:cxn modelId="{204C0C70-3A22-4D1D-9DBA-432150B07259}" type="presParOf" srcId="{61B074BD-F277-4739-BBD3-51C7F94B136D}" destId="{1EBEF9C7-1BF2-4223-AD52-6D9AF0FFBDED}" srcOrd="1" destOrd="0" presId="urn:microsoft.com/office/officeart/2008/layout/HorizontalMultiLevelHierarchy"/>
    <dgm:cxn modelId="{30D661A5-F62D-4074-B88B-806C1901A974}" type="presParOf" srcId="{1EBEF9C7-1BF2-4223-AD52-6D9AF0FFBDED}" destId="{C9728A2C-5392-4126-A84A-8E24EC015016}" srcOrd="0" destOrd="0" presId="urn:microsoft.com/office/officeart/2008/layout/HorizontalMultiLevelHierarchy"/>
    <dgm:cxn modelId="{EBE5CA60-E379-4DCD-ACA1-05F0BE0A6E9B}" type="presParOf" srcId="{1EBEF9C7-1BF2-4223-AD52-6D9AF0FFBDED}" destId="{772A9891-2844-48EA-968B-3C3275019FBD}" srcOrd="1" destOrd="0" presId="urn:microsoft.com/office/officeart/2008/layout/HorizontalMultiLevelHierarchy"/>
    <dgm:cxn modelId="{AA75085B-DACB-42EE-9929-8990D5D41909}" type="presParOf" srcId="{3C5C2EEA-7EE8-4824-8511-885FB33E39DF}" destId="{4D43EF89-E959-4640-AF70-16ECCF5CE78D}" srcOrd="2" destOrd="0" presId="urn:microsoft.com/office/officeart/2008/layout/HorizontalMultiLevelHierarchy"/>
    <dgm:cxn modelId="{4A6E7095-DA8D-4AB0-8797-8F9287076937}" type="presParOf" srcId="{4D43EF89-E959-4640-AF70-16ECCF5CE78D}" destId="{57263D0B-9DFA-4623-BD86-2D8373630D70}" srcOrd="0" destOrd="0" presId="urn:microsoft.com/office/officeart/2008/layout/HorizontalMultiLevelHierarchy"/>
    <dgm:cxn modelId="{7E81435B-DA9A-4AEC-AA2E-6474DEAF1DCF}" type="presParOf" srcId="{3C5C2EEA-7EE8-4824-8511-885FB33E39DF}" destId="{B885CD7A-6D8C-443A-9E58-36705C9FABFC}" srcOrd="3" destOrd="0" presId="urn:microsoft.com/office/officeart/2008/layout/HorizontalMultiLevelHierarchy"/>
    <dgm:cxn modelId="{F59F30BD-EB2B-42E9-86F3-3C9191A3457A}" type="presParOf" srcId="{B885CD7A-6D8C-443A-9E58-36705C9FABFC}" destId="{5B20A107-03D6-4F65-BE12-63A33AFE7B68}" srcOrd="0" destOrd="0" presId="urn:microsoft.com/office/officeart/2008/layout/HorizontalMultiLevelHierarchy"/>
    <dgm:cxn modelId="{7FDDD047-0818-448A-A043-6671FD1AC7AF}" type="presParOf" srcId="{B885CD7A-6D8C-443A-9E58-36705C9FABFC}" destId="{BB1490A7-A167-480E-B5B1-945240245611}" srcOrd="1" destOrd="0" presId="urn:microsoft.com/office/officeart/2008/layout/HorizontalMultiLevelHierarchy"/>
    <dgm:cxn modelId="{341EBFA6-7F85-4411-BBD7-24EFF78280F3}" type="presParOf" srcId="{BB1490A7-A167-480E-B5B1-945240245611}" destId="{A2DF700B-BFEE-478D-B1C6-10A61764B838}" srcOrd="0" destOrd="0" presId="urn:microsoft.com/office/officeart/2008/layout/HorizontalMultiLevelHierarchy"/>
    <dgm:cxn modelId="{CAC77528-4224-40E0-9C96-2EF7879F7EA0}" type="presParOf" srcId="{A2DF700B-BFEE-478D-B1C6-10A61764B838}" destId="{7DC8CE2D-E711-4F71-99E1-F197C7AFEE16}" srcOrd="0" destOrd="0" presId="urn:microsoft.com/office/officeart/2008/layout/HorizontalMultiLevelHierarchy"/>
    <dgm:cxn modelId="{6405A3E2-6ED6-4F6B-A7FD-B6F112820934}" type="presParOf" srcId="{BB1490A7-A167-480E-B5B1-945240245611}" destId="{CF447BE9-F570-491E-8460-E149DBCF7BC3}" srcOrd="1" destOrd="0" presId="urn:microsoft.com/office/officeart/2008/layout/HorizontalMultiLevelHierarchy"/>
    <dgm:cxn modelId="{160A4C9E-2D52-48B4-95A0-6EF736D26830}" type="presParOf" srcId="{CF447BE9-F570-491E-8460-E149DBCF7BC3}" destId="{588BD9D2-0FDE-45DA-B9C1-22F46371BDC0}" srcOrd="0" destOrd="0" presId="urn:microsoft.com/office/officeart/2008/layout/HorizontalMultiLevelHierarchy"/>
    <dgm:cxn modelId="{F59A7CEE-9E76-4498-9646-BB1A0A939339}" type="presParOf" srcId="{CF447BE9-F570-491E-8460-E149DBCF7BC3}" destId="{6D5770CE-433B-4D8F-AF30-DFA4FB8FF398}" srcOrd="1" destOrd="0" presId="urn:microsoft.com/office/officeart/2008/layout/HorizontalMultiLevelHierarchy"/>
    <dgm:cxn modelId="{EA998CB1-78A3-494E-B4A7-5CC9E4567324}" type="presParOf" srcId="{BB1490A7-A167-480E-B5B1-945240245611}" destId="{19D1DECA-05EF-43ED-B90A-B3AD68735CB6}" srcOrd="2" destOrd="0" presId="urn:microsoft.com/office/officeart/2008/layout/HorizontalMultiLevelHierarchy"/>
    <dgm:cxn modelId="{6C2191A8-C5E5-4164-8407-1FD052416557}" type="presParOf" srcId="{19D1DECA-05EF-43ED-B90A-B3AD68735CB6}" destId="{470F1696-6C85-4D66-BA09-510FA6FFA3CD}" srcOrd="0" destOrd="0" presId="urn:microsoft.com/office/officeart/2008/layout/HorizontalMultiLevelHierarchy"/>
    <dgm:cxn modelId="{24EA61DE-E530-4D80-969F-1653C160D7AB}" type="presParOf" srcId="{BB1490A7-A167-480E-B5B1-945240245611}" destId="{E8EFFECE-907A-4C78-B009-5F44A4D34B68}" srcOrd="3" destOrd="0" presId="urn:microsoft.com/office/officeart/2008/layout/HorizontalMultiLevelHierarchy"/>
    <dgm:cxn modelId="{69E4E705-72DD-413E-824D-2508F432F4B3}" type="presParOf" srcId="{E8EFFECE-907A-4C78-B009-5F44A4D34B68}" destId="{F246E136-6A10-4EF3-8E35-EB69F2015B09}" srcOrd="0" destOrd="0" presId="urn:microsoft.com/office/officeart/2008/layout/HorizontalMultiLevelHierarchy"/>
    <dgm:cxn modelId="{66063AD1-9556-4FE7-BD85-20E74EA236AF}" type="presParOf" srcId="{E8EFFECE-907A-4C78-B009-5F44A4D34B68}" destId="{BDEF201E-8F7D-43B2-ABB4-A65B0B69FEFE}" srcOrd="1" destOrd="0" presId="urn:microsoft.com/office/officeart/2008/layout/HorizontalMultiLevelHierarchy"/>
    <dgm:cxn modelId="{D4530FD0-F065-4238-AA10-3DD206C499CD}" type="presParOf" srcId="{3C5C2EEA-7EE8-4824-8511-885FB33E39DF}" destId="{359F8E71-1899-49A2-A3C8-92AD35522E4F}" srcOrd="4" destOrd="0" presId="urn:microsoft.com/office/officeart/2008/layout/HorizontalMultiLevelHierarchy"/>
    <dgm:cxn modelId="{DBBC3BD6-CB00-45DF-B721-936F0B6C2733}" type="presParOf" srcId="{359F8E71-1899-49A2-A3C8-92AD35522E4F}" destId="{23F2F9E1-ABAD-44F3-8BA6-4DD037112DBB}" srcOrd="0" destOrd="0" presId="urn:microsoft.com/office/officeart/2008/layout/HorizontalMultiLevelHierarchy"/>
    <dgm:cxn modelId="{F686C116-FB43-4153-8C5F-DCE8B5984CE5}" type="presParOf" srcId="{3C5C2EEA-7EE8-4824-8511-885FB33E39DF}" destId="{7E131A58-C82D-438E-99A4-8423ED7BF034}" srcOrd="5" destOrd="0" presId="urn:microsoft.com/office/officeart/2008/layout/HorizontalMultiLevelHierarchy"/>
    <dgm:cxn modelId="{4F9E5963-F328-4050-A0D8-9542DA2261BD}" type="presParOf" srcId="{7E131A58-C82D-438E-99A4-8423ED7BF034}" destId="{E19F38A9-67D6-4570-9579-0041D5A0E5E1}" srcOrd="0" destOrd="0" presId="urn:microsoft.com/office/officeart/2008/layout/HorizontalMultiLevelHierarchy"/>
    <dgm:cxn modelId="{69EC76DA-02EE-46CB-BE5F-8DEC56E72D97}" type="presParOf" srcId="{7E131A58-C82D-438E-99A4-8423ED7BF034}" destId="{EA6B137D-AB99-4386-B2C3-D7A0420727C5}" srcOrd="1" destOrd="0" presId="urn:microsoft.com/office/officeart/2008/layout/HorizontalMultiLevelHierarchy"/>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1F5743CC-7B72-487A-AD43-B66A52D798E1}" type="doc">
      <dgm:prSet loTypeId="urn:microsoft.com/office/officeart/2008/layout/HorizontalMultiLevelHierarchy" loCatId="hierarchy" qsTypeId="urn:microsoft.com/office/officeart/2005/8/quickstyle/simple1" qsCatId="simple" csTypeId="urn:microsoft.com/office/officeart/2005/8/colors/colorful1" csCatId="colorful" phldr="1"/>
      <dgm:spPr/>
      <dgm:t>
        <a:bodyPr/>
        <a:lstStyle/>
        <a:p>
          <a:endParaRPr lang="es-CL"/>
        </a:p>
      </dgm:t>
    </dgm:pt>
    <dgm:pt modelId="{A94A4B4E-2162-451B-9715-4A880C36868E}">
      <dgm:prSet phldrT="[Texto]" phldr="1"/>
      <dgm:spPr/>
      <dgm:t>
        <a:bodyPr/>
        <a:lstStyle/>
        <a:p>
          <a:endParaRPr lang="es-CL" dirty="0"/>
        </a:p>
      </dgm:t>
    </dgm:pt>
    <dgm:pt modelId="{78B9BF0A-17AA-4ACD-93CD-7CFCFB50B3AE}" type="parTrans" cxnId="{CA17C740-F157-4B3A-ADFE-C4FADA26B35A}">
      <dgm:prSet/>
      <dgm:spPr/>
      <dgm:t>
        <a:bodyPr/>
        <a:lstStyle/>
        <a:p>
          <a:endParaRPr lang="es-CL"/>
        </a:p>
      </dgm:t>
    </dgm:pt>
    <dgm:pt modelId="{EE55ED47-40CD-4D85-8481-FFE797BB3A46}" type="sibTrans" cxnId="{CA17C740-F157-4B3A-ADFE-C4FADA26B35A}">
      <dgm:prSet/>
      <dgm:spPr/>
      <dgm:t>
        <a:bodyPr/>
        <a:lstStyle/>
        <a:p>
          <a:endParaRPr lang="es-CL"/>
        </a:p>
      </dgm:t>
    </dgm:pt>
    <dgm:pt modelId="{4338E26D-B086-4C46-976A-F059B670E172}">
      <dgm:prSet phldrT="[Texto]"/>
      <dgm:spPr/>
      <dgm:t>
        <a:bodyPr/>
        <a:lstStyle/>
        <a:p>
          <a:r>
            <a:rPr lang="es-CL" dirty="0"/>
            <a:t>Demanda crece</a:t>
          </a:r>
        </a:p>
      </dgm:t>
    </dgm:pt>
    <dgm:pt modelId="{B6DE5F35-306E-477E-A297-15A43317085A}" type="parTrans" cxnId="{39F86C32-DDB7-4AAA-A4C4-9BB4AF847C58}">
      <dgm:prSet/>
      <dgm:spPr/>
      <dgm:t>
        <a:bodyPr/>
        <a:lstStyle/>
        <a:p>
          <a:endParaRPr lang="es-CL"/>
        </a:p>
      </dgm:t>
    </dgm:pt>
    <dgm:pt modelId="{408EC10E-0DE1-48F2-AE52-EC4FE28E5527}" type="sibTrans" cxnId="{39F86C32-DDB7-4AAA-A4C4-9BB4AF847C58}">
      <dgm:prSet/>
      <dgm:spPr/>
      <dgm:t>
        <a:bodyPr/>
        <a:lstStyle/>
        <a:p>
          <a:endParaRPr lang="es-CL"/>
        </a:p>
      </dgm:t>
    </dgm:pt>
    <dgm:pt modelId="{0AB90F36-4A14-47EE-A636-72AEB08D8EF6}">
      <dgm:prSet phldrT="[Texto]"/>
      <dgm:spPr/>
      <dgm:t>
        <a:bodyPr/>
        <a:lstStyle/>
        <a:p>
          <a:r>
            <a:rPr lang="es-CL" dirty="0"/>
            <a:t>No invertir</a:t>
          </a:r>
        </a:p>
      </dgm:t>
    </dgm:pt>
    <dgm:pt modelId="{E442837C-71D8-42EB-BEAC-A005013B022E}" type="parTrans" cxnId="{4B4FBEA7-DEA4-43B1-8924-00CF8E0A974C}">
      <dgm:prSet/>
      <dgm:spPr/>
      <dgm:t>
        <a:bodyPr/>
        <a:lstStyle/>
        <a:p>
          <a:endParaRPr lang="es-CL"/>
        </a:p>
      </dgm:t>
    </dgm:pt>
    <dgm:pt modelId="{E2149ED2-036B-471D-A39B-B0DB4009496E}" type="sibTrans" cxnId="{4B4FBEA7-DEA4-43B1-8924-00CF8E0A974C}">
      <dgm:prSet/>
      <dgm:spPr/>
      <dgm:t>
        <a:bodyPr/>
        <a:lstStyle/>
        <a:p>
          <a:endParaRPr lang="es-CL"/>
        </a:p>
      </dgm:t>
    </dgm:pt>
    <dgm:pt modelId="{9BAF2D50-5432-4773-92B8-AC1927A1E95B}">
      <dgm:prSet phldrT="[Texto]"/>
      <dgm:spPr/>
      <dgm:t>
        <a:bodyPr/>
        <a:lstStyle/>
        <a:p>
          <a:r>
            <a:rPr lang="es-CL" dirty="0"/>
            <a:t>Inv. GD</a:t>
          </a:r>
        </a:p>
      </dgm:t>
    </dgm:pt>
    <dgm:pt modelId="{8C08E020-8626-4080-8DA8-8150E886C272}" type="parTrans" cxnId="{EDD7D148-D60F-4A69-8651-6CC5C1525FC4}">
      <dgm:prSet/>
      <dgm:spPr/>
      <dgm:t>
        <a:bodyPr/>
        <a:lstStyle/>
        <a:p>
          <a:endParaRPr lang="es-CL"/>
        </a:p>
      </dgm:t>
    </dgm:pt>
    <dgm:pt modelId="{14B01CD4-3036-4953-A261-585851A6ABFB}" type="sibTrans" cxnId="{EDD7D148-D60F-4A69-8651-6CC5C1525FC4}">
      <dgm:prSet/>
      <dgm:spPr/>
      <dgm:t>
        <a:bodyPr/>
        <a:lstStyle/>
        <a:p>
          <a:endParaRPr lang="es-CL"/>
        </a:p>
      </dgm:t>
    </dgm:pt>
    <dgm:pt modelId="{485239D6-E3E1-44B2-BE1B-36D4E3FA53D3}">
      <dgm:prSet phldrT="[Texto]"/>
      <dgm:spPr/>
      <dgm:t>
        <a:bodyPr/>
        <a:lstStyle/>
        <a:p>
          <a:r>
            <a:rPr lang="es-CL" dirty="0"/>
            <a:t>+E y P, por ende, Inv. Alimentador</a:t>
          </a:r>
        </a:p>
      </dgm:t>
    </dgm:pt>
    <dgm:pt modelId="{D48A2287-5D37-40C3-874D-825CD20FCE37}" type="parTrans" cxnId="{DFDE2043-0826-4CEE-A336-D83DA7E8514C}">
      <dgm:prSet/>
      <dgm:spPr/>
      <dgm:t>
        <a:bodyPr/>
        <a:lstStyle/>
        <a:p>
          <a:endParaRPr lang="es-CL"/>
        </a:p>
      </dgm:t>
    </dgm:pt>
    <dgm:pt modelId="{3E8CA4F2-2671-400A-B0B3-D2A8321F2179}" type="sibTrans" cxnId="{DFDE2043-0826-4CEE-A336-D83DA7E8514C}">
      <dgm:prSet/>
      <dgm:spPr/>
      <dgm:t>
        <a:bodyPr/>
        <a:lstStyle/>
        <a:p>
          <a:endParaRPr lang="es-CL"/>
        </a:p>
      </dgm:t>
    </dgm:pt>
    <dgm:pt modelId="{8B68C6CD-679A-4822-B65B-00058FE31AB1}">
      <dgm:prSet phldrT="[Texto]"/>
      <dgm:spPr/>
      <dgm:t>
        <a:bodyPr/>
        <a:lstStyle/>
        <a:p>
          <a:r>
            <a:rPr lang="es-CL" dirty="0"/>
            <a:t>Demanda no crece</a:t>
          </a:r>
        </a:p>
      </dgm:t>
    </dgm:pt>
    <dgm:pt modelId="{32E0ECE9-658C-4176-977F-44457DA39FD2}" type="sibTrans" cxnId="{BCA7420F-649B-435B-B6CE-5E5B8406D677}">
      <dgm:prSet/>
      <dgm:spPr/>
      <dgm:t>
        <a:bodyPr/>
        <a:lstStyle/>
        <a:p>
          <a:endParaRPr lang="es-CL"/>
        </a:p>
      </dgm:t>
    </dgm:pt>
    <dgm:pt modelId="{6C2ACF4A-13B8-4E3A-A42B-B11E8D7D6B23}" type="parTrans" cxnId="{BCA7420F-649B-435B-B6CE-5E5B8406D677}">
      <dgm:prSet/>
      <dgm:spPr/>
      <dgm:t>
        <a:bodyPr/>
        <a:lstStyle/>
        <a:p>
          <a:endParaRPr lang="es-CL"/>
        </a:p>
      </dgm:t>
    </dgm:pt>
    <dgm:pt modelId="{48D75BF0-90BE-4FB9-8C8C-8ABE1BD7C5CE}">
      <dgm:prSet phldrT="[Texto]"/>
      <dgm:spPr/>
      <dgm:t>
        <a:bodyPr/>
        <a:lstStyle/>
        <a:p>
          <a:r>
            <a:rPr lang="es-CL" dirty="0"/>
            <a:t>No invertir</a:t>
          </a:r>
        </a:p>
      </dgm:t>
    </dgm:pt>
    <dgm:pt modelId="{3434C0AE-432D-429E-8DA3-17062FE4592D}" type="parTrans" cxnId="{142DFF87-DBCD-4765-8F99-D6D0B79F70D8}">
      <dgm:prSet/>
      <dgm:spPr/>
      <dgm:t>
        <a:bodyPr/>
        <a:lstStyle/>
        <a:p>
          <a:endParaRPr lang="es-CL"/>
        </a:p>
      </dgm:t>
    </dgm:pt>
    <dgm:pt modelId="{10FD194D-D4AE-4FDF-AC98-D963B66E0580}" type="sibTrans" cxnId="{142DFF87-DBCD-4765-8F99-D6D0B79F70D8}">
      <dgm:prSet/>
      <dgm:spPr/>
      <dgm:t>
        <a:bodyPr/>
        <a:lstStyle/>
        <a:p>
          <a:endParaRPr lang="es-CL"/>
        </a:p>
      </dgm:t>
    </dgm:pt>
    <dgm:pt modelId="{A2CC352E-91CE-476F-ABE0-25832A42FF60}">
      <dgm:prSet phldrT="[Texto]"/>
      <dgm:spPr/>
      <dgm:t>
        <a:bodyPr/>
        <a:lstStyle/>
        <a:p>
          <a:r>
            <a:rPr lang="es-CL" dirty="0"/>
            <a:t>+E y P, por ende, Inv. Alimentador</a:t>
          </a:r>
        </a:p>
      </dgm:t>
    </dgm:pt>
    <dgm:pt modelId="{55DFF091-0B05-40E5-AC2D-56567D6C86AD}" type="parTrans" cxnId="{3CED8C8F-2735-4C99-A2F7-268045C75310}">
      <dgm:prSet/>
      <dgm:spPr/>
      <dgm:t>
        <a:bodyPr/>
        <a:lstStyle/>
        <a:p>
          <a:endParaRPr lang="es-CL"/>
        </a:p>
      </dgm:t>
    </dgm:pt>
    <dgm:pt modelId="{5F3C2570-8BD6-48BE-B19E-80681EAA523F}" type="sibTrans" cxnId="{3CED8C8F-2735-4C99-A2F7-268045C75310}">
      <dgm:prSet/>
      <dgm:spPr/>
      <dgm:t>
        <a:bodyPr/>
        <a:lstStyle/>
        <a:p>
          <a:endParaRPr lang="es-CL"/>
        </a:p>
      </dgm:t>
    </dgm:pt>
    <dgm:pt modelId="{C8DDDF9F-415F-4637-BF51-8830E612A6E3}">
      <dgm:prSet phldrT="[Texto]"/>
      <dgm:spPr/>
      <dgm:t>
        <a:bodyPr/>
        <a:lstStyle/>
        <a:p>
          <a:r>
            <a:rPr lang="es-CL" dirty="0"/>
            <a:t>Inv. GD</a:t>
          </a:r>
        </a:p>
      </dgm:t>
    </dgm:pt>
    <dgm:pt modelId="{DBEDB092-C8EB-4265-B687-DAB6495A43EB}" type="parTrans" cxnId="{A6BC670E-FCFA-4D7F-858D-75BC32D3C6BA}">
      <dgm:prSet/>
      <dgm:spPr/>
      <dgm:t>
        <a:bodyPr/>
        <a:lstStyle/>
        <a:p>
          <a:endParaRPr lang="es-CL"/>
        </a:p>
      </dgm:t>
    </dgm:pt>
    <dgm:pt modelId="{16402A32-9BF7-42E6-B76B-3BD8BD469673}" type="sibTrans" cxnId="{A6BC670E-FCFA-4D7F-858D-75BC32D3C6BA}">
      <dgm:prSet/>
      <dgm:spPr/>
      <dgm:t>
        <a:bodyPr/>
        <a:lstStyle/>
        <a:p>
          <a:endParaRPr lang="es-CL"/>
        </a:p>
      </dgm:t>
    </dgm:pt>
    <dgm:pt modelId="{A4B0D075-B464-4457-AAD1-6D7948DA7EA5}">
      <dgm:prSet phldrT="[Texto]"/>
      <dgm:spPr>
        <a:solidFill>
          <a:schemeClr val="accent5">
            <a:lumMod val="40000"/>
            <a:lumOff val="60000"/>
          </a:schemeClr>
        </a:solidFill>
      </dgm:spPr>
      <dgm:t>
        <a:bodyPr/>
        <a:lstStyle/>
        <a:p>
          <a:r>
            <a:rPr lang="es-CL" b="1" dirty="0">
              <a:solidFill>
                <a:schemeClr val="tx1"/>
              </a:solidFill>
            </a:rPr>
            <a:t>2AL + venta </a:t>
          </a:r>
          <a:r>
            <a:rPr lang="es-CL" b="1" dirty="0" err="1">
              <a:solidFill>
                <a:schemeClr val="tx1"/>
              </a:solidFill>
            </a:rPr>
            <a:t>exc</a:t>
          </a:r>
          <a:endParaRPr lang="es-CL" b="1" dirty="0">
            <a:solidFill>
              <a:schemeClr val="tx1"/>
            </a:solidFill>
          </a:endParaRPr>
        </a:p>
      </dgm:t>
    </dgm:pt>
    <dgm:pt modelId="{AB98CCD0-4B2E-4BD0-8FAB-FBF3620F4B3F}" type="parTrans" cxnId="{0FA8286D-7F24-442F-9506-B1919E7C91FC}">
      <dgm:prSet/>
      <dgm:spPr/>
      <dgm:t>
        <a:bodyPr/>
        <a:lstStyle/>
        <a:p>
          <a:endParaRPr lang="es-CL"/>
        </a:p>
      </dgm:t>
    </dgm:pt>
    <dgm:pt modelId="{FA23D1B8-5479-4526-A14C-85685142EBE7}" type="sibTrans" cxnId="{0FA8286D-7F24-442F-9506-B1919E7C91FC}">
      <dgm:prSet/>
      <dgm:spPr/>
      <dgm:t>
        <a:bodyPr/>
        <a:lstStyle/>
        <a:p>
          <a:endParaRPr lang="es-CL"/>
        </a:p>
      </dgm:t>
    </dgm:pt>
    <dgm:pt modelId="{A26A66B1-B706-4473-A679-85F5D23E881F}">
      <dgm:prSet phldrT="[Texto]"/>
      <dgm:spPr/>
      <dgm:t>
        <a:bodyPr/>
        <a:lstStyle/>
        <a:p>
          <a:r>
            <a:rPr lang="es-CL" dirty="0"/>
            <a:t>AL</a:t>
          </a:r>
        </a:p>
      </dgm:t>
    </dgm:pt>
    <dgm:pt modelId="{92D08BF8-23E6-446E-933F-F7B6EDCED309}" type="parTrans" cxnId="{424158F4-8E75-4208-B829-8A8CA7432994}">
      <dgm:prSet/>
      <dgm:spPr/>
      <dgm:t>
        <a:bodyPr/>
        <a:lstStyle/>
        <a:p>
          <a:endParaRPr lang="es-CL"/>
        </a:p>
      </dgm:t>
    </dgm:pt>
    <dgm:pt modelId="{C41F8AD9-D47F-4A7E-9355-9CA158192E2E}" type="sibTrans" cxnId="{424158F4-8E75-4208-B829-8A8CA7432994}">
      <dgm:prSet/>
      <dgm:spPr/>
      <dgm:t>
        <a:bodyPr/>
        <a:lstStyle/>
        <a:p>
          <a:endParaRPr lang="es-CL"/>
        </a:p>
      </dgm:t>
    </dgm:pt>
    <dgm:pt modelId="{118EA4DD-B704-4604-8DD3-A10996AE4700}">
      <dgm:prSet phldrT="[Texto]"/>
      <dgm:spPr/>
      <dgm:t>
        <a:bodyPr/>
        <a:lstStyle/>
        <a:p>
          <a:r>
            <a:rPr lang="es-CL" dirty="0"/>
            <a:t>Ab</a:t>
          </a:r>
        </a:p>
      </dgm:t>
    </dgm:pt>
    <dgm:pt modelId="{4366527E-EE67-41DC-9387-63A1B2992750}" type="parTrans" cxnId="{A116340C-9F18-4CFE-A023-47D704E2AC99}">
      <dgm:prSet/>
      <dgm:spPr/>
      <dgm:t>
        <a:bodyPr/>
        <a:lstStyle/>
        <a:p>
          <a:endParaRPr lang="es-CL"/>
        </a:p>
      </dgm:t>
    </dgm:pt>
    <dgm:pt modelId="{F9FE9229-FD23-4A70-B826-B8C293D8F7F6}" type="sibTrans" cxnId="{A116340C-9F18-4CFE-A023-47D704E2AC99}">
      <dgm:prSet/>
      <dgm:spPr/>
      <dgm:t>
        <a:bodyPr/>
        <a:lstStyle/>
        <a:p>
          <a:endParaRPr lang="es-CL"/>
        </a:p>
      </dgm:t>
    </dgm:pt>
    <dgm:pt modelId="{88D54AF7-088C-47B9-B0BC-CB82A248EBB8}">
      <dgm:prSet phldrT="[Texto]"/>
      <dgm:spPr/>
      <dgm:t>
        <a:bodyPr/>
        <a:lstStyle/>
        <a:p>
          <a:r>
            <a:rPr lang="es-CL" dirty="0"/>
            <a:t>AL+ Ab</a:t>
          </a:r>
        </a:p>
      </dgm:t>
    </dgm:pt>
    <dgm:pt modelId="{35178BB7-474E-4437-8030-03874636B5D8}" type="parTrans" cxnId="{F108BC3A-FEF9-47C3-9738-20EA66DF0285}">
      <dgm:prSet/>
      <dgm:spPr/>
      <dgm:t>
        <a:bodyPr/>
        <a:lstStyle/>
        <a:p>
          <a:endParaRPr lang="es-CL"/>
        </a:p>
      </dgm:t>
    </dgm:pt>
    <dgm:pt modelId="{673DD652-4CA4-45E7-B738-6F7B4B6FBB5F}" type="sibTrans" cxnId="{F108BC3A-FEF9-47C3-9738-20EA66DF0285}">
      <dgm:prSet/>
      <dgm:spPr/>
      <dgm:t>
        <a:bodyPr/>
        <a:lstStyle/>
        <a:p>
          <a:endParaRPr lang="es-CL"/>
        </a:p>
      </dgm:t>
    </dgm:pt>
    <dgm:pt modelId="{C1281590-F62C-41B4-B6D1-A831E0F5E697}">
      <dgm:prSet phldrT="[Texto]"/>
      <dgm:spPr/>
      <dgm:t>
        <a:bodyPr/>
        <a:lstStyle/>
        <a:p>
          <a:r>
            <a:rPr lang="es-CL" dirty="0"/>
            <a:t>Abandonar</a:t>
          </a:r>
        </a:p>
      </dgm:t>
    </dgm:pt>
    <dgm:pt modelId="{8293B278-EEAC-4916-9440-1C91EAA7F705}" type="parTrans" cxnId="{7EE59E67-B67B-4E41-A217-99E62DC46F9D}">
      <dgm:prSet/>
      <dgm:spPr/>
      <dgm:t>
        <a:bodyPr/>
        <a:lstStyle/>
        <a:p>
          <a:endParaRPr lang="es-CL"/>
        </a:p>
      </dgm:t>
    </dgm:pt>
    <dgm:pt modelId="{5F56500C-2AA0-47AB-A1EE-53BF5B43E683}" type="sibTrans" cxnId="{7EE59E67-B67B-4E41-A217-99E62DC46F9D}">
      <dgm:prSet/>
      <dgm:spPr/>
      <dgm:t>
        <a:bodyPr/>
        <a:lstStyle/>
        <a:p>
          <a:endParaRPr lang="es-CL"/>
        </a:p>
      </dgm:t>
    </dgm:pt>
    <dgm:pt modelId="{B72F3FCF-A8DC-47A6-B677-D29DD67B8316}">
      <dgm:prSet phldrT="[Texto]"/>
      <dgm:spPr>
        <a:solidFill>
          <a:schemeClr val="bg2">
            <a:lumMod val="90000"/>
          </a:schemeClr>
        </a:solidFill>
      </dgm:spPr>
      <dgm:t>
        <a:bodyPr/>
        <a:lstStyle/>
        <a:p>
          <a:r>
            <a:rPr lang="es-CL" b="1" dirty="0">
              <a:solidFill>
                <a:schemeClr val="tx1"/>
              </a:solidFill>
            </a:rPr>
            <a:t>AL + venta </a:t>
          </a:r>
          <a:r>
            <a:rPr lang="es-CL" b="1" dirty="0" err="1">
              <a:solidFill>
                <a:schemeClr val="tx1"/>
              </a:solidFill>
            </a:rPr>
            <a:t>exc</a:t>
          </a:r>
          <a:endParaRPr lang="es-CL" b="1" dirty="0">
            <a:solidFill>
              <a:schemeClr val="tx1"/>
            </a:solidFill>
          </a:endParaRPr>
        </a:p>
      </dgm:t>
    </dgm:pt>
    <dgm:pt modelId="{2EEA940E-FF89-4372-9F1A-4EED9763C314}" type="parTrans" cxnId="{EBD0E5FC-A727-4E19-B938-F6D840648AF4}">
      <dgm:prSet/>
      <dgm:spPr/>
      <dgm:t>
        <a:bodyPr/>
        <a:lstStyle/>
        <a:p>
          <a:endParaRPr lang="es-CL"/>
        </a:p>
      </dgm:t>
    </dgm:pt>
    <dgm:pt modelId="{88D95B6B-58DA-48CC-B5B4-2B6750EB8133}" type="sibTrans" cxnId="{EBD0E5FC-A727-4E19-B938-F6D840648AF4}">
      <dgm:prSet/>
      <dgm:spPr/>
      <dgm:t>
        <a:bodyPr/>
        <a:lstStyle/>
        <a:p>
          <a:endParaRPr lang="es-CL"/>
        </a:p>
      </dgm:t>
    </dgm:pt>
    <dgm:pt modelId="{D6F4F8F3-81B4-43B8-94E3-DB16B79EFA24}">
      <dgm:prSet phldrT="[Texto]"/>
      <dgm:spPr>
        <a:solidFill>
          <a:schemeClr val="accent6">
            <a:lumMod val="60000"/>
            <a:lumOff val="40000"/>
          </a:schemeClr>
        </a:solidFill>
      </dgm:spPr>
      <dgm:t>
        <a:bodyPr/>
        <a:lstStyle/>
        <a:p>
          <a:r>
            <a:rPr lang="es-CL" b="1" dirty="0">
              <a:solidFill>
                <a:schemeClr val="tx1"/>
              </a:solidFill>
            </a:rPr>
            <a:t>GD + venta exc</a:t>
          </a:r>
        </a:p>
      </dgm:t>
    </dgm:pt>
    <dgm:pt modelId="{FD2E0CB8-91CE-45BD-8D9E-47857E20B6B1}" type="parTrans" cxnId="{EECD96A3-EF5C-423A-8384-2D8CCEAE8E70}">
      <dgm:prSet/>
      <dgm:spPr/>
      <dgm:t>
        <a:bodyPr/>
        <a:lstStyle/>
        <a:p>
          <a:endParaRPr lang="es-CL"/>
        </a:p>
      </dgm:t>
    </dgm:pt>
    <dgm:pt modelId="{19BFE027-5A7F-4496-8422-D32FF3B2DE67}" type="sibTrans" cxnId="{EECD96A3-EF5C-423A-8384-2D8CCEAE8E70}">
      <dgm:prSet/>
      <dgm:spPr/>
      <dgm:t>
        <a:bodyPr/>
        <a:lstStyle/>
        <a:p>
          <a:endParaRPr lang="es-CL"/>
        </a:p>
      </dgm:t>
    </dgm:pt>
    <dgm:pt modelId="{BFE473DC-87C0-48BE-8173-58452A34E2FA}" type="pres">
      <dgm:prSet presAssocID="{1F5743CC-7B72-487A-AD43-B66A52D798E1}" presName="Name0" presStyleCnt="0">
        <dgm:presLayoutVars>
          <dgm:chPref val="1"/>
          <dgm:dir/>
          <dgm:animOne val="branch"/>
          <dgm:animLvl val="lvl"/>
          <dgm:resizeHandles val="exact"/>
        </dgm:presLayoutVars>
      </dgm:prSet>
      <dgm:spPr/>
    </dgm:pt>
    <dgm:pt modelId="{D646C6A3-CBFF-4FD0-8065-BB0670C9AC45}" type="pres">
      <dgm:prSet presAssocID="{A94A4B4E-2162-451B-9715-4A880C36868E}" presName="root1" presStyleCnt="0"/>
      <dgm:spPr/>
    </dgm:pt>
    <dgm:pt modelId="{389BD0D3-91D0-4AA7-B539-165926CC4CF4}" type="pres">
      <dgm:prSet presAssocID="{A94A4B4E-2162-451B-9715-4A880C36868E}" presName="LevelOneTextNode" presStyleLbl="node0" presStyleIdx="0" presStyleCnt="1">
        <dgm:presLayoutVars>
          <dgm:chPref val="3"/>
        </dgm:presLayoutVars>
      </dgm:prSet>
      <dgm:spPr/>
    </dgm:pt>
    <dgm:pt modelId="{DCF97E4C-13A5-42F3-85F7-83E9FC3D7430}" type="pres">
      <dgm:prSet presAssocID="{A94A4B4E-2162-451B-9715-4A880C36868E}" presName="level2hierChild" presStyleCnt="0"/>
      <dgm:spPr/>
    </dgm:pt>
    <dgm:pt modelId="{2F8EF566-1C4A-491C-9116-F938E8F3D6A5}" type="pres">
      <dgm:prSet presAssocID="{B6DE5F35-306E-477E-A297-15A43317085A}" presName="conn2-1" presStyleLbl="parChTrans1D2" presStyleIdx="0" presStyleCnt="2"/>
      <dgm:spPr/>
    </dgm:pt>
    <dgm:pt modelId="{02B609D5-E77D-4732-B15D-4A6A04091ABE}" type="pres">
      <dgm:prSet presAssocID="{B6DE5F35-306E-477E-A297-15A43317085A}" presName="connTx" presStyleLbl="parChTrans1D2" presStyleIdx="0" presStyleCnt="2"/>
      <dgm:spPr/>
    </dgm:pt>
    <dgm:pt modelId="{7C7D5A58-783E-47F8-839E-F25144C82884}" type="pres">
      <dgm:prSet presAssocID="{4338E26D-B086-4C46-976A-F059B670E172}" presName="root2" presStyleCnt="0"/>
      <dgm:spPr/>
    </dgm:pt>
    <dgm:pt modelId="{3F41E26B-11EB-47B1-8ACC-4921900006DB}" type="pres">
      <dgm:prSet presAssocID="{4338E26D-B086-4C46-976A-F059B670E172}" presName="LevelTwoTextNode" presStyleLbl="node2" presStyleIdx="0" presStyleCnt="2">
        <dgm:presLayoutVars>
          <dgm:chPref val="3"/>
        </dgm:presLayoutVars>
      </dgm:prSet>
      <dgm:spPr/>
    </dgm:pt>
    <dgm:pt modelId="{525FCAFB-57B8-4C53-839C-4346E6F4501B}" type="pres">
      <dgm:prSet presAssocID="{4338E26D-B086-4C46-976A-F059B670E172}" presName="level3hierChild" presStyleCnt="0"/>
      <dgm:spPr/>
    </dgm:pt>
    <dgm:pt modelId="{693AFC02-2A32-4C4F-B483-80CD719B424C}" type="pres">
      <dgm:prSet presAssocID="{D48A2287-5D37-40C3-874D-825CD20FCE37}" presName="conn2-1" presStyleLbl="parChTrans1D3" presStyleIdx="0" presStyleCnt="6"/>
      <dgm:spPr/>
    </dgm:pt>
    <dgm:pt modelId="{1BDCD77C-B12F-4B1A-87B7-DD61304DDDCB}" type="pres">
      <dgm:prSet presAssocID="{D48A2287-5D37-40C3-874D-825CD20FCE37}" presName="connTx" presStyleLbl="parChTrans1D3" presStyleIdx="0" presStyleCnt="6"/>
      <dgm:spPr/>
    </dgm:pt>
    <dgm:pt modelId="{A7F8CC49-1FDC-4EF8-8E1D-C4494ECFDD48}" type="pres">
      <dgm:prSet presAssocID="{485239D6-E3E1-44B2-BE1B-36D4E3FA53D3}" presName="root2" presStyleCnt="0"/>
      <dgm:spPr/>
    </dgm:pt>
    <dgm:pt modelId="{AB67E0BB-C6BE-4688-8749-566041095066}" type="pres">
      <dgm:prSet presAssocID="{485239D6-E3E1-44B2-BE1B-36D4E3FA53D3}" presName="LevelTwoTextNode" presStyleLbl="node3" presStyleIdx="0" presStyleCnt="6">
        <dgm:presLayoutVars>
          <dgm:chPref val="3"/>
        </dgm:presLayoutVars>
      </dgm:prSet>
      <dgm:spPr/>
    </dgm:pt>
    <dgm:pt modelId="{FB954869-BC7A-4E94-A9A7-98AD8F02354B}" type="pres">
      <dgm:prSet presAssocID="{485239D6-E3E1-44B2-BE1B-36D4E3FA53D3}" presName="level3hierChild" presStyleCnt="0"/>
      <dgm:spPr/>
    </dgm:pt>
    <dgm:pt modelId="{E10C9DA3-D0B4-47F4-9F47-2FB8427D5F6F}" type="pres">
      <dgm:prSet presAssocID="{8C08E020-8626-4080-8DA8-8150E886C272}" presName="conn2-1" presStyleLbl="parChTrans1D3" presStyleIdx="1" presStyleCnt="6"/>
      <dgm:spPr/>
    </dgm:pt>
    <dgm:pt modelId="{50D1C200-23F4-4548-980F-FF352B546700}" type="pres">
      <dgm:prSet presAssocID="{8C08E020-8626-4080-8DA8-8150E886C272}" presName="connTx" presStyleLbl="parChTrans1D3" presStyleIdx="1" presStyleCnt="6"/>
      <dgm:spPr/>
    </dgm:pt>
    <dgm:pt modelId="{4040FB0C-ADC0-4556-A6F2-BAF45191EF30}" type="pres">
      <dgm:prSet presAssocID="{9BAF2D50-5432-4773-92B8-AC1927A1E95B}" presName="root2" presStyleCnt="0"/>
      <dgm:spPr/>
    </dgm:pt>
    <dgm:pt modelId="{A54C6CF1-9666-4215-BB6D-5A93E40B6D23}" type="pres">
      <dgm:prSet presAssocID="{9BAF2D50-5432-4773-92B8-AC1927A1E95B}" presName="LevelTwoTextNode" presStyleLbl="node3" presStyleIdx="1" presStyleCnt="6">
        <dgm:presLayoutVars>
          <dgm:chPref val="3"/>
        </dgm:presLayoutVars>
      </dgm:prSet>
      <dgm:spPr/>
    </dgm:pt>
    <dgm:pt modelId="{A5DFB709-465B-45FC-86EA-4FBB8BBC35FD}" type="pres">
      <dgm:prSet presAssocID="{9BAF2D50-5432-4773-92B8-AC1927A1E95B}" presName="level3hierChild" presStyleCnt="0"/>
      <dgm:spPr/>
    </dgm:pt>
    <dgm:pt modelId="{AF571542-FBB4-46B2-8721-0CD401B001F6}" type="pres">
      <dgm:prSet presAssocID="{92D08BF8-23E6-446E-933F-F7B6EDCED309}" presName="conn2-1" presStyleLbl="parChTrans1D4" presStyleIdx="0" presStyleCnt="7"/>
      <dgm:spPr/>
    </dgm:pt>
    <dgm:pt modelId="{15F31EC9-A5EE-4B9F-9793-9A3A8D634A1B}" type="pres">
      <dgm:prSet presAssocID="{92D08BF8-23E6-446E-933F-F7B6EDCED309}" presName="connTx" presStyleLbl="parChTrans1D4" presStyleIdx="0" presStyleCnt="7"/>
      <dgm:spPr/>
    </dgm:pt>
    <dgm:pt modelId="{38E9947D-9096-4DE4-B672-393B843FC82E}" type="pres">
      <dgm:prSet presAssocID="{A26A66B1-B706-4473-A679-85F5D23E881F}" presName="root2" presStyleCnt="0"/>
      <dgm:spPr/>
    </dgm:pt>
    <dgm:pt modelId="{D526920F-9861-44DD-93D9-1E7F3E59F694}" type="pres">
      <dgm:prSet presAssocID="{A26A66B1-B706-4473-A679-85F5D23E881F}" presName="LevelTwoTextNode" presStyleLbl="node4" presStyleIdx="0" presStyleCnt="7">
        <dgm:presLayoutVars>
          <dgm:chPref val="3"/>
        </dgm:presLayoutVars>
      </dgm:prSet>
      <dgm:spPr/>
    </dgm:pt>
    <dgm:pt modelId="{B5170179-6820-4697-B8EF-78ACD1B5AE14}" type="pres">
      <dgm:prSet presAssocID="{A26A66B1-B706-4473-A679-85F5D23E881F}" presName="level3hierChild" presStyleCnt="0"/>
      <dgm:spPr/>
    </dgm:pt>
    <dgm:pt modelId="{2D2D2807-574D-4A47-AB1B-B3EB20AAE2AB}" type="pres">
      <dgm:prSet presAssocID="{4366527E-EE67-41DC-9387-63A1B2992750}" presName="conn2-1" presStyleLbl="parChTrans1D4" presStyleIdx="1" presStyleCnt="7"/>
      <dgm:spPr/>
    </dgm:pt>
    <dgm:pt modelId="{81CFD087-212B-4AAB-80D6-48FD6EC637EA}" type="pres">
      <dgm:prSet presAssocID="{4366527E-EE67-41DC-9387-63A1B2992750}" presName="connTx" presStyleLbl="parChTrans1D4" presStyleIdx="1" presStyleCnt="7"/>
      <dgm:spPr/>
    </dgm:pt>
    <dgm:pt modelId="{BA7EDD4B-05F8-449E-BF48-D47AD776C66D}" type="pres">
      <dgm:prSet presAssocID="{118EA4DD-B704-4604-8DD3-A10996AE4700}" presName="root2" presStyleCnt="0"/>
      <dgm:spPr/>
    </dgm:pt>
    <dgm:pt modelId="{542CA573-4857-442A-9F4A-8702A1C8B413}" type="pres">
      <dgm:prSet presAssocID="{118EA4DD-B704-4604-8DD3-A10996AE4700}" presName="LevelTwoTextNode" presStyleLbl="node4" presStyleIdx="1" presStyleCnt="7">
        <dgm:presLayoutVars>
          <dgm:chPref val="3"/>
        </dgm:presLayoutVars>
      </dgm:prSet>
      <dgm:spPr/>
    </dgm:pt>
    <dgm:pt modelId="{6AD653D6-D319-4D4B-95BA-D69B09347855}" type="pres">
      <dgm:prSet presAssocID="{118EA4DD-B704-4604-8DD3-A10996AE4700}" presName="level3hierChild" presStyleCnt="0"/>
      <dgm:spPr/>
    </dgm:pt>
    <dgm:pt modelId="{E989A813-E22E-4574-A597-8E20FB75514C}" type="pres">
      <dgm:prSet presAssocID="{35178BB7-474E-4437-8030-03874636B5D8}" presName="conn2-1" presStyleLbl="parChTrans1D4" presStyleIdx="2" presStyleCnt="7"/>
      <dgm:spPr/>
    </dgm:pt>
    <dgm:pt modelId="{B2D7A915-579C-4A7F-9CD4-E18457A3E0BB}" type="pres">
      <dgm:prSet presAssocID="{35178BB7-474E-4437-8030-03874636B5D8}" presName="connTx" presStyleLbl="parChTrans1D4" presStyleIdx="2" presStyleCnt="7"/>
      <dgm:spPr/>
    </dgm:pt>
    <dgm:pt modelId="{721DCE23-B91B-43B3-8E75-D088920CAC64}" type="pres">
      <dgm:prSet presAssocID="{88D54AF7-088C-47B9-B0BC-CB82A248EBB8}" presName="root2" presStyleCnt="0"/>
      <dgm:spPr/>
    </dgm:pt>
    <dgm:pt modelId="{A06B619D-C59C-4C24-B70B-4709428B8572}" type="pres">
      <dgm:prSet presAssocID="{88D54AF7-088C-47B9-B0BC-CB82A248EBB8}" presName="LevelTwoTextNode" presStyleLbl="node4" presStyleIdx="2" presStyleCnt="7">
        <dgm:presLayoutVars>
          <dgm:chPref val="3"/>
        </dgm:presLayoutVars>
      </dgm:prSet>
      <dgm:spPr/>
    </dgm:pt>
    <dgm:pt modelId="{EBD8AEF6-3CB0-4B0C-8645-9E2A8DB3EFD5}" type="pres">
      <dgm:prSet presAssocID="{88D54AF7-088C-47B9-B0BC-CB82A248EBB8}" presName="level3hierChild" presStyleCnt="0"/>
      <dgm:spPr/>
    </dgm:pt>
    <dgm:pt modelId="{1177FAFB-4D2B-4B00-9E7C-503DCCAC80A5}" type="pres">
      <dgm:prSet presAssocID="{AB98CCD0-4B2E-4BD0-8FAB-FBF3620F4B3F}" presName="conn2-1" presStyleLbl="parChTrans1D4" presStyleIdx="3" presStyleCnt="7"/>
      <dgm:spPr/>
    </dgm:pt>
    <dgm:pt modelId="{CCCE5F93-0C21-4958-AF72-18F657D42A68}" type="pres">
      <dgm:prSet presAssocID="{AB98CCD0-4B2E-4BD0-8FAB-FBF3620F4B3F}" presName="connTx" presStyleLbl="parChTrans1D4" presStyleIdx="3" presStyleCnt="7"/>
      <dgm:spPr/>
    </dgm:pt>
    <dgm:pt modelId="{850C0048-2CCD-47A6-BEBD-2FA32D0794A7}" type="pres">
      <dgm:prSet presAssocID="{A4B0D075-B464-4457-AAD1-6D7948DA7EA5}" presName="root2" presStyleCnt="0"/>
      <dgm:spPr/>
    </dgm:pt>
    <dgm:pt modelId="{D1A2B2A6-3D04-4FB1-B109-923A5FB30E6F}" type="pres">
      <dgm:prSet presAssocID="{A4B0D075-B464-4457-AAD1-6D7948DA7EA5}" presName="LevelTwoTextNode" presStyleLbl="node4" presStyleIdx="3" presStyleCnt="7">
        <dgm:presLayoutVars>
          <dgm:chPref val="3"/>
        </dgm:presLayoutVars>
      </dgm:prSet>
      <dgm:spPr/>
    </dgm:pt>
    <dgm:pt modelId="{C3624491-96AE-4797-A30D-2F26E2AEEDAE}" type="pres">
      <dgm:prSet presAssocID="{A4B0D075-B464-4457-AAD1-6D7948DA7EA5}" presName="level3hierChild" presStyleCnt="0"/>
      <dgm:spPr/>
    </dgm:pt>
    <dgm:pt modelId="{14F8A28E-96A1-4162-9A8A-DA94A3B921EA}" type="pres">
      <dgm:prSet presAssocID="{E442837C-71D8-42EB-BEAC-A005013B022E}" presName="conn2-1" presStyleLbl="parChTrans1D3" presStyleIdx="2" presStyleCnt="6"/>
      <dgm:spPr/>
    </dgm:pt>
    <dgm:pt modelId="{16027D2C-3CFC-4C92-B7FB-E45FAF08A1C4}" type="pres">
      <dgm:prSet presAssocID="{E442837C-71D8-42EB-BEAC-A005013B022E}" presName="connTx" presStyleLbl="parChTrans1D3" presStyleIdx="2" presStyleCnt="6"/>
      <dgm:spPr/>
    </dgm:pt>
    <dgm:pt modelId="{0FFAB837-E230-4F64-9E7A-C0321C155542}" type="pres">
      <dgm:prSet presAssocID="{0AB90F36-4A14-47EE-A636-72AEB08D8EF6}" presName="root2" presStyleCnt="0"/>
      <dgm:spPr/>
    </dgm:pt>
    <dgm:pt modelId="{49046632-515D-41EC-AC23-7DAA414BE2C0}" type="pres">
      <dgm:prSet presAssocID="{0AB90F36-4A14-47EE-A636-72AEB08D8EF6}" presName="LevelTwoTextNode" presStyleLbl="node3" presStyleIdx="2" presStyleCnt="6">
        <dgm:presLayoutVars>
          <dgm:chPref val="3"/>
        </dgm:presLayoutVars>
      </dgm:prSet>
      <dgm:spPr/>
    </dgm:pt>
    <dgm:pt modelId="{7E2BCB68-2551-4EC6-955C-95AA8262FBE8}" type="pres">
      <dgm:prSet presAssocID="{0AB90F36-4A14-47EE-A636-72AEB08D8EF6}" presName="level3hierChild" presStyleCnt="0"/>
      <dgm:spPr/>
    </dgm:pt>
    <dgm:pt modelId="{24D9A42F-E653-4F6B-909F-4ED003425ADD}" type="pres">
      <dgm:prSet presAssocID="{6C2ACF4A-13B8-4E3A-A42B-B11E8D7D6B23}" presName="conn2-1" presStyleLbl="parChTrans1D2" presStyleIdx="1" presStyleCnt="2"/>
      <dgm:spPr/>
    </dgm:pt>
    <dgm:pt modelId="{2AF5580D-43FB-480E-9FC5-312247634A15}" type="pres">
      <dgm:prSet presAssocID="{6C2ACF4A-13B8-4E3A-A42B-B11E8D7D6B23}" presName="connTx" presStyleLbl="parChTrans1D2" presStyleIdx="1" presStyleCnt="2"/>
      <dgm:spPr/>
    </dgm:pt>
    <dgm:pt modelId="{A1B9A938-52C0-4B92-B10F-C0D72335B3AF}" type="pres">
      <dgm:prSet presAssocID="{8B68C6CD-679A-4822-B65B-00058FE31AB1}" presName="root2" presStyleCnt="0"/>
      <dgm:spPr/>
    </dgm:pt>
    <dgm:pt modelId="{80EC6066-8A46-4AB2-B546-5BD5D9323C70}" type="pres">
      <dgm:prSet presAssocID="{8B68C6CD-679A-4822-B65B-00058FE31AB1}" presName="LevelTwoTextNode" presStyleLbl="node2" presStyleIdx="1" presStyleCnt="2">
        <dgm:presLayoutVars>
          <dgm:chPref val="3"/>
        </dgm:presLayoutVars>
      </dgm:prSet>
      <dgm:spPr/>
    </dgm:pt>
    <dgm:pt modelId="{3C5C2EEA-7EE8-4824-8511-885FB33E39DF}" type="pres">
      <dgm:prSet presAssocID="{8B68C6CD-679A-4822-B65B-00058FE31AB1}" presName="level3hierChild" presStyleCnt="0"/>
      <dgm:spPr/>
    </dgm:pt>
    <dgm:pt modelId="{59F3A200-0BA1-40E9-9F63-3832C9E89611}" type="pres">
      <dgm:prSet presAssocID="{55DFF091-0B05-40E5-AC2D-56567D6C86AD}" presName="conn2-1" presStyleLbl="parChTrans1D3" presStyleIdx="3" presStyleCnt="6"/>
      <dgm:spPr/>
    </dgm:pt>
    <dgm:pt modelId="{C86E486B-D1BC-49B2-AAF1-1FA01D6ECD46}" type="pres">
      <dgm:prSet presAssocID="{55DFF091-0B05-40E5-AC2D-56567D6C86AD}" presName="connTx" presStyleLbl="parChTrans1D3" presStyleIdx="3" presStyleCnt="6"/>
      <dgm:spPr/>
    </dgm:pt>
    <dgm:pt modelId="{35FBC7D7-77E1-45BD-9872-3878451ED936}" type="pres">
      <dgm:prSet presAssocID="{A2CC352E-91CE-476F-ABE0-25832A42FF60}" presName="root2" presStyleCnt="0"/>
      <dgm:spPr/>
    </dgm:pt>
    <dgm:pt modelId="{F90319E6-05D1-4BE1-99F0-E1E9E30543E5}" type="pres">
      <dgm:prSet presAssocID="{A2CC352E-91CE-476F-ABE0-25832A42FF60}" presName="LevelTwoTextNode" presStyleLbl="node3" presStyleIdx="3" presStyleCnt="6">
        <dgm:presLayoutVars>
          <dgm:chPref val="3"/>
        </dgm:presLayoutVars>
      </dgm:prSet>
      <dgm:spPr/>
    </dgm:pt>
    <dgm:pt modelId="{61B074BD-F277-4739-BBD3-51C7F94B136D}" type="pres">
      <dgm:prSet presAssocID="{A2CC352E-91CE-476F-ABE0-25832A42FF60}" presName="level3hierChild" presStyleCnt="0"/>
      <dgm:spPr/>
    </dgm:pt>
    <dgm:pt modelId="{60F402EC-AA4C-4308-A119-4F7F2BFD14B7}" type="pres">
      <dgm:prSet presAssocID="{FD2E0CB8-91CE-45BD-8D9E-47857E20B6B1}" presName="conn2-1" presStyleLbl="parChTrans1D4" presStyleIdx="4" presStyleCnt="7"/>
      <dgm:spPr/>
    </dgm:pt>
    <dgm:pt modelId="{2D945433-3FD2-4DF0-8381-47C2561BCCDA}" type="pres">
      <dgm:prSet presAssocID="{FD2E0CB8-91CE-45BD-8D9E-47857E20B6B1}" presName="connTx" presStyleLbl="parChTrans1D4" presStyleIdx="4" presStyleCnt="7"/>
      <dgm:spPr/>
    </dgm:pt>
    <dgm:pt modelId="{1EBEF9C7-1BF2-4223-AD52-6D9AF0FFBDED}" type="pres">
      <dgm:prSet presAssocID="{D6F4F8F3-81B4-43B8-94E3-DB16B79EFA24}" presName="root2" presStyleCnt="0"/>
      <dgm:spPr/>
    </dgm:pt>
    <dgm:pt modelId="{C9728A2C-5392-4126-A84A-8E24EC015016}" type="pres">
      <dgm:prSet presAssocID="{D6F4F8F3-81B4-43B8-94E3-DB16B79EFA24}" presName="LevelTwoTextNode" presStyleLbl="node4" presStyleIdx="4" presStyleCnt="7">
        <dgm:presLayoutVars>
          <dgm:chPref val="3"/>
        </dgm:presLayoutVars>
      </dgm:prSet>
      <dgm:spPr/>
    </dgm:pt>
    <dgm:pt modelId="{772A9891-2844-48EA-968B-3C3275019FBD}" type="pres">
      <dgm:prSet presAssocID="{D6F4F8F3-81B4-43B8-94E3-DB16B79EFA24}" presName="level3hierChild" presStyleCnt="0"/>
      <dgm:spPr/>
    </dgm:pt>
    <dgm:pt modelId="{4D43EF89-E959-4640-AF70-16ECCF5CE78D}" type="pres">
      <dgm:prSet presAssocID="{DBEDB092-C8EB-4265-B687-DAB6495A43EB}" presName="conn2-1" presStyleLbl="parChTrans1D3" presStyleIdx="4" presStyleCnt="6"/>
      <dgm:spPr/>
    </dgm:pt>
    <dgm:pt modelId="{57263D0B-9DFA-4623-BD86-2D8373630D70}" type="pres">
      <dgm:prSet presAssocID="{DBEDB092-C8EB-4265-B687-DAB6495A43EB}" presName="connTx" presStyleLbl="parChTrans1D3" presStyleIdx="4" presStyleCnt="6"/>
      <dgm:spPr/>
    </dgm:pt>
    <dgm:pt modelId="{B885CD7A-6D8C-443A-9E58-36705C9FABFC}" type="pres">
      <dgm:prSet presAssocID="{C8DDDF9F-415F-4637-BF51-8830E612A6E3}" presName="root2" presStyleCnt="0"/>
      <dgm:spPr/>
    </dgm:pt>
    <dgm:pt modelId="{5B20A107-03D6-4F65-BE12-63A33AFE7B68}" type="pres">
      <dgm:prSet presAssocID="{C8DDDF9F-415F-4637-BF51-8830E612A6E3}" presName="LevelTwoTextNode" presStyleLbl="node3" presStyleIdx="4" presStyleCnt="6" custLinFactNeighborX="0" custLinFactNeighborY="-27865">
        <dgm:presLayoutVars>
          <dgm:chPref val="3"/>
        </dgm:presLayoutVars>
      </dgm:prSet>
      <dgm:spPr/>
    </dgm:pt>
    <dgm:pt modelId="{BB1490A7-A167-480E-B5B1-945240245611}" type="pres">
      <dgm:prSet presAssocID="{C8DDDF9F-415F-4637-BF51-8830E612A6E3}" presName="level3hierChild" presStyleCnt="0"/>
      <dgm:spPr/>
    </dgm:pt>
    <dgm:pt modelId="{A2DF700B-BFEE-478D-B1C6-10A61764B838}" type="pres">
      <dgm:prSet presAssocID="{8293B278-EEAC-4916-9440-1C91EAA7F705}" presName="conn2-1" presStyleLbl="parChTrans1D4" presStyleIdx="5" presStyleCnt="7"/>
      <dgm:spPr/>
    </dgm:pt>
    <dgm:pt modelId="{7DC8CE2D-E711-4F71-99E1-F197C7AFEE16}" type="pres">
      <dgm:prSet presAssocID="{8293B278-EEAC-4916-9440-1C91EAA7F705}" presName="connTx" presStyleLbl="parChTrans1D4" presStyleIdx="5" presStyleCnt="7"/>
      <dgm:spPr/>
    </dgm:pt>
    <dgm:pt modelId="{CF447BE9-F570-491E-8460-E149DBCF7BC3}" type="pres">
      <dgm:prSet presAssocID="{C1281590-F62C-41B4-B6D1-A831E0F5E697}" presName="root2" presStyleCnt="0"/>
      <dgm:spPr/>
    </dgm:pt>
    <dgm:pt modelId="{588BD9D2-0FDE-45DA-B9C1-22F46371BDC0}" type="pres">
      <dgm:prSet presAssocID="{C1281590-F62C-41B4-B6D1-A831E0F5E697}" presName="LevelTwoTextNode" presStyleLbl="node4" presStyleIdx="5" presStyleCnt="7">
        <dgm:presLayoutVars>
          <dgm:chPref val="3"/>
        </dgm:presLayoutVars>
      </dgm:prSet>
      <dgm:spPr/>
    </dgm:pt>
    <dgm:pt modelId="{6D5770CE-433B-4D8F-AF30-DFA4FB8FF398}" type="pres">
      <dgm:prSet presAssocID="{C1281590-F62C-41B4-B6D1-A831E0F5E697}" presName="level3hierChild" presStyleCnt="0"/>
      <dgm:spPr/>
    </dgm:pt>
    <dgm:pt modelId="{19D1DECA-05EF-43ED-B90A-B3AD68735CB6}" type="pres">
      <dgm:prSet presAssocID="{2EEA940E-FF89-4372-9F1A-4EED9763C314}" presName="conn2-1" presStyleLbl="parChTrans1D4" presStyleIdx="6" presStyleCnt="7"/>
      <dgm:spPr/>
    </dgm:pt>
    <dgm:pt modelId="{470F1696-6C85-4D66-BA09-510FA6FFA3CD}" type="pres">
      <dgm:prSet presAssocID="{2EEA940E-FF89-4372-9F1A-4EED9763C314}" presName="connTx" presStyleLbl="parChTrans1D4" presStyleIdx="6" presStyleCnt="7"/>
      <dgm:spPr/>
    </dgm:pt>
    <dgm:pt modelId="{E8EFFECE-907A-4C78-B009-5F44A4D34B68}" type="pres">
      <dgm:prSet presAssocID="{B72F3FCF-A8DC-47A6-B677-D29DD67B8316}" presName="root2" presStyleCnt="0"/>
      <dgm:spPr/>
    </dgm:pt>
    <dgm:pt modelId="{F246E136-6A10-4EF3-8E35-EB69F2015B09}" type="pres">
      <dgm:prSet presAssocID="{B72F3FCF-A8DC-47A6-B677-D29DD67B8316}" presName="LevelTwoTextNode" presStyleLbl="node4" presStyleIdx="6" presStyleCnt="7">
        <dgm:presLayoutVars>
          <dgm:chPref val="3"/>
        </dgm:presLayoutVars>
      </dgm:prSet>
      <dgm:spPr/>
    </dgm:pt>
    <dgm:pt modelId="{BDEF201E-8F7D-43B2-ABB4-A65B0B69FEFE}" type="pres">
      <dgm:prSet presAssocID="{B72F3FCF-A8DC-47A6-B677-D29DD67B8316}" presName="level3hierChild" presStyleCnt="0"/>
      <dgm:spPr/>
    </dgm:pt>
    <dgm:pt modelId="{359F8E71-1899-49A2-A3C8-92AD35522E4F}" type="pres">
      <dgm:prSet presAssocID="{3434C0AE-432D-429E-8DA3-17062FE4592D}" presName="conn2-1" presStyleLbl="parChTrans1D3" presStyleIdx="5" presStyleCnt="6"/>
      <dgm:spPr/>
    </dgm:pt>
    <dgm:pt modelId="{23F2F9E1-ABAD-44F3-8BA6-4DD037112DBB}" type="pres">
      <dgm:prSet presAssocID="{3434C0AE-432D-429E-8DA3-17062FE4592D}" presName="connTx" presStyleLbl="parChTrans1D3" presStyleIdx="5" presStyleCnt="6"/>
      <dgm:spPr/>
    </dgm:pt>
    <dgm:pt modelId="{7E131A58-C82D-438E-99A4-8423ED7BF034}" type="pres">
      <dgm:prSet presAssocID="{48D75BF0-90BE-4FB9-8C8C-8ABE1BD7C5CE}" presName="root2" presStyleCnt="0"/>
      <dgm:spPr/>
    </dgm:pt>
    <dgm:pt modelId="{E19F38A9-67D6-4570-9579-0041D5A0E5E1}" type="pres">
      <dgm:prSet presAssocID="{48D75BF0-90BE-4FB9-8C8C-8ABE1BD7C5CE}" presName="LevelTwoTextNode" presStyleLbl="node3" presStyleIdx="5" presStyleCnt="6">
        <dgm:presLayoutVars>
          <dgm:chPref val="3"/>
        </dgm:presLayoutVars>
      </dgm:prSet>
      <dgm:spPr/>
    </dgm:pt>
    <dgm:pt modelId="{EA6B137D-AB99-4386-B2C3-D7A0420727C5}" type="pres">
      <dgm:prSet presAssocID="{48D75BF0-90BE-4FB9-8C8C-8ABE1BD7C5CE}" presName="level3hierChild" presStyleCnt="0"/>
      <dgm:spPr/>
    </dgm:pt>
  </dgm:ptLst>
  <dgm:cxnLst>
    <dgm:cxn modelId="{A116340C-9F18-4CFE-A023-47D704E2AC99}" srcId="{9BAF2D50-5432-4773-92B8-AC1927A1E95B}" destId="{118EA4DD-B704-4604-8DD3-A10996AE4700}" srcOrd="1" destOrd="0" parTransId="{4366527E-EE67-41DC-9387-63A1B2992750}" sibTransId="{F9FE9229-FD23-4A70-B826-B8C293D8F7F6}"/>
    <dgm:cxn modelId="{A6BC670E-FCFA-4D7F-858D-75BC32D3C6BA}" srcId="{8B68C6CD-679A-4822-B65B-00058FE31AB1}" destId="{C8DDDF9F-415F-4637-BF51-8830E612A6E3}" srcOrd="1" destOrd="0" parTransId="{DBEDB092-C8EB-4265-B687-DAB6495A43EB}" sibTransId="{16402A32-9BF7-42E6-B76B-3BD8BD469673}"/>
    <dgm:cxn modelId="{F973880E-D171-4D05-9D62-584B56A4ED4D}" type="presOf" srcId="{55DFF091-0B05-40E5-AC2D-56567D6C86AD}" destId="{59F3A200-0BA1-40E9-9F63-3832C9E89611}" srcOrd="0" destOrd="0" presId="urn:microsoft.com/office/officeart/2008/layout/HorizontalMultiLevelHierarchy"/>
    <dgm:cxn modelId="{BCA7420F-649B-435B-B6CE-5E5B8406D677}" srcId="{A94A4B4E-2162-451B-9715-4A880C36868E}" destId="{8B68C6CD-679A-4822-B65B-00058FE31AB1}" srcOrd="1" destOrd="0" parTransId="{6C2ACF4A-13B8-4E3A-A42B-B11E8D7D6B23}" sibTransId="{32E0ECE9-658C-4176-977F-44457DA39FD2}"/>
    <dgm:cxn modelId="{BBBC4F16-44E2-48B2-A96A-0C447372A023}" type="presOf" srcId="{48D75BF0-90BE-4FB9-8C8C-8ABE1BD7C5CE}" destId="{E19F38A9-67D6-4570-9579-0041D5A0E5E1}" srcOrd="0" destOrd="0" presId="urn:microsoft.com/office/officeart/2008/layout/HorizontalMultiLevelHierarchy"/>
    <dgm:cxn modelId="{7C6ECD2C-918B-466F-909A-E72756C4909C}" type="presOf" srcId="{35178BB7-474E-4437-8030-03874636B5D8}" destId="{B2D7A915-579C-4A7F-9CD4-E18457A3E0BB}" srcOrd="1" destOrd="0" presId="urn:microsoft.com/office/officeart/2008/layout/HorizontalMultiLevelHierarchy"/>
    <dgm:cxn modelId="{A037182D-5870-4370-8705-D3BEC0BA41E2}" type="presOf" srcId="{8B68C6CD-679A-4822-B65B-00058FE31AB1}" destId="{80EC6066-8A46-4AB2-B546-5BD5D9323C70}" srcOrd="0" destOrd="0" presId="urn:microsoft.com/office/officeart/2008/layout/HorizontalMultiLevelHierarchy"/>
    <dgm:cxn modelId="{39F86C32-DDB7-4AAA-A4C4-9BB4AF847C58}" srcId="{A94A4B4E-2162-451B-9715-4A880C36868E}" destId="{4338E26D-B086-4C46-976A-F059B670E172}" srcOrd="0" destOrd="0" parTransId="{B6DE5F35-306E-477E-A297-15A43317085A}" sibTransId="{408EC10E-0DE1-48F2-AE52-EC4FE28E5527}"/>
    <dgm:cxn modelId="{323E853A-BADE-453D-966D-2CBE67A3C430}" type="presOf" srcId="{C8DDDF9F-415F-4637-BF51-8830E612A6E3}" destId="{5B20A107-03D6-4F65-BE12-63A33AFE7B68}" srcOrd="0" destOrd="0" presId="urn:microsoft.com/office/officeart/2008/layout/HorizontalMultiLevelHierarchy"/>
    <dgm:cxn modelId="{F108BC3A-FEF9-47C3-9738-20EA66DF0285}" srcId="{9BAF2D50-5432-4773-92B8-AC1927A1E95B}" destId="{88D54AF7-088C-47B9-B0BC-CB82A248EBB8}" srcOrd="2" destOrd="0" parTransId="{35178BB7-474E-4437-8030-03874636B5D8}" sibTransId="{673DD652-4CA4-45E7-B738-6F7B4B6FBB5F}"/>
    <dgm:cxn modelId="{CA17C740-F157-4B3A-ADFE-C4FADA26B35A}" srcId="{1F5743CC-7B72-487A-AD43-B66A52D798E1}" destId="{A94A4B4E-2162-451B-9715-4A880C36868E}" srcOrd="0" destOrd="0" parTransId="{78B9BF0A-17AA-4ACD-93CD-7CFCFB50B3AE}" sibTransId="{EE55ED47-40CD-4D85-8481-FFE797BB3A46}"/>
    <dgm:cxn modelId="{7133E040-C26F-4912-97A8-14DF2792E7D1}" type="presOf" srcId="{D48A2287-5D37-40C3-874D-825CD20FCE37}" destId="{693AFC02-2A32-4C4F-B483-80CD719B424C}" srcOrd="0" destOrd="0" presId="urn:microsoft.com/office/officeart/2008/layout/HorizontalMultiLevelHierarchy"/>
    <dgm:cxn modelId="{248ABC60-A4A5-4729-9F82-8C8B1BD5B82B}" type="presOf" srcId="{AB98CCD0-4B2E-4BD0-8FAB-FBF3620F4B3F}" destId="{CCCE5F93-0C21-4958-AF72-18F657D42A68}" srcOrd="1" destOrd="0" presId="urn:microsoft.com/office/officeart/2008/layout/HorizontalMultiLevelHierarchy"/>
    <dgm:cxn modelId="{C6C12641-F708-4D0A-BB22-A9B2510E548C}" type="presOf" srcId="{A26A66B1-B706-4473-A679-85F5D23E881F}" destId="{D526920F-9861-44DD-93D9-1E7F3E59F694}" srcOrd="0" destOrd="0" presId="urn:microsoft.com/office/officeart/2008/layout/HorizontalMultiLevelHierarchy"/>
    <dgm:cxn modelId="{42B3A362-A34C-4A73-A5DA-64A784F1E739}" type="presOf" srcId="{92D08BF8-23E6-446E-933F-F7B6EDCED309}" destId="{AF571542-FBB4-46B2-8721-0CD401B001F6}" srcOrd="0" destOrd="0" presId="urn:microsoft.com/office/officeart/2008/layout/HorizontalMultiLevelHierarchy"/>
    <dgm:cxn modelId="{DFDE2043-0826-4CEE-A336-D83DA7E8514C}" srcId="{4338E26D-B086-4C46-976A-F059B670E172}" destId="{485239D6-E3E1-44B2-BE1B-36D4E3FA53D3}" srcOrd="0" destOrd="0" parTransId="{D48A2287-5D37-40C3-874D-825CD20FCE37}" sibTransId="{3E8CA4F2-2671-400A-B0B3-D2A8321F2179}"/>
    <dgm:cxn modelId="{9CC38C47-AB3D-401B-8DC8-3B8931D1E1E5}" type="presOf" srcId="{D48A2287-5D37-40C3-874D-825CD20FCE37}" destId="{1BDCD77C-B12F-4B1A-87B7-DD61304DDDCB}" srcOrd="1" destOrd="0" presId="urn:microsoft.com/office/officeart/2008/layout/HorizontalMultiLevelHierarchy"/>
    <dgm:cxn modelId="{7EE59E67-B67B-4E41-A217-99E62DC46F9D}" srcId="{C8DDDF9F-415F-4637-BF51-8830E612A6E3}" destId="{C1281590-F62C-41B4-B6D1-A831E0F5E697}" srcOrd="0" destOrd="0" parTransId="{8293B278-EEAC-4916-9440-1C91EAA7F705}" sibTransId="{5F56500C-2AA0-47AB-A1EE-53BF5B43E683}"/>
    <dgm:cxn modelId="{5ACCB548-CBBB-4489-94F4-6D577D839A2A}" type="presOf" srcId="{4338E26D-B086-4C46-976A-F059B670E172}" destId="{3F41E26B-11EB-47B1-8ACC-4921900006DB}" srcOrd="0" destOrd="0" presId="urn:microsoft.com/office/officeart/2008/layout/HorizontalMultiLevelHierarchy"/>
    <dgm:cxn modelId="{EDD7D148-D60F-4A69-8651-6CC5C1525FC4}" srcId="{4338E26D-B086-4C46-976A-F059B670E172}" destId="{9BAF2D50-5432-4773-92B8-AC1927A1E95B}" srcOrd="1" destOrd="0" parTransId="{8C08E020-8626-4080-8DA8-8150E886C272}" sibTransId="{14B01CD4-3036-4953-A261-585851A6ABFB}"/>
    <dgm:cxn modelId="{9826A36B-9F19-41EB-8BEA-860843373608}" type="presOf" srcId="{9BAF2D50-5432-4773-92B8-AC1927A1E95B}" destId="{A54C6CF1-9666-4215-BB6D-5A93E40B6D23}" srcOrd="0" destOrd="0" presId="urn:microsoft.com/office/officeart/2008/layout/HorizontalMultiLevelHierarchy"/>
    <dgm:cxn modelId="{C117C26B-98E7-43CA-B3D7-281BF6BA49B7}" type="presOf" srcId="{FD2E0CB8-91CE-45BD-8D9E-47857E20B6B1}" destId="{2D945433-3FD2-4DF0-8381-47C2561BCCDA}" srcOrd="1" destOrd="0" presId="urn:microsoft.com/office/officeart/2008/layout/HorizontalMultiLevelHierarchy"/>
    <dgm:cxn modelId="{0FA8286D-7F24-442F-9506-B1919E7C91FC}" srcId="{9BAF2D50-5432-4773-92B8-AC1927A1E95B}" destId="{A4B0D075-B464-4457-AAD1-6D7948DA7EA5}" srcOrd="3" destOrd="0" parTransId="{AB98CCD0-4B2E-4BD0-8FAB-FBF3620F4B3F}" sibTransId="{FA23D1B8-5479-4526-A14C-85685142EBE7}"/>
    <dgm:cxn modelId="{1431B76D-2348-4562-A411-5AC969C5357A}" type="presOf" srcId="{88D54AF7-088C-47B9-B0BC-CB82A248EBB8}" destId="{A06B619D-C59C-4C24-B70B-4709428B8572}" srcOrd="0" destOrd="0" presId="urn:microsoft.com/office/officeart/2008/layout/HorizontalMultiLevelHierarchy"/>
    <dgm:cxn modelId="{8452B252-1040-481B-80EE-4B86EB558F2C}" type="presOf" srcId="{8293B278-EEAC-4916-9440-1C91EAA7F705}" destId="{7DC8CE2D-E711-4F71-99E1-F197C7AFEE16}" srcOrd="1" destOrd="0" presId="urn:microsoft.com/office/officeart/2008/layout/HorizontalMultiLevelHierarchy"/>
    <dgm:cxn modelId="{BE908173-7A56-4DF4-963A-5D1BF81F3CDE}" type="presOf" srcId="{1F5743CC-7B72-487A-AD43-B66A52D798E1}" destId="{BFE473DC-87C0-48BE-8173-58452A34E2FA}" srcOrd="0" destOrd="0" presId="urn:microsoft.com/office/officeart/2008/layout/HorizontalMultiLevelHierarchy"/>
    <dgm:cxn modelId="{C3DE4E56-AA1B-4A25-B5F4-9836285B75C0}" type="presOf" srcId="{AB98CCD0-4B2E-4BD0-8FAB-FBF3620F4B3F}" destId="{1177FAFB-4D2B-4B00-9E7C-503DCCAC80A5}" srcOrd="0" destOrd="0" presId="urn:microsoft.com/office/officeart/2008/layout/HorizontalMultiLevelHierarchy"/>
    <dgm:cxn modelId="{6287C876-A3CD-4052-BC75-26E45BEFDC90}" type="presOf" srcId="{2EEA940E-FF89-4372-9F1A-4EED9763C314}" destId="{19D1DECA-05EF-43ED-B90A-B3AD68735CB6}" srcOrd="0" destOrd="0" presId="urn:microsoft.com/office/officeart/2008/layout/HorizontalMultiLevelHierarchy"/>
    <dgm:cxn modelId="{5442B97B-FC23-46E4-8FF5-4DBD14EFE23B}" type="presOf" srcId="{FD2E0CB8-91CE-45BD-8D9E-47857E20B6B1}" destId="{60F402EC-AA4C-4308-A119-4F7F2BFD14B7}" srcOrd="0" destOrd="0" presId="urn:microsoft.com/office/officeart/2008/layout/HorizontalMultiLevelHierarchy"/>
    <dgm:cxn modelId="{1304027C-1725-43AA-BC85-18B4B158B644}" type="presOf" srcId="{B6DE5F35-306E-477E-A297-15A43317085A}" destId="{02B609D5-E77D-4732-B15D-4A6A04091ABE}" srcOrd="1" destOrd="0" presId="urn:microsoft.com/office/officeart/2008/layout/HorizontalMultiLevelHierarchy"/>
    <dgm:cxn modelId="{7BDB1287-2DB5-4D56-89E4-663AD6C76CD6}" type="presOf" srcId="{4366527E-EE67-41DC-9387-63A1B2992750}" destId="{81CFD087-212B-4AAB-80D6-48FD6EC637EA}" srcOrd="1" destOrd="0" presId="urn:microsoft.com/office/officeart/2008/layout/HorizontalMultiLevelHierarchy"/>
    <dgm:cxn modelId="{142DFF87-DBCD-4765-8F99-D6D0B79F70D8}" srcId="{8B68C6CD-679A-4822-B65B-00058FE31AB1}" destId="{48D75BF0-90BE-4FB9-8C8C-8ABE1BD7C5CE}" srcOrd="2" destOrd="0" parTransId="{3434C0AE-432D-429E-8DA3-17062FE4592D}" sibTransId="{10FD194D-D4AE-4FDF-AC98-D963B66E0580}"/>
    <dgm:cxn modelId="{3CED8C8F-2735-4C99-A2F7-268045C75310}" srcId="{8B68C6CD-679A-4822-B65B-00058FE31AB1}" destId="{A2CC352E-91CE-476F-ABE0-25832A42FF60}" srcOrd="0" destOrd="0" parTransId="{55DFF091-0B05-40E5-AC2D-56567D6C86AD}" sibTransId="{5F3C2570-8BD6-48BE-B19E-80681EAA523F}"/>
    <dgm:cxn modelId="{6C6DE194-E5EA-42D0-8146-E7B2D4211174}" type="presOf" srcId="{B6DE5F35-306E-477E-A297-15A43317085A}" destId="{2F8EF566-1C4A-491C-9116-F938E8F3D6A5}" srcOrd="0" destOrd="0" presId="urn:microsoft.com/office/officeart/2008/layout/HorizontalMultiLevelHierarchy"/>
    <dgm:cxn modelId="{BB33B897-9650-4D8E-91FB-7F4FA4A26F52}" type="presOf" srcId="{D6F4F8F3-81B4-43B8-94E3-DB16B79EFA24}" destId="{C9728A2C-5392-4126-A84A-8E24EC015016}" srcOrd="0" destOrd="0" presId="urn:microsoft.com/office/officeart/2008/layout/HorizontalMultiLevelHierarchy"/>
    <dgm:cxn modelId="{EECD96A3-EF5C-423A-8384-2D8CCEAE8E70}" srcId="{A2CC352E-91CE-476F-ABE0-25832A42FF60}" destId="{D6F4F8F3-81B4-43B8-94E3-DB16B79EFA24}" srcOrd="0" destOrd="0" parTransId="{FD2E0CB8-91CE-45BD-8D9E-47857E20B6B1}" sibTransId="{19BFE027-5A7F-4496-8422-D32FF3B2DE67}"/>
    <dgm:cxn modelId="{4B4FBEA7-DEA4-43B1-8924-00CF8E0A974C}" srcId="{4338E26D-B086-4C46-976A-F059B670E172}" destId="{0AB90F36-4A14-47EE-A636-72AEB08D8EF6}" srcOrd="2" destOrd="0" parTransId="{E442837C-71D8-42EB-BEAC-A005013B022E}" sibTransId="{E2149ED2-036B-471D-A39B-B0DB4009496E}"/>
    <dgm:cxn modelId="{5510EDA7-3A0F-44B9-925C-A9577ED9D0BB}" type="presOf" srcId="{B72F3FCF-A8DC-47A6-B677-D29DD67B8316}" destId="{F246E136-6A10-4EF3-8E35-EB69F2015B09}" srcOrd="0" destOrd="0" presId="urn:microsoft.com/office/officeart/2008/layout/HorizontalMultiLevelHierarchy"/>
    <dgm:cxn modelId="{857E07A8-E0C7-4DEF-B365-509E2F9C947F}" type="presOf" srcId="{0AB90F36-4A14-47EE-A636-72AEB08D8EF6}" destId="{49046632-515D-41EC-AC23-7DAA414BE2C0}" srcOrd="0" destOrd="0" presId="urn:microsoft.com/office/officeart/2008/layout/HorizontalMultiLevelHierarchy"/>
    <dgm:cxn modelId="{DDA96BA8-1E6D-4414-9416-11C1499AEC76}" type="presOf" srcId="{55DFF091-0B05-40E5-AC2D-56567D6C86AD}" destId="{C86E486B-D1BC-49B2-AAF1-1FA01D6ECD46}" srcOrd="1" destOrd="0" presId="urn:microsoft.com/office/officeart/2008/layout/HorizontalMultiLevelHierarchy"/>
    <dgm:cxn modelId="{1AC6D7AA-57A8-429D-9EBB-FA9DDCC9EC53}" type="presOf" srcId="{35178BB7-474E-4437-8030-03874636B5D8}" destId="{E989A813-E22E-4574-A597-8E20FB75514C}" srcOrd="0" destOrd="0" presId="urn:microsoft.com/office/officeart/2008/layout/HorizontalMultiLevelHierarchy"/>
    <dgm:cxn modelId="{BBC8C7AB-5BDD-40B9-8929-3DE194F3F0B9}" type="presOf" srcId="{A94A4B4E-2162-451B-9715-4A880C36868E}" destId="{389BD0D3-91D0-4AA7-B539-165926CC4CF4}" srcOrd="0" destOrd="0" presId="urn:microsoft.com/office/officeart/2008/layout/HorizontalMultiLevelHierarchy"/>
    <dgm:cxn modelId="{A2CE12B2-6EB9-482B-B1F0-2A5C5B872231}" type="presOf" srcId="{118EA4DD-B704-4604-8DD3-A10996AE4700}" destId="{542CA573-4857-442A-9F4A-8702A1C8B413}" srcOrd="0" destOrd="0" presId="urn:microsoft.com/office/officeart/2008/layout/HorizontalMultiLevelHierarchy"/>
    <dgm:cxn modelId="{C60B6BB5-848F-44C7-8FAA-76AA804FF523}" type="presOf" srcId="{A4B0D075-B464-4457-AAD1-6D7948DA7EA5}" destId="{D1A2B2A6-3D04-4FB1-B109-923A5FB30E6F}" srcOrd="0" destOrd="0" presId="urn:microsoft.com/office/officeart/2008/layout/HorizontalMultiLevelHierarchy"/>
    <dgm:cxn modelId="{0C55F5BD-7D3D-4406-8C24-DCCFF6F4B948}" type="presOf" srcId="{485239D6-E3E1-44B2-BE1B-36D4E3FA53D3}" destId="{AB67E0BB-C6BE-4688-8749-566041095066}" srcOrd="0" destOrd="0" presId="urn:microsoft.com/office/officeart/2008/layout/HorizontalMultiLevelHierarchy"/>
    <dgm:cxn modelId="{375A15C0-CB1A-4A8F-A853-64AA8CCD6335}" type="presOf" srcId="{2EEA940E-FF89-4372-9F1A-4EED9763C314}" destId="{470F1696-6C85-4D66-BA09-510FA6FFA3CD}" srcOrd="1" destOrd="0" presId="urn:microsoft.com/office/officeart/2008/layout/HorizontalMultiLevelHierarchy"/>
    <dgm:cxn modelId="{EE41F4C0-ABD1-4E60-A3CF-CB61569D2FE5}" type="presOf" srcId="{6C2ACF4A-13B8-4E3A-A42B-B11E8D7D6B23}" destId="{24D9A42F-E653-4F6B-909F-4ED003425ADD}" srcOrd="0" destOrd="0" presId="urn:microsoft.com/office/officeart/2008/layout/HorizontalMultiLevelHierarchy"/>
    <dgm:cxn modelId="{FAAFB7C8-D3C4-43DE-A4E2-7A14AF67F16A}" type="presOf" srcId="{8293B278-EEAC-4916-9440-1C91EAA7F705}" destId="{A2DF700B-BFEE-478D-B1C6-10A61764B838}" srcOrd="0" destOrd="0" presId="urn:microsoft.com/office/officeart/2008/layout/HorizontalMultiLevelHierarchy"/>
    <dgm:cxn modelId="{8D7086CD-8F0B-4C9A-8ACC-1BA1D08805A1}" type="presOf" srcId="{C1281590-F62C-41B4-B6D1-A831E0F5E697}" destId="{588BD9D2-0FDE-45DA-B9C1-22F46371BDC0}" srcOrd="0" destOrd="0" presId="urn:microsoft.com/office/officeart/2008/layout/HorizontalMultiLevelHierarchy"/>
    <dgm:cxn modelId="{500791D8-CF36-4BF5-88BA-1A46531A46EF}" type="presOf" srcId="{DBEDB092-C8EB-4265-B687-DAB6495A43EB}" destId="{57263D0B-9DFA-4623-BD86-2D8373630D70}" srcOrd="1" destOrd="0" presId="urn:microsoft.com/office/officeart/2008/layout/HorizontalMultiLevelHierarchy"/>
    <dgm:cxn modelId="{808689DC-8558-4D10-A6C4-6DC1D93ADD1B}" type="presOf" srcId="{6C2ACF4A-13B8-4E3A-A42B-B11E8D7D6B23}" destId="{2AF5580D-43FB-480E-9FC5-312247634A15}" srcOrd="1" destOrd="0" presId="urn:microsoft.com/office/officeart/2008/layout/HorizontalMultiLevelHierarchy"/>
    <dgm:cxn modelId="{6A3FCCDC-63BE-4136-B710-7153E2DD4CB8}" type="presOf" srcId="{E442837C-71D8-42EB-BEAC-A005013B022E}" destId="{14F8A28E-96A1-4162-9A8A-DA94A3B921EA}" srcOrd="0" destOrd="0" presId="urn:microsoft.com/office/officeart/2008/layout/HorizontalMultiLevelHierarchy"/>
    <dgm:cxn modelId="{F3D040E5-4EC4-4D3B-920C-353FF3191756}" type="presOf" srcId="{8C08E020-8626-4080-8DA8-8150E886C272}" destId="{E10C9DA3-D0B4-47F4-9F47-2FB8427D5F6F}" srcOrd="0" destOrd="0" presId="urn:microsoft.com/office/officeart/2008/layout/HorizontalMultiLevelHierarchy"/>
    <dgm:cxn modelId="{5E3A9FE7-6A2E-43BB-85B2-7FE8868A0F23}" type="presOf" srcId="{3434C0AE-432D-429E-8DA3-17062FE4592D}" destId="{359F8E71-1899-49A2-A3C8-92AD35522E4F}" srcOrd="0" destOrd="0" presId="urn:microsoft.com/office/officeart/2008/layout/HorizontalMultiLevelHierarchy"/>
    <dgm:cxn modelId="{5C3EC0ED-AD06-4F0C-B18E-48E5F47626EA}" type="presOf" srcId="{4366527E-EE67-41DC-9387-63A1B2992750}" destId="{2D2D2807-574D-4A47-AB1B-B3EB20AAE2AB}" srcOrd="0" destOrd="0" presId="urn:microsoft.com/office/officeart/2008/layout/HorizontalMultiLevelHierarchy"/>
    <dgm:cxn modelId="{10CCF4ED-F9EA-477F-80A9-0CB98DDAE65D}" type="presOf" srcId="{3434C0AE-432D-429E-8DA3-17062FE4592D}" destId="{23F2F9E1-ABAD-44F3-8BA6-4DD037112DBB}" srcOrd="1" destOrd="0" presId="urn:microsoft.com/office/officeart/2008/layout/HorizontalMultiLevelHierarchy"/>
    <dgm:cxn modelId="{759E50F2-82C2-42CF-8451-1410D9B6A2AA}" type="presOf" srcId="{DBEDB092-C8EB-4265-B687-DAB6495A43EB}" destId="{4D43EF89-E959-4640-AF70-16ECCF5CE78D}" srcOrd="0" destOrd="0" presId="urn:microsoft.com/office/officeart/2008/layout/HorizontalMultiLevelHierarchy"/>
    <dgm:cxn modelId="{433E45F3-87AE-4FD8-A3C1-A2F791146E02}" type="presOf" srcId="{92D08BF8-23E6-446E-933F-F7B6EDCED309}" destId="{15F31EC9-A5EE-4B9F-9793-9A3A8D634A1B}" srcOrd="1" destOrd="0" presId="urn:microsoft.com/office/officeart/2008/layout/HorizontalMultiLevelHierarchy"/>
    <dgm:cxn modelId="{424158F4-8E75-4208-B829-8A8CA7432994}" srcId="{9BAF2D50-5432-4773-92B8-AC1927A1E95B}" destId="{A26A66B1-B706-4473-A679-85F5D23E881F}" srcOrd="0" destOrd="0" parTransId="{92D08BF8-23E6-446E-933F-F7B6EDCED309}" sibTransId="{C41F8AD9-D47F-4A7E-9355-9CA158192E2E}"/>
    <dgm:cxn modelId="{18EDBBF4-4E90-485F-B24B-87FD47142D76}" type="presOf" srcId="{E442837C-71D8-42EB-BEAC-A005013B022E}" destId="{16027D2C-3CFC-4C92-B7FB-E45FAF08A1C4}" srcOrd="1" destOrd="0" presId="urn:microsoft.com/office/officeart/2008/layout/HorizontalMultiLevelHierarchy"/>
    <dgm:cxn modelId="{FE76EFF5-0242-4ED7-8C6A-493E3829F107}" type="presOf" srcId="{A2CC352E-91CE-476F-ABE0-25832A42FF60}" destId="{F90319E6-05D1-4BE1-99F0-E1E9E30543E5}" srcOrd="0" destOrd="0" presId="urn:microsoft.com/office/officeart/2008/layout/HorizontalMultiLevelHierarchy"/>
    <dgm:cxn modelId="{BEC196F6-E384-40ED-9800-D40FD8981840}" type="presOf" srcId="{8C08E020-8626-4080-8DA8-8150E886C272}" destId="{50D1C200-23F4-4548-980F-FF352B546700}" srcOrd="1" destOrd="0" presId="urn:microsoft.com/office/officeart/2008/layout/HorizontalMultiLevelHierarchy"/>
    <dgm:cxn modelId="{EBD0E5FC-A727-4E19-B938-F6D840648AF4}" srcId="{C8DDDF9F-415F-4637-BF51-8830E612A6E3}" destId="{B72F3FCF-A8DC-47A6-B677-D29DD67B8316}" srcOrd="1" destOrd="0" parTransId="{2EEA940E-FF89-4372-9F1A-4EED9763C314}" sibTransId="{88D95B6B-58DA-48CC-B5B4-2B6750EB8133}"/>
    <dgm:cxn modelId="{8AEF9B9E-20B2-4F2C-B167-E54BE983B849}" type="presParOf" srcId="{BFE473DC-87C0-48BE-8173-58452A34E2FA}" destId="{D646C6A3-CBFF-4FD0-8065-BB0670C9AC45}" srcOrd="0" destOrd="0" presId="urn:microsoft.com/office/officeart/2008/layout/HorizontalMultiLevelHierarchy"/>
    <dgm:cxn modelId="{08C4E137-7850-41AF-B709-5D92CF753986}" type="presParOf" srcId="{D646C6A3-CBFF-4FD0-8065-BB0670C9AC45}" destId="{389BD0D3-91D0-4AA7-B539-165926CC4CF4}" srcOrd="0" destOrd="0" presId="urn:microsoft.com/office/officeart/2008/layout/HorizontalMultiLevelHierarchy"/>
    <dgm:cxn modelId="{DD7DF5B3-C5BE-4CD8-BF65-92AFCECFFC14}" type="presParOf" srcId="{D646C6A3-CBFF-4FD0-8065-BB0670C9AC45}" destId="{DCF97E4C-13A5-42F3-85F7-83E9FC3D7430}" srcOrd="1" destOrd="0" presId="urn:microsoft.com/office/officeart/2008/layout/HorizontalMultiLevelHierarchy"/>
    <dgm:cxn modelId="{2CFF2677-7701-42B3-A00F-ACD3F3CA7154}" type="presParOf" srcId="{DCF97E4C-13A5-42F3-85F7-83E9FC3D7430}" destId="{2F8EF566-1C4A-491C-9116-F938E8F3D6A5}" srcOrd="0" destOrd="0" presId="urn:microsoft.com/office/officeart/2008/layout/HorizontalMultiLevelHierarchy"/>
    <dgm:cxn modelId="{C57437E3-E7D1-48C9-967C-4B8AFFD2B2FA}" type="presParOf" srcId="{2F8EF566-1C4A-491C-9116-F938E8F3D6A5}" destId="{02B609D5-E77D-4732-B15D-4A6A04091ABE}" srcOrd="0" destOrd="0" presId="urn:microsoft.com/office/officeart/2008/layout/HorizontalMultiLevelHierarchy"/>
    <dgm:cxn modelId="{BF14C7CD-18E2-432F-8FEB-D891F5F64E2D}" type="presParOf" srcId="{DCF97E4C-13A5-42F3-85F7-83E9FC3D7430}" destId="{7C7D5A58-783E-47F8-839E-F25144C82884}" srcOrd="1" destOrd="0" presId="urn:microsoft.com/office/officeart/2008/layout/HorizontalMultiLevelHierarchy"/>
    <dgm:cxn modelId="{E8EFDE89-4745-4067-8FEF-CA9386A2ED64}" type="presParOf" srcId="{7C7D5A58-783E-47F8-839E-F25144C82884}" destId="{3F41E26B-11EB-47B1-8ACC-4921900006DB}" srcOrd="0" destOrd="0" presId="urn:microsoft.com/office/officeart/2008/layout/HorizontalMultiLevelHierarchy"/>
    <dgm:cxn modelId="{C17204F7-9F15-4B58-9232-7E3A87C91E83}" type="presParOf" srcId="{7C7D5A58-783E-47F8-839E-F25144C82884}" destId="{525FCAFB-57B8-4C53-839C-4346E6F4501B}" srcOrd="1" destOrd="0" presId="urn:microsoft.com/office/officeart/2008/layout/HorizontalMultiLevelHierarchy"/>
    <dgm:cxn modelId="{AA5CE508-16C9-450D-B44E-27A07A6BC723}" type="presParOf" srcId="{525FCAFB-57B8-4C53-839C-4346E6F4501B}" destId="{693AFC02-2A32-4C4F-B483-80CD719B424C}" srcOrd="0" destOrd="0" presId="urn:microsoft.com/office/officeart/2008/layout/HorizontalMultiLevelHierarchy"/>
    <dgm:cxn modelId="{063B90BA-6A30-456A-84F6-0580EB3CEFE0}" type="presParOf" srcId="{693AFC02-2A32-4C4F-B483-80CD719B424C}" destId="{1BDCD77C-B12F-4B1A-87B7-DD61304DDDCB}" srcOrd="0" destOrd="0" presId="urn:microsoft.com/office/officeart/2008/layout/HorizontalMultiLevelHierarchy"/>
    <dgm:cxn modelId="{BFD72C9E-8166-4D5B-838C-4354E66984DD}" type="presParOf" srcId="{525FCAFB-57B8-4C53-839C-4346E6F4501B}" destId="{A7F8CC49-1FDC-4EF8-8E1D-C4494ECFDD48}" srcOrd="1" destOrd="0" presId="urn:microsoft.com/office/officeart/2008/layout/HorizontalMultiLevelHierarchy"/>
    <dgm:cxn modelId="{DDC9F2FF-FE09-4629-AACA-680563893A55}" type="presParOf" srcId="{A7F8CC49-1FDC-4EF8-8E1D-C4494ECFDD48}" destId="{AB67E0BB-C6BE-4688-8749-566041095066}" srcOrd="0" destOrd="0" presId="urn:microsoft.com/office/officeart/2008/layout/HorizontalMultiLevelHierarchy"/>
    <dgm:cxn modelId="{E216FDA1-7299-4BFE-8BBF-7E99B58AB4AB}" type="presParOf" srcId="{A7F8CC49-1FDC-4EF8-8E1D-C4494ECFDD48}" destId="{FB954869-BC7A-4E94-A9A7-98AD8F02354B}" srcOrd="1" destOrd="0" presId="urn:microsoft.com/office/officeart/2008/layout/HorizontalMultiLevelHierarchy"/>
    <dgm:cxn modelId="{1B44D627-8EFE-4A6F-A8C1-DD2D4AE20F5C}" type="presParOf" srcId="{525FCAFB-57B8-4C53-839C-4346E6F4501B}" destId="{E10C9DA3-D0B4-47F4-9F47-2FB8427D5F6F}" srcOrd="2" destOrd="0" presId="urn:microsoft.com/office/officeart/2008/layout/HorizontalMultiLevelHierarchy"/>
    <dgm:cxn modelId="{F221D831-3BB3-4CC6-BD9D-A96BB0853641}" type="presParOf" srcId="{E10C9DA3-D0B4-47F4-9F47-2FB8427D5F6F}" destId="{50D1C200-23F4-4548-980F-FF352B546700}" srcOrd="0" destOrd="0" presId="urn:microsoft.com/office/officeart/2008/layout/HorizontalMultiLevelHierarchy"/>
    <dgm:cxn modelId="{D7D5F136-C4AF-4907-89DF-083DEE528E34}" type="presParOf" srcId="{525FCAFB-57B8-4C53-839C-4346E6F4501B}" destId="{4040FB0C-ADC0-4556-A6F2-BAF45191EF30}" srcOrd="3" destOrd="0" presId="urn:microsoft.com/office/officeart/2008/layout/HorizontalMultiLevelHierarchy"/>
    <dgm:cxn modelId="{54D32F56-99C0-4A51-8E48-6DA538B5797B}" type="presParOf" srcId="{4040FB0C-ADC0-4556-A6F2-BAF45191EF30}" destId="{A54C6CF1-9666-4215-BB6D-5A93E40B6D23}" srcOrd="0" destOrd="0" presId="urn:microsoft.com/office/officeart/2008/layout/HorizontalMultiLevelHierarchy"/>
    <dgm:cxn modelId="{5FBA68C7-2B5A-45BE-8824-90FEDF265CB7}" type="presParOf" srcId="{4040FB0C-ADC0-4556-A6F2-BAF45191EF30}" destId="{A5DFB709-465B-45FC-86EA-4FBB8BBC35FD}" srcOrd="1" destOrd="0" presId="urn:microsoft.com/office/officeart/2008/layout/HorizontalMultiLevelHierarchy"/>
    <dgm:cxn modelId="{1D93B510-0934-4407-AEE1-9EF80F47C5B3}" type="presParOf" srcId="{A5DFB709-465B-45FC-86EA-4FBB8BBC35FD}" destId="{AF571542-FBB4-46B2-8721-0CD401B001F6}" srcOrd="0" destOrd="0" presId="urn:microsoft.com/office/officeart/2008/layout/HorizontalMultiLevelHierarchy"/>
    <dgm:cxn modelId="{BA202A90-2C08-4804-8A04-1544A2FFB2F9}" type="presParOf" srcId="{AF571542-FBB4-46B2-8721-0CD401B001F6}" destId="{15F31EC9-A5EE-4B9F-9793-9A3A8D634A1B}" srcOrd="0" destOrd="0" presId="urn:microsoft.com/office/officeart/2008/layout/HorizontalMultiLevelHierarchy"/>
    <dgm:cxn modelId="{F172CB6D-8DA9-4033-8817-4B5C7636D132}" type="presParOf" srcId="{A5DFB709-465B-45FC-86EA-4FBB8BBC35FD}" destId="{38E9947D-9096-4DE4-B672-393B843FC82E}" srcOrd="1" destOrd="0" presId="urn:microsoft.com/office/officeart/2008/layout/HorizontalMultiLevelHierarchy"/>
    <dgm:cxn modelId="{D9DEA657-D4D3-4575-8F03-8294F0177C28}" type="presParOf" srcId="{38E9947D-9096-4DE4-B672-393B843FC82E}" destId="{D526920F-9861-44DD-93D9-1E7F3E59F694}" srcOrd="0" destOrd="0" presId="urn:microsoft.com/office/officeart/2008/layout/HorizontalMultiLevelHierarchy"/>
    <dgm:cxn modelId="{1292017D-31BA-4268-A83D-1113066D8CE7}" type="presParOf" srcId="{38E9947D-9096-4DE4-B672-393B843FC82E}" destId="{B5170179-6820-4697-B8EF-78ACD1B5AE14}" srcOrd="1" destOrd="0" presId="urn:microsoft.com/office/officeart/2008/layout/HorizontalMultiLevelHierarchy"/>
    <dgm:cxn modelId="{75A27B49-D45A-4044-8621-43213A781AC4}" type="presParOf" srcId="{A5DFB709-465B-45FC-86EA-4FBB8BBC35FD}" destId="{2D2D2807-574D-4A47-AB1B-B3EB20AAE2AB}" srcOrd="2" destOrd="0" presId="urn:microsoft.com/office/officeart/2008/layout/HorizontalMultiLevelHierarchy"/>
    <dgm:cxn modelId="{D7DA941E-2A38-4BAC-ABB7-4408316103CE}" type="presParOf" srcId="{2D2D2807-574D-4A47-AB1B-B3EB20AAE2AB}" destId="{81CFD087-212B-4AAB-80D6-48FD6EC637EA}" srcOrd="0" destOrd="0" presId="urn:microsoft.com/office/officeart/2008/layout/HorizontalMultiLevelHierarchy"/>
    <dgm:cxn modelId="{5748516D-CA9C-4365-BEB3-885CE7B6786B}" type="presParOf" srcId="{A5DFB709-465B-45FC-86EA-4FBB8BBC35FD}" destId="{BA7EDD4B-05F8-449E-BF48-D47AD776C66D}" srcOrd="3" destOrd="0" presId="urn:microsoft.com/office/officeart/2008/layout/HorizontalMultiLevelHierarchy"/>
    <dgm:cxn modelId="{49121130-BD4D-48A7-9A0C-2DA634AD987D}" type="presParOf" srcId="{BA7EDD4B-05F8-449E-BF48-D47AD776C66D}" destId="{542CA573-4857-442A-9F4A-8702A1C8B413}" srcOrd="0" destOrd="0" presId="urn:microsoft.com/office/officeart/2008/layout/HorizontalMultiLevelHierarchy"/>
    <dgm:cxn modelId="{B2153235-0947-475A-AC64-70E8ADD1D30A}" type="presParOf" srcId="{BA7EDD4B-05F8-449E-BF48-D47AD776C66D}" destId="{6AD653D6-D319-4D4B-95BA-D69B09347855}" srcOrd="1" destOrd="0" presId="urn:microsoft.com/office/officeart/2008/layout/HorizontalMultiLevelHierarchy"/>
    <dgm:cxn modelId="{A3B8035D-393A-4C8F-AEFF-106B2F8E5C82}" type="presParOf" srcId="{A5DFB709-465B-45FC-86EA-4FBB8BBC35FD}" destId="{E989A813-E22E-4574-A597-8E20FB75514C}" srcOrd="4" destOrd="0" presId="urn:microsoft.com/office/officeart/2008/layout/HorizontalMultiLevelHierarchy"/>
    <dgm:cxn modelId="{EC7088DC-B9C7-4D09-95AB-F6F47018811A}" type="presParOf" srcId="{E989A813-E22E-4574-A597-8E20FB75514C}" destId="{B2D7A915-579C-4A7F-9CD4-E18457A3E0BB}" srcOrd="0" destOrd="0" presId="urn:microsoft.com/office/officeart/2008/layout/HorizontalMultiLevelHierarchy"/>
    <dgm:cxn modelId="{D25DEA82-CE49-4630-BB90-54BF456D1917}" type="presParOf" srcId="{A5DFB709-465B-45FC-86EA-4FBB8BBC35FD}" destId="{721DCE23-B91B-43B3-8E75-D088920CAC64}" srcOrd="5" destOrd="0" presId="urn:microsoft.com/office/officeart/2008/layout/HorizontalMultiLevelHierarchy"/>
    <dgm:cxn modelId="{73BD3547-BF21-4BCB-BF0C-6A3AD5525FFD}" type="presParOf" srcId="{721DCE23-B91B-43B3-8E75-D088920CAC64}" destId="{A06B619D-C59C-4C24-B70B-4709428B8572}" srcOrd="0" destOrd="0" presId="urn:microsoft.com/office/officeart/2008/layout/HorizontalMultiLevelHierarchy"/>
    <dgm:cxn modelId="{D6AC58EB-278A-48F0-A22E-FBECC91516FE}" type="presParOf" srcId="{721DCE23-B91B-43B3-8E75-D088920CAC64}" destId="{EBD8AEF6-3CB0-4B0C-8645-9E2A8DB3EFD5}" srcOrd="1" destOrd="0" presId="urn:microsoft.com/office/officeart/2008/layout/HorizontalMultiLevelHierarchy"/>
    <dgm:cxn modelId="{48AAAC54-00AE-41AC-8B13-D9ACF4878242}" type="presParOf" srcId="{A5DFB709-465B-45FC-86EA-4FBB8BBC35FD}" destId="{1177FAFB-4D2B-4B00-9E7C-503DCCAC80A5}" srcOrd="6" destOrd="0" presId="urn:microsoft.com/office/officeart/2008/layout/HorizontalMultiLevelHierarchy"/>
    <dgm:cxn modelId="{72774C06-240F-4712-9DF6-00963796AAB1}" type="presParOf" srcId="{1177FAFB-4D2B-4B00-9E7C-503DCCAC80A5}" destId="{CCCE5F93-0C21-4958-AF72-18F657D42A68}" srcOrd="0" destOrd="0" presId="urn:microsoft.com/office/officeart/2008/layout/HorizontalMultiLevelHierarchy"/>
    <dgm:cxn modelId="{BFA00302-EEAD-4603-B290-77547048AA50}" type="presParOf" srcId="{A5DFB709-465B-45FC-86EA-4FBB8BBC35FD}" destId="{850C0048-2CCD-47A6-BEBD-2FA32D0794A7}" srcOrd="7" destOrd="0" presId="urn:microsoft.com/office/officeart/2008/layout/HorizontalMultiLevelHierarchy"/>
    <dgm:cxn modelId="{B237DDBC-D7FB-42EC-B5F0-0E632A1C305B}" type="presParOf" srcId="{850C0048-2CCD-47A6-BEBD-2FA32D0794A7}" destId="{D1A2B2A6-3D04-4FB1-B109-923A5FB30E6F}" srcOrd="0" destOrd="0" presId="urn:microsoft.com/office/officeart/2008/layout/HorizontalMultiLevelHierarchy"/>
    <dgm:cxn modelId="{A0949691-57FB-4D78-9170-AA42EF78BFCB}" type="presParOf" srcId="{850C0048-2CCD-47A6-BEBD-2FA32D0794A7}" destId="{C3624491-96AE-4797-A30D-2F26E2AEEDAE}" srcOrd="1" destOrd="0" presId="urn:microsoft.com/office/officeart/2008/layout/HorizontalMultiLevelHierarchy"/>
    <dgm:cxn modelId="{626BC0B8-00B1-4A82-BEA6-C537EB1F57E2}" type="presParOf" srcId="{525FCAFB-57B8-4C53-839C-4346E6F4501B}" destId="{14F8A28E-96A1-4162-9A8A-DA94A3B921EA}" srcOrd="4" destOrd="0" presId="urn:microsoft.com/office/officeart/2008/layout/HorizontalMultiLevelHierarchy"/>
    <dgm:cxn modelId="{957FF064-3A2F-4A89-8402-393934EF3916}" type="presParOf" srcId="{14F8A28E-96A1-4162-9A8A-DA94A3B921EA}" destId="{16027D2C-3CFC-4C92-B7FB-E45FAF08A1C4}" srcOrd="0" destOrd="0" presId="urn:microsoft.com/office/officeart/2008/layout/HorizontalMultiLevelHierarchy"/>
    <dgm:cxn modelId="{6A4A69D4-0DE9-4B38-8204-1E1B658AD0BB}" type="presParOf" srcId="{525FCAFB-57B8-4C53-839C-4346E6F4501B}" destId="{0FFAB837-E230-4F64-9E7A-C0321C155542}" srcOrd="5" destOrd="0" presId="urn:microsoft.com/office/officeart/2008/layout/HorizontalMultiLevelHierarchy"/>
    <dgm:cxn modelId="{68CDA6F3-6E69-458C-8F3E-1BADAE044F2D}" type="presParOf" srcId="{0FFAB837-E230-4F64-9E7A-C0321C155542}" destId="{49046632-515D-41EC-AC23-7DAA414BE2C0}" srcOrd="0" destOrd="0" presId="urn:microsoft.com/office/officeart/2008/layout/HorizontalMultiLevelHierarchy"/>
    <dgm:cxn modelId="{F8311D43-073E-47E5-8CB8-F3852B53E377}" type="presParOf" srcId="{0FFAB837-E230-4F64-9E7A-C0321C155542}" destId="{7E2BCB68-2551-4EC6-955C-95AA8262FBE8}" srcOrd="1" destOrd="0" presId="urn:microsoft.com/office/officeart/2008/layout/HorizontalMultiLevelHierarchy"/>
    <dgm:cxn modelId="{6D0A3795-BFA2-4740-A1CB-9C3055E19E97}" type="presParOf" srcId="{DCF97E4C-13A5-42F3-85F7-83E9FC3D7430}" destId="{24D9A42F-E653-4F6B-909F-4ED003425ADD}" srcOrd="2" destOrd="0" presId="urn:microsoft.com/office/officeart/2008/layout/HorizontalMultiLevelHierarchy"/>
    <dgm:cxn modelId="{3377BDDB-A2EA-4F3C-995C-DFD3483A55E9}" type="presParOf" srcId="{24D9A42F-E653-4F6B-909F-4ED003425ADD}" destId="{2AF5580D-43FB-480E-9FC5-312247634A15}" srcOrd="0" destOrd="0" presId="urn:microsoft.com/office/officeart/2008/layout/HorizontalMultiLevelHierarchy"/>
    <dgm:cxn modelId="{CA58DF30-729C-495E-BA66-00E15912334F}" type="presParOf" srcId="{DCF97E4C-13A5-42F3-85F7-83E9FC3D7430}" destId="{A1B9A938-52C0-4B92-B10F-C0D72335B3AF}" srcOrd="3" destOrd="0" presId="urn:microsoft.com/office/officeart/2008/layout/HorizontalMultiLevelHierarchy"/>
    <dgm:cxn modelId="{15C9E823-6EAE-4BA1-9A0A-37FB83008978}" type="presParOf" srcId="{A1B9A938-52C0-4B92-B10F-C0D72335B3AF}" destId="{80EC6066-8A46-4AB2-B546-5BD5D9323C70}" srcOrd="0" destOrd="0" presId="urn:microsoft.com/office/officeart/2008/layout/HorizontalMultiLevelHierarchy"/>
    <dgm:cxn modelId="{E730395F-6C97-44F6-8578-90CFF9BB69E6}" type="presParOf" srcId="{A1B9A938-52C0-4B92-B10F-C0D72335B3AF}" destId="{3C5C2EEA-7EE8-4824-8511-885FB33E39DF}" srcOrd="1" destOrd="0" presId="urn:microsoft.com/office/officeart/2008/layout/HorizontalMultiLevelHierarchy"/>
    <dgm:cxn modelId="{5DE960A2-A632-4CDC-92FF-2718252034C2}" type="presParOf" srcId="{3C5C2EEA-7EE8-4824-8511-885FB33E39DF}" destId="{59F3A200-0BA1-40E9-9F63-3832C9E89611}" srcOrd="0" destOrd="0" presId="urn:microsoft.com/office/officeart/2008/layout/HorizontalMultiLevelHierarchy"/>
    <dgm:cxn modelId="{181E4187-5332-4C66-A953-6FF191D54283}" type="presParOf" srcId="{59F3A200-0BA1-40E9-9F63-3832C9E89611}" destId="{C86E486B-D1BC-49B2-AAF1-1FA01D6ECD46}" srcOrd="0" destOrd="0" presId="urn:microsoft.com/office/officeart/2008/layout/HorizontalMultiLevelHierarchy"/>
    <dgm:cxn modelId="{D174C3EF-0F2D-4949-9E0E-355BF6458C9A}" type="presParOf" srcId="{3C5C2EEA-7EE8-4824-8511-885FB33E39DF}" destId="{35FBC7D7-77E1-45BD-9872-3878451ED936}" srcOrd="1" destOrd="0" presId="urn:microsoft.com/office/officeart/2008/layout/HorizontalMultiLevelHierarchy"/>
    <dgm:cxn modelId="{47444308-27F6-42EE-989E-61247E19B0CA}" type="presParOf" srcId="{35FBC7D7-77E1-45BD-9872-3878451ED936}" destId="{F90319E6-05D1-4BE1-99F0-E1E9E30543E5}" srcOrd="0" destOrd="0" presId="urn:microsoft.com/office/officeart/2008/layout/HorizontalMultiLevelHierarchy"/>
    <dgm:cxn modelId="{BCB21210-F9ED-47EC-BF7B-830933FCBB06}" type="presParOf" srcId="{35FBC7D7-77E1-45BD-9872-3878451ED936}" destId="{61B074BD-F277-4739-BBD3-51C7F94B136D}" srcOrd="1" destOrd="0" presId="urn:microsoft.com/office/officeart/2008/layout/HorizontalMultiLevelHierarchy"/>
    <dgm:cxn modelId="{0E42344E-44D0-4AE6-A229-EB922A364997}" type="presParOf" srcId="{61B074BD-F277-4739-BBD3-51C7F94B136D}" destId="{60F402EC-AA4C-4308-A119-4F7F2BFD14B7}" srcOrd="0" destOrd="0" presId="urn:microsoft.com/office/officeart/2008/layout/HorizontalMultiLevelHierarchy"/>
    <dgm:cxn modelId="{903CCF35-6DB3-4593-B1D9-B7A8DFD0B186}" type="presParOf" srcId="{60F402EC-AA4C-4308-A119-4F7F2BFD14B7}" destId="{2D945433-3FD2-4DF0-8381-47C2561BCCDA}" srcOrd="0" destOrd="0" presId="urn:microsoft.com/office/officeart/2008/layout/HorizontalMultiLevelHierarchy"/>
    <dgm:cxn modelId="{204C0C70-3A22-4D1D-9DBA-432150B07259}" type="presParOf" srcId="{61B074BD-F277-4739-BBD3-51C7F94B136D}" destId="{1EBEF9C7-1BF2-4223-AD52-6D9AF0FFBDED}" srcOrd="1" destOrd="0" presId="urn:microsoft.com/office/officeart/2008/layout/HorizontalMultiLevelHierarchy"/>
    <dgm:cxn modelId="{30D661A5-F62D-4074-B88B-806C1901A974}" type="presParOf" srcId="{1EBEF9C7-1BF2-4223-AD52-6D9AF0FFBDED}" destId="{C9728A2C-5392-4126-A84A-8E24EC015016}" srcOrd="0" destOrd="0" presId="urn:microsoft.com/office/officeart/2008/layout/HorizontalMultiLevelHierarchy"/>
    <dgm:cxn modelId="{EBE5CA60-E379-4DCD-ACA1-05F0BE0A6E9B}" type="presParOf" srcId="{1EBEF9C7-1BF2-4223-AD52-6D9AF0FFBDED}" destId="{772A9891-2844-48EA-968B-3C3275019FBD}" srcOrd="1" destOrd="0" presId="urn:microsoft.com/office/officeart/2008/layout/HorizontalMultiLevelHierarchy"/>
    <dgm:cxn modelId="{AA75085B-DACB-42EE-9929-8990D5D41909}" type="presParOf" srcId="{3C5C2EEA-7EE8-4824-8511-885FB33E39DF}" destId="{4D43EF89-E959-4640-AF70-16ECCF5CE78D}" srcOrd="2" destOrd="0" presId="urn:microsoft.com/office/officeart/2008/layout/HorizontalMultiLevelHierarchy"/>
    <dgm:cxn modelId="{4A6E7095-DA8D-4AB0-8797-8F9287076937}" type="presParOf" srcId="{4D43EF89-E959-4640-AF70-16ECCF5CE78D}" destId="{57263D0B-9DFA-4623-BD86-2D8373630D70}" srcOrd="0" destOrd="0" presId="urn:microsoft.com/office/officeart/2008/layout/HorizontalMultiLevelHierarchy"/>
    <dgm:cxn modelId="{7E81435B-DA9A-4AEC-AA2E-6474DEAF1DCF}" type="presParOf" srcId="{3C5C2EEA-7EE8-4824-8511-885FB33E39DF}" destId="{B885CD7A-6D8C-443A-9E58-36705C9FABFC}" srcOrd="3" destOrd="0" presId="urn:microsoft.com/office/officeart/2008/layout/HorizontalMultiLevelHierarchy"/>
    <dgm:cxn modelId="{F59F30BD-EB2B-42E9-86F3-3C9191A3457A}" type="presParOf" srcId="{B885CD7A-6D8C-443A-9E58-36705C9FABFC}" destId="{5B20A107-03D6-4F65-BE12-63A33AFE7B68}" srcOrd="0" destOrd="0" presId="urn:microsoft.com/office/officeart/2008/layout/HorizontalMultiLevelHierarchy"/>
    <dgm:cxn modelId="{7FDDD047-0818-448A-A043-6671FD1AC7AF}" type="presParOf" srcId="{B885CD7A-6D8C-443A-9E58-36705C9FABFC}" destId="{BB1490A7-A167-480E-B5B1-945240245611}" srcOrd="1" destOrd="0" presId="urn:microsoft.com/office/officeart/2008/layout/HorizontalMultiLevelHierarchy"/>
    <dgm:cxn modelId="{341EBFA6-7F85-4411-BBD7-24EFF78280F3}" type="presParOf" srcId="{BB1490A7-A167-480E-B5B1-945240245611}" destId="{A2DF700B-BFEE-478D-B1C6-10A61764B838}" srcOrd="0" destOrd="0" presId="urn:microsoft.com/office/officeart/2008/layout/HorizontalMultiLevelHierarchy"/>
    <dgm:cxn modelId="{CAC77528-4224-40E0-9C96-2EF7879F7EA0}" type="presParOf" srcId="{A2DF700B-BFEE-478D-B1C6-10A61764B838}" destId="{7DC8CE2D-E711-4F71-99E1-F197C7AFEE16}" srcOrd="0" destOrd="0" presId="urn:microsoft.com/office/officeart/2008/layout/HorizontalMultiLevelHierarchy"/>
    <dgm:cxn modelId="{6405A3E2-6ED6-4F6B-A7FD-B6F112820934}" type="presParOf" srcId="{BB1490A7-A167-480E-B5B1-945240245611}" destId="{CF447BE9-F570-491E-8460-E149DBCF7BC3}" srcOrd="1" destOrd="0" presId="urn:microsoft.com/office/officeart/2008/layout/HorizontalMultiLevelHierarchy"/>
    <dgm:cxn modelId="{160A4C9E-2D52-48B4-95A0-6EF736D26830}" type="presParOf" srcId="{CF447BE9-F570-491E-8460-E149DBCF7BC3}" destId="{588BD9D2-0FDE-45DA-B9C1-22F46371BDC0}" srcOrd="0" destOrd="0" presId="urn:microsoft.com/office/officeart/2008/layout/HorizontalMultiLevelHierarchy"/>
    <dgm:cxn modelId="{F59A7CEE-9E76-4498-9646-BB1A0A939339}" type="presParOf" srcId="{CF447BE9-F570-491E-8460-E149DBCF7BC3}" destId="{6D5770CE-433B-4D8F-AF30-DFA4FB8FF398}" srcOrd="1" destOrd="0" presId="urn:microsoft.com/office/officeart/2008/layout/HorizontalMultiLevelHierarchy"/>
    <dgm:cxn modelId="{EA998CB1-78A3-494E-B4A7-5CC9E4567324}" type="presParOf" srcId="{BB1490A7-A167-480E-B5B1-945240245611}" destId="{19D1DECA-05EF-43ED-B90A-B3AD68735CB6}" srcOrd="2" destOrd="0" presId="urn:microsoft.com/office/officeart/2008/layout/HorizontalMultiLevelHierarchy"/>
    <dgm:cxn modelId="{6C2191A8-C5E5-4164-8407-1FD052416557}" type="presParOf" srcId="{19D1DECA-05EF-43ED-B90A-B3AD68735CB6}" destId="{470F1696-6C85-4D66-BA09-510FA6FFA3CD}" srcOrd="0" destOrd="0" presId="urn:microsoft.com/office/officeart/2008/layout/HorizontalMultiLevelHierarchy"/>
    <dgm:cxn modelId="{24EA61DE-E530-4D80-969F-1653C160D7AB}" type="presParOf" srcId="{BB1490A7-A167-480E-B5B1-945240245611}" destId="{E8EFFECE-907A-4C78-B009-5F44A4D34B68}" srcOrd="3" destOrd="0" presId="urn:microsoft.com/office/officeart/2008/layout/HorizontalMultiLevelHierarchy"/>
    <dgm:cxn modelId="{69E4E705-72DD-413E-824D-2508F432F4B3}" type="presParOf" srcId="{E8EFFECE-907A-4C78-B009-5F44A4D34B68}" destId="{F246E136-6A10-4EF3-8E35-EB69F2015B09}" srcOrd="0" destOrd="0" presId="urn:microsoft.com/office/officeart/2008/layout/HorizontalMultiLevelHierarchy"/>
    <dgm:cxn modelId="{66063AD1-9556-4FE7-BD85-20E74EA236AF}" type="presParOf" srcId="{E8EFFECE-907A-4C78-B009-5F44A4D34B68}" destId="{BDEF201E-8F7D-43B2-ABB4-A65B0B69FEFE}" srcOrd="1" destOrd="0" presId="urn:microsoft.com/office/officeart/2008/layout/HorizontalMultiLevelHierarchy"/>
    <dgm:cxn modelId="{D4530FD0-F065-4238-AA10-3DD206C499CD}" type="presParOf" srcId="{3C5C2EEA-7EE8-4824-8511-885FB33E39DF}" destId="{359F8E71-1899-49A2-A3C8-92AD35522E4F}" srcOrd="4" destOrd="0" presId="urn:microsoft.com/office/officeart/2008/layout/HorizontalMultiLevelHierarchy"/>
    <dgm:cxn modelId="{DBBC3BD6-CB00-45DF-B721-936F0B6C2733}" type="presParOf" srcId="{359F8E71-1899-49A2-A3C8-92AD35522E4F}" destId="{23F2F9E1-ABAD-44F3-8BA6-4DD037112DBB}" srcOrd="0" destOrd="0" presId="urn:microsoft.com/office/officeart/2008/layout/HorizontalMultiLevelHierarchy"/>
    <dgm:cxn modelId="{F686C116-FB43-4153-8C5F-DCE8B5984CE5}" type="presParOf" srcId="{3C5C2EEA-7EE8-4824-8511-885FB33E39DF}" destId="{7E131A58-C82D-438E-99A4-8423ED7BF034}" srcOrd="5" destOrd="0" presId="urn:microsoft.com/office/officeart/2008/layout/HorizontalMultiLevelHierarchy"/>
    <dgm:cxn modelId="{4F9E5963-F328-4050-A0D8-9542DA2261BD}" type="presParOf" srcId="{7E131A58-C82D-438E-99A4-8423ED7BF034}" destId="{E19F38A9-67D6-4570-9579-0041D5A0E5E1}" srcOrd="0" destOrd="0" presId="urn:microsoft.com/office/officeart/2008/layout/HorizontalMultiLevelHierarchy"/>
    <dgm:cxn modelId="{69EC76DA-02EE-46CB-BE5F-8DEC56E72D97}" type="presParOf" srcId="{7E131A58-C82D-438E-99A4-8423ED7BF034}" destId="{EA6B137D-AB99-4386-B2C3-D7A0420727C5}" srcOrd="1" destOrd="0" presId="urn:microsoft.com/office/officeart/2008/layout/HorizontalMultiLevelHierarchy"/>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359F8E71-1899-49A2-A3C8-92AD35522E4F}">
      <dsp:nvSpPr>
        <dsp:cNvPr id="0" name=""/>
        <dsp:cNvSpPr/>
      </dsp:nvSpPr>
      <dsp:spPr>
        <a:xfrm>
          <a:off x="2144333" y="2470003"/>
          <a:ext cx="229268" cy="546085"/>
        </a:xfrm>
        <a:custGeom>
          <a:avLst/>
          <a:gdLst/>
          <a:ahLst/>
          <a:cxnLst/>
          <a:rect l="0" t="0" r="0" b="0"/>
          <a:pathLst>
            <a:path>
              <a:moveTo>
                <a:pt x="0" y="0"/>
              </a:moveTo>
              <a:lnTo>
                <a:pt x="114634" y="0"/>
              </a:lnTo>
              <a:lnTo>
                <a:pt x="114634" y="546085"/>
              </a:lnTo>
              <a:lnTo>
                <a:pt x="229268" y="546085"/>
              </a:lnTo>
            </a:path>
          </a:pathLst>
        </a:custGeom>
        <a:noFill/>
        <a:ln w="19050" cap="flat" cmpd="sng" algn="ctr">
          <a:solidFill>
            <a:schemeClr val="accent3">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222250">
            <a:lnSpc>
              <a:spcPct val="90000"/>
            </a:lnSpc>
            <a:spcBef>
              <a:spcPct val="0"/>
            </a:spcBef>
            <a:spcAft>
              <a:spcPct val="35000"/>
            </a:spcAft>
            <a:buNone/>
          </a:pPr>
          <a:endParaRPr lang="es-CL" sz="500" kern="1200"/>
        </a:p>
      </dsp:txBody>
      <dsp:txXfrm>
        <a:off x="2244161" y="2728239"/>
        <a:ext cx="29613" cy="29613"/>
      </dsp:txXfrm>
    </dsp:sp>
    <dsp:sp modelId="{19D1DECA-05EF-43ED-B90A-B3AD68735CB6}">
      <dsp:nvSpPr>
        <dsp:cNvPr id="0" name=""/>
        <dsp:cNvSpPr/>
      </dsp:nvSpPr>
      <dsp:spPr>
        <a:xfrm>
          <a:off x="3519946" y="2481833"/>
          <a:ext cx="229268" cy="315821"/>
        </a:xfrm>
        <a:custGeom>
          <a:avLst/>
          <a:gdLst/>
          <a:ahLst/>
          <a:cxnLst/>
          <a:rect l="0" t="0" r="0" b="0"/>
          <a:pathLst>
            <a:path>
              <a:moveTo>
                <a:pt x="0" y="0"/>
              </a:moveTo>
              <a:lnTo>
                <a:pt x="114634" y="0"/>
              </a:lnTo>
              <a:lnTo>
                <a:pt x="114634" y="315821"/>
              </a:lnTo>
              <a:lnTo>
                <a:pt x="229268" y="315821"/>
              </a:lnTo>
            </a:path>
          </a:pathLst>
        </a:custGeom>
        <a:noFill/>
        <a:ln w="19050" cap="flat" cmpd="sng" algn="ctr">
          <a:solidFill>
            <a:schemeClr val="accent4">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222250">
            <a:lnSpc>
              <a:spcPct val="90000"/>
            </a:lnSpc>
            <a:spcBef>
              <a:spcPct val="0"/>
            </a:spcBef>
            <a:spcAft>
              <a:spcPct val="35000"/>
            </a:spcAft>
            <a:buNone/>
          </a:pPr>
          <a:endParaRPr lang="es-CL" sz="500" kern="1200"/>
        </a:p>
      </dsp:txBody>
      <dsp:txXfrm>
        <a:off x="3624823" y="2629987"/>
        <a:ext cx="19513" cy="19513"/>
      </dsp:txXfrm>
    </dsp:sp>
    <dsp:sp modelId="{A2DF700B-BFEE-478D-B1C6-10A61764B838}">
      <dsp:nvSpPr>
        <dsp:cNvPr id="0" name=""/>
        <dsp:cNvSpPr/>
      </dsp:nvSpPr>
      <dsp:spPr>
        <a:xfrm>
          <a:off x="3519946" y="2360786"/>
          <a:ext cx="229268" cy="121047"/>
        </a:xfrm>
        <a:custGeom>
          <a:avLst/>
          <a:gdLst/>
          <a:ahLst/>
          <a:cxnLst/>
          <a:rect l="0" t="0" r="0" b="0"/>
          <a:pathLst>
            <a:path>
              <a:moveTo>
                <a:pt x="0" y="121047"/>
              </a:moveTo>
              <a:lnTo>
                <a:pt x="114634" y="121047"/>
              </a:lnTo>
              <a:lnTo>
                <a:pt x="114634" y="0"/>
              </a:lnTo>
              <a:lnTo>
                <a:pt x="229268" y="0"/>
              </a:lnTo>
            </a:path>
          </a:pathLst>
        </a:custGeom>
        <a:noFill/>
        <a:ln w="19050" cap="flat" cmpd="sng" algn="ctr">
          <a:solidFill>
            <a:schemeClr val="accent4">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222250">
            <a:lnSpc>
              <a:spcPct val="90000"/>
            </a:lnSpc>
            <a:spcBef>
              <a:spcPct val="0"/>
            </a:spcBef>
            <a:spcAft>
              <a:spcPct val="35000"/>
            </a:spcAft>
            <a:buNone/>
          </a:pPr>
          <a:endParaRPr lang="es-CL" sz="500" kern="1200"/>
        </a:p>
      </dsp:txBody>
      <dsp:txXfrm>
        <a:off x="3628098" y="2414828"/>
        <a:ext cx="12963" cy="12963"/>
      </dsp:txXfrm>
    </dsp:sp>
    <dsp:sp modelId="{4D43EF89-E959-4640-AF70-16ECCF5CE78D}">
      <dsp:nvSpPr>
        <dsp:cNvPr id="0" name=""/>
        <dsp:cNvSpPr/>
      </dsp:nvSpPr>
      <dsp:spPr>
        <a:xfrm>
          <a:off x="2144333" y="2424283"/>
          <a:ext cx="229268" cy="91440"/>
        </a:xfrm>
        <a:custGeom>
          <a:avLst/>
          <a:gdLst/>
          <a:ahLst/>
          <a:cxnLst/>
          <a:rect l="0" t="0" r="0" b="0"/>
          <a:pathLst>
            <a:path>
              <a:moveTo>
                <a:pt x="0" y="45720"/>
              </a:moveTo>
              <a:lnTo>
                <a:pt x="114634" y="45720"/>
              </a:lnTo>
              <a:lnTo>
                <a:pt x="114634" y="57550"/>
              </a:lnTo>
              <a:lnTo>
                <a:pt x="229268" y="57550"/>
              </a:lnTo>
            </a:path>
          </a:pathLst>
        </a:custGeom>
        <a:noFill/>
        <a:ln w="19050" cap="flat" cmpd="sng" algn="ctr">
          <a:solidFill>
            <a:schemeClr val="accent3">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222250">
            <a:lnSpc>
              <a:spcPct val="90000"/>
            </a:lnSpc>
            <a:spcBef>
              <a:spcPct val="0"/>
            </a:spcBef>
            <a:spcAft>
              <a:spcPct val="35000"/>
            </a:spcAft>
            <a:buNone/>
          </a:pPr>
          <a:endParaRPr lang="es-CL" sz="500" kern="1200"/>
        </a:p>
      </dsp:txBody>
      <dsp:txXfrm>
        <a:off x="2253228" y="2464264"/>
        <a:ext cx="11478" cy="11478"/>
      </dsp:txXfrm>
    </dsp:sp>
    <dsp:sp modelId="{60F402EC-AA4C-4308-A119-4F7F2BFD14B7}">
      <dsp:nvSpPr>
        <dsp:cNvPr id="0" name=""/>
        <dsp:cNvSpPr/>
      </dsp:nvSpPr>
      <dsp:spPr>
        <a:xfrm>
          <a:off x="3519946" y="1878197"/>
          <a:ext cx="229268" cy="91440"/>
        </a:xfrm>
        <a:custGeom>
          <a:avLst/>
          <a:gdLst/>
          <a:ahLst/>
          <a:cxnLst/>
          <a:rect l="0" t="0" r="0" b="0"/>
          <a:pathLst>
            <a:path>
              <a:moveTo>
                <a:pt x="0" y="45720"/>
              </a:moveTo>
              <a:lnTo>
                <a:pt x="229268" y="45720"/>
              </a:lnTo>
            </a:path>
          </a:pathLst>
        </a:custGeom>
        <a:noFill/>
        <a:ln w="19050" cap="flat" cmpd="sng" algn="ctr">
          <a:solidFill>
            <a:schemeClr val="accent4">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222250">
            <a:lnSpc>
              <a:spcPct val="90000"/>
            </a:lnSpc>
            <a:spcBef>
              <a:spcPct val="0"/>
            </a:spcBef>
            <a:spcAft>
              <a:spcPct val="35000"/>
            </a:spcAft>
            <a:buNone/>
          </a:pPr>
          <a:endParaRPr lang="es-CL" sz="500" kern="1200"/>
        </a:p>
      </dsp:txBody>
      <dsp:txXfrm>
        <a:off x="3628848" y="1918185"/>
        <a:ext cx="11463" cy="11463"/>
      </dsp:txXfrm>
    </dsp:sp>
    <dsp:sp modelId="{59F3A200-0BA1-40E9-9F63-3832C9E89611}">
      <dsp:nvSpPr>
        <dsp:cNvPr id="0" name=""/>
        <dsp:cNvSpPr/>
      </dsp:nvSpPr>
      <dsp:spPr>
        <a:xfrm>
          <a:off x="2144333" y="1923917"/>
          <a:ext cx="229268" cy="546085"/>
        </a:xfrm>
        <a:custGeom>
          <a:avLst/>
          <a:gdLst/>
          <a:ahLst/>
          <a:cxnLst/>
          <a:rect l="0" t="0" r="0" b="0"/>
          <a:pathLst>
            <a:path>
              <a:moveTo>
                <a:pt x="0" y="546085"/>
              </a:moveTo>
              <a:lnTo>
                <a:pt x="114634" y="546085"/>
              </a:lnTo>
              <a:lnTo>
                <a:pt x="114634" y="0"/>
              </a:lnTo>
              <a:lnTo>
                <a:pt x="229268" y="0"/>
              </a:lnTo>
            </a:path>
          </a:pathLst>
        </a:custGeom>
        <a:noFill/>
        <a:ln w="19050" cap="flat" cmpd="sng" algn="ctr">
          <a:solidFill>
            <a:schemeClr val="accent3">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222250">
            <a:lnSpc>
              <a:spcPct val="90000"/>
            </a:lnSpc>
            <a:spcBef>
              <a:spcPct val="0"/>
            </a:spcBef>
            <a:spcAft>
              <a:spcPct val="35000"/>
            </a:spcAft>
            <a:buNone/>
          </a:pPr>
          <a:endParaRPr lang="es-CL" sz="500" kern="1200"/>
        </a:p>
      </dsp:txBody>
      <dsp:txXfrm>
        <a:off x="2244161" y="2182153"/>
        <a:ext cx="29613" cy="29613"/>
      </dsp:txXfrm>
    </dsp:sp>
    <dsp:sp modelId="{24D9A42F-E653-4F6B-909F-4ED003425ADD}">
      <dsp:nvSpPr>
        <dsp:cNvPr id="0" name=""/>
        <dsp:cNvSpPr/>
      </dsp:nvSpPr>
      <dsp:spPr>
        <a:xfrm>
          <a:off x="768721" y="1650874"/>
          <a:ext cx="229268" cy="819128"/>
        </a:xfrm>
        <a:custGeom>
          <a:avLst/>
          <a:gdLst/>
          <a:ahLst/>
          <a:cxnLst/>
          <a:rect l="0" t="0" r="0" b="0"/>
          <a:pathLst>
            <a:path>
              <a:moveTo>
                <a:pt x="0" y="0"/>
              </a:moveTo>
              <a:lnTo>
                <a:pt x="114634" y="0"/>
              </a:lnTo>
              <a:lnTo>
                <a:pt x="114634" y="819128"/>
              </a:lnTo>
              <a:lnTo>
                <a:pt x="229268" y="819128"/>
              </a:lnTo>
            </a:path>
          </a:pathLst>
        </a:custGeom>
        <a:noFill/>
        <a:ln w="19050" cap="flat" cmpd="sng" algn="ctr">
          <a:solidFill>
            <a:schemeClr val="accent2">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222250">
            <a:lnSpc>
              <a:spcPct val="90000"/>
            </a:lnSpc>
            <a:spcBef>
              <a:spcPct val="0"/>
            </a:spcBef>
            <a:spcAft>
              <a:spcPct val="35000"/>
            </a:spcAft>
            <a:buNone/>
          </a:pPr>
          <a:endParaRPr lang="es-CL" sz="500" kern="1200"/>
        </a:p>
      </dsp:txBody>
      <dsp:txXfrm>
        <a:off x="862090" y="2039173"/>
        <a:ext cx="42530" cy="42530"/>
      </dsp:txXfrm>
    </dsp:sp>
    <dsp:sp modelId="{14F8A28E-96A1-4162-9A8A-DA94A3B921EA}">
      <dsp:nvSpPr>
        <dsp:cNvPr id="0" name=""/>
        <dsp:cNvSpPr/>
      </dsp:nvSpPr>
      <dsp:spPr>
        <a:xfrm>
          <a:off x="2144333" y="831745"/>
          <a:ext cx="229268" cy="436868"/>
        </a:xfrm>
        <a:custGeom>
          <a:avLst/>
          <a:gdLst/>
          <a:ahLst/>
          <a:cxnLst/>
          <a:rect l="0" t="0" r="0" b="0"/>
          <a:pathLst>
            <a:path>
              <a:moveTo>
                <a:pt x="0" y="0"/>
              </a:moveTo>
              <a:lnTo>
                <a:pt x="114634" y="0"/>
              </a:lnTo>
              <a:lnTo>
                <a:pt x="114634" y="436868"/>
              </a:lnTo>
              <a:lnTo>
                <a:pt x="229268" y="436868"/>
              </a:lnTo>
            </a:path>
          </a:pathLst>
        </a:custGeom>
        <a:noFill/>
        <a:ln w="19050" cap="flat" cmpd="sng" algn="ctr">
          <a:solidFill>
            <a:schemeClr val="accent3">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222250">
            <a:lnSpc>
              <a:spcPct val="90000"/>
            </a:lnSpc>
            <a:spcBef>
              <a:spcPct val="0"/>
            </a:spcBef>
            <a:spcAft>
              <a:spcPct val="35000"/>
            </a:spcAft>
            <a:buNone/>
          </a:pPr>
          <a:endParaRPr lang="es-CL" sz="500" kern="1200"/>
        </a:p>
      </dsp:txBody>
      <dsp:txXfrm>
        <a:off x="2246633" y="1037845"/>
        <a:ext cx="24668" cy="24668"/>
      </dsp:txXfrm>
    </dsp:sp>
    <dsp:sp modelId="{1177FAFB-4D2B-4B00-9E7C-503DCCAC80A5}">
      <dsp:nvSpPr>
        <dsp:cNvPr id="0" name=""/>
        <dsp:cNvSpPr/>
      </dsp:nvSpPr>
      <dsp:spPr>
        <a:xfrm>
          <a:off x="3519946" y="831745"/>
          <a:ext cx="229268" cy="655303"/>
        </a:xfrm>
        <a:custGeom>
          <a:avLst/>
          <a:gdLst/>
          <a:ahLst/>
          <a:cxnLst/>
          <a:rect l="0" t="0" r="0" b="0"/>
          <a:pathLst>
            <a:path>
              <a:moveTo>
                <a:pt x="0" y="0"/>
              </a:moveTo>
              <a:lnTo>
                <a:pt x="114634" y="0"/>
              </a:lnTo>
              <a:lnTo>
                <a:pt x="114634" y="655303"/>
              </a:lnTo>
              <a:lnTo>
                <a:pt x="229268" y="655303"/>
              </a:lnTo>
            </a:path>
          </a:pathLst>
        </a:custGeom>
        <a:noFill/>
        <a:ln w="19050" cap="flat" cmpd="sng" algn="ctr">
          <a:solidFill>
            <a:schemeClr val="accent4">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222250">
            <a:lnSpc>
              <a:spcPct val="90000"/>
            </a:lnSpc>
            <a:spcBef>
              <a:spcPct val="0"/>
            </a:spcBef>
            <a:spcAft>
              <a:spcPct val="35000"/>
            </a:spcAft>
            <a:buNone/>
          </a:pPr>
          <a:endParaRPr lang="es-CL" sz="500" kern="1200"/>
        </a:p>
      </dsp:txBody>
      <dsp:txXfrm>
        <a:off x="3617224" y="1142040"/>
        <a:ext cx="34712" cy="34712"/>
      </dsp:txXfrm>
    </dsp:sp>
    <dsp:sp modelId="{E989A813-E22E-4574-A597-8E20FB75514C}">
      <dsp:nvSpPr>
        <dsp:cNvPr id="0" name=""/>
        <dsp:cNvSpPr/>
      </dsp:nvSpPr>
      <dsp:spPr>
        <a:xfrm>
          <a:off x="3519946" y="831745"/>
          <a:ext cx="229268" cy="218434"/>
        </a:xfrm>
        <a:custGeom>
          <a:avLst/>
          <a:gdLst/>
          <a:ahLst/>
          <a:cxnLst/>
          <a:rect l="0" t="0" r="0" b="0"/>
          <a:pathLst>
            <a:path>
              <a:moveTo>
                <a:pt x="0" y="0"/>
              </a:moveTo>
              <a:lnTo>
                <a:pt x="114634" y="0"/>
              </a:lnTo>
              <a:lnTo>
                <a:pt x="114634" y="218434"/>
              </a:lnTo>
              <a:lnTo>
                <a:pt x="229268" y="218434"/>
              </a:lnTo>
            </a:path>
          </a:pathLst>
        </a:custGeom>
        <a:noFill/>
        <a:ln w="19050" cap="flat" cmpd="sng" algn="ctr">
          <a:solidFill>
            <a:schemeClr val="accent4">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222250">
            <a:lnSpc>
              <a:spcPct val="90000"/>
            </a:lnSpc>
            <a:spcBef>
              <a:spcPct val="0"/>
            </a:spcBef>
            <a:spcAft>
              <a:spcPct val="35000"/>
            </a:spcAft>
            <a:buNone/>
          </a:pPr>
          <a:endParaRPr lang="es-CL" sz="500" kern="1200"/>
        </a:p>
      </dsp:txBody>
      <dsp:txXfrm>
        <a:off x="3626663" y="933046"/>
        <a:ext cx="15833" cy="15833"/>
      </dsp:txXfrm>
    </dsp:sp>
    <dsp:sp modelId="{2D2D2807-574D-4A47-AB1B-B3EB20AAE2AB}">
      <dsp:nvSpPr>
        <dsp:cNvPr id="0" name=""/>
        <dsp:cNvSpPr/>
      </dsp:nvSpPr>
      <dsp:spPr>
        <a:xfrm>
          <a:off x="3519946" y="613311"/>
          <a:ext cx="229268" cy="218434"/>
        </a:xfrm>
        <a:custGeom>
          <a:avLst/>
          <a:gdLst/>
          <a:ahLst/>
          <a:cxnLst/>
          <a:rect l="0" t="0" r="0" b="0"/>
          <a:pathLst>
            <a:path>
              <a:moveTo>
                <a:pt x="0" y="218434"/>
              </a:moveTo>
              <a:lnTo>
                <a:pt x="114634" y="218434"/>
              </a:lnTo>
              <a:lnTo>
                <a:pt x="114634" y="0"/>
              </a:lnTo>
              <a:lnTo>
                <a:pt x="229268" y="0"/>
              </a:lnTo>
            </a:path>
          </a:pathLst>
        </a:custGeom>
        <a:noFill/>
        <a:ln w="19050" cap="flat" cmpd="sng" algn="ctr">
          <a:solidFill>
            <a:schemeClr val="accent4">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222250">
            <a:lnSpc>
              <a:spcPct val="90000"/>
            </a:lnSpc>
            <a:spcBef>
              <a:spcPct val="0"/>
            </a:spcBef>
            <a:spcAft>
              <a:spcPct val="35000"/>
            </a:spcAft>
            <a:buNone/>
          </a:pPr>
          <a:endParaRPr lang="es-CL" sz="500" kern="1200"/>
        </a:p>
      </dsp:txBody>
      <dsp:txXfrm>
        <a:off x="3626663" y="714611"/>
        <a:ext cx="15833" cy="15833"/>
      </dsp:txXfrm>
    </dsp:sp>
    <dsp:sp modelId="{AF571542-FBB4-46B2-8721-0CD401B001F6}">
      <dsp:nvSpPr>
        <dsp:cNvPr id="0" name=""/>
        <dsp:cNvSpPr/>
      </dsp:nvSpPr>
      <dsp:spPr>
        <a:xfrm>
          <a:off x="3519946" y="176442"/>
          <a:ext cx="229268" cy="655303"/>
        </a:xfrm>
        <a:custGeom>
          <a:avLst/>
          <a:gdLst/>
          <a:ahLst/>
          <a:cxnLst/>
          <a:rect l="0" t="0" r="0" b="0"/>
          <a:pathLst>
            <a:path>
              <a:moveTo>
                <a:pt x="0" y="655303"/>
              </a:moveTo>
              <a:lnTo>
                <a:pt x="114634" y="655303"/>
              </a:lnTo>
              <a:lnTo>
                <a:pt x="114634" y="0"/>
              </a:lnTo>
              <a:lnTo>
                <a:pt x="229268" y="0"/>
              </a:lnTo>
            </a:path>
          </a:pathLst>
        </a:custGeom>
        <a:noFill/>
        <a:ln w="19050" cap="flat" cmpd="sng" algn="ctr">
          <a:solidFill>
            <a:schemeClr val="accent4">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222250">
            <a:lnSpc>
              <a:spcPct val="90000"/>
            </a:lnSpc>
            <a:spcBef>
              <a:spcPct val="0"/>
            </a:spcBef>
            <a:spcAft>
              <a:spcPct val="35000"/>
            </a:spcAft>
            <a:buNone/>
          </a:pPr>
          <a:endParaRPr lang="es-CL" sz="500" kern="1200"/>
        </a:p>
      </dsp:txBody>
      <dsp:txXfrm>
        <a:off x="3617224" y="486737"/>
        <a:ext cx="34712" cy="34712"/>
      </dsp:txXfrm>
    </dsp:sp>
    <dsp:sp modelId="{E10C9DA3-D0B4-47F4-9F47-2FB8427D5F6F}">
      <dsp:nvSpPr>
        <dsp:cNvPr id="0" name=""/>
        <dsp:cNvSpPr/>
      </dsp:nvSpPr>
      <dsp:spPr>
        <a:xfrm>
          <a:off x="2144333" y="786025"/>
          <a:ext cx="229268" cy="91440"/>
        </a:xfrm>
        <a:custGeom>
          <a:avLst/>
          <a:gdLst/>
          <a:ahLst/>
          <a:cxnLst/>
          <a:rect l="0" t="0" r="0" b="0"/>
          <a:pathLst>
            <a:path>
              <a:moveTo>
                <a:pt x="0" y="45720"/>
              </a:moveTo>
              <a:lnTo>
                <a:pt x="229268" y="45720"/>
              </a:lnTo>
            </a:path>
          </a:pathLst>
        </a:custGeom>
        <a:noFill/>
        <a:ln w="19050" cap="flat" cmpd="sng" algn="ctr">
          <a:solidFill>
            <a:schemeClr val="accent3">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222250">
            <a:lnSpc>
              <a:spcPct val="90000"/>
            </a:lnSpc>
            <a:spcBef>
              <a:spcPct val="0"/>
            </a:spcBef>
            <a:spcAft>
              <a:spcPct val="35000"/>
            </a:spcAft>
            <a:buNone/>
          </a:pPr>
          <a:endParaRPr lang="es-CL" sz="500" kern="1200"/>
        </a:p>
      </dsp:txBody>
      <dsp:txXfrm>
        <a:off x="2253236" y="826014"/>
        <a:ext cx="11463" cy="11463"/>
      </dsp:txXfrm>
    </dsp:sp>
    <dsp:sp modelId="{693AFC02-2A32-4C4F-B483-80CD719B424C}">
      <dsp:nvSpPr>
        <dsp:cNvPr id="0" name=""/>
        <dsp:cNvSpPr/>
      </dsp:nvSpPr>
      <dsp:spPr>
        <a:xfrm>
          <a:off x="2144333" y="394877"/>
          <a:ext cx="229268" cy="436868"/>
        </a:xfrm>
        <a:custGeom>
          <a:avLst/>
          <a:gdLst/>
          <a:ahLst/>
          <a:cxnLst/>
          <a:rect l="0" t="0" r="0" b="0"/>
          <a:pathLst>
            <a:path>
              <a:moveTo>
                <a:pt x="0" y="436868"/>
              </a:moveTo>
              <a:lnTo>
                <a:pt x="114634" y="436868"/>
              </a:lnTo>
              <a:lnTo>
                <a:pt x="114634" y="0"/>
              </a:lnTo>
              <a:lnTo>
                <a:pt x="229268" y="0"/>
              </a:lnTo>
            </a:path>
          </a:pathLst>
        </a:custGeom>
        <a:noFill/>
        <a:ln w="19050" cap="flat" cmpd="sng" algn="ctr">
          <a:solidFill>
            <a:schemeClr val="accent3">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222250">
            <a:lnSpc>
              <a:spcPct val="90000"/>
            </a:lnSpc>
            <a:spcBef>
              <a:spcPct val="0"/>
            </a:spcBef>
            <a:spcAft>
              <a:spcPct val="35000"/>
            </a:spcAft>
            <a:buNone/>
          </a:pPr>
          <a:endParaRPr lang="es-CL" sz="500" kern="1200"/>
        </a:p>
      </dsp:txBody>
      <dsp:txXfrm>
        <a:off x="2246633" y="600977"/>
        <a:ext cx="24668" cy="24668"/>
      </dsp:txXfrm>
    </dsp:sp>
    <dsp:sp modelId="{2F8EF566-1C4A-491C-9116-F938E8F3D6A5}">
      <dsp:nvSpPr>
        <dsp:cNvPr id="0" name=""/>
        <dsp:cNvSpPr/>
      </dsp:nvSpPr>
      <dsp:spPr>
        <a:xfrm>
          <a:off x="768721" y="831745"/>
          <a:ext cx="229268" cy="819128"/>
        </a:xfrm>
        <a:custGeom>
          <a:avLst/>
          <a:gdLst/>
          <a:ahLst/>
          <a:cxnLst/>
          <a:rect l="0" t="0" r="0" b="0"/>
          <a:pathLst>
            <a:path>
              <a:moveTo>
                <a:pt x="0" y="819128"/>
              </a:moveTo>
              <a:lnTo>
                <a:pt x="114634" y="819128"/>
              </a:lnTo>
              <a:lnTo>
                <a:pt x="114634" y="0"/>
              </a:lnTo>
              <a:lnTo>
                <a:pt x="229268" y="0"/>
              </a:lnTo>
            </a:path>
          </a:pathLst>
        </a:custGeom>
        <a:noFill/>
        <a:ln w="19050" cap="flat" cmpd="sng" algn="ctr">
          <a:solidFill>
            <a:schemeClr val="accent2">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222250">
            <a:lnSpc>
              <a:spcPct val="90000"/>
            </a:lnSpc>
            <a:spcBef>
              <a:spcPct val="0"/>
            </a:spcBef>
            <a:spcAft>
              <a:spcPct val="35000"/>
            </a:spcAft>
            <a:buNone/>
          </a:pPr>
          <a:endParaRPr lang="es-CL" sz="500" kern="1200"/>
        </a:p>
      </dsp:txBody>
      <dsp:txXfrm>
        <a:off x="862090" y="1220044"/>
        <a:ext cx="42530" cy="42530"/>
      </dsp:txXfrm>
    </dsp:sp>
    <dsp:sp modelId="{389BD0D3-91D0-4AA7-B539-165926CC4CF4}">
      <dsp:nvSpPr>
        <dsp:cNvPr id="0" name=""/>
        <dsp:cNvSpPr/>
      </dsp:nvSpPr>
      <dsp:spPr>
        <a:xfrm rot="16200000">
          <a:off x="-325749" y="1476127"/>
          <a:ext cx="1839447" cy="349494"/>
        </a:xfrm>
        <a:prstGeom prst="rect">
          <a:avLst/>
        </a:prstGeom>
        <a:solidFill>
          <a:schemeClr val="accent1">
            <a:hueOff val="0"/>
            <a:satOff val="0"/>
            <a:lumOff val="0"/>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3970" tIns="13970" rIns="13970" bIns="13970" numCol="1" spcCol="1270" anchor="ctr" anchorCtr="0">
          <a:noAutofit/>
        </a:bodyPr>
        <a:lstStyle/>
        <a:p>
          <a:pPr marL="0" lvl="0" indent="0" algn="ctr" defTabSz="977900">
            <a:lnSpc>
              <a:spcPct val="90000"/>
            </a:lnSpc>
            <a:spcBef>
              <a:spcPct val="0"/>
            </a:spcBef>
            <a:spcAft>
              <a:spcPct val="35000"/>
            </a:spcAft>
            <a:buNone/>
          </a:pPr>
          <a:endParaRPr lang="es-CL" sz="2200" kern="1200" dirty="0"/>
        </a:p>
      </dsp:txBody>
      <dsp:txXfrm>
        <a:off x="-325749" y="1476127"/>
        <a:ext cx="1839447" cy="349494"/>
      </dsp:txXfrm>
    </dsp:sp>
    <dsp:sp modelId="{3F41E26B-11EB-47B1-8ACC-4921900006DB}">
      <dsp:nvSpPr>
        <dsp:cNvPr id="0" name=""/>
        <dsp:cNvSpPr/>
      </dsp:nvSpPr>
      <dsp:spPr>
        <a:xfrm>
          <a:off x="997990" y="656998"/>
          <a:ext cx="1146343" cy="349494"/>
        </a:xfrm>
        <a:prstGeom prst="rect">
          <a:avLst/>
        </a:prstGeom>
        <a:solidFill>
          <a:schemeClr val="accent2">
            <a:hueOff val="0"/>
            <a:satOff val="0"/>
            <a:lumOff val="0"/>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es-CL" sz="1100" kern="1200" dirty="0"/>
            <a:t>Demanda crece</a:t>
          </a:r>
        </a:p>
      </dsp:txBody>
      <dsp:txXfrm>
        <a:off x="997990" y="656998"/>
        <a:ext cx="1146343" cy="349494"/>
      </dsp:txXfrm>
    </dsp:sp>
    <dsp:sp modelId="{AB67E0BB-C6BE-4688-8749-566041095066}">
      <dsp:nvSpPr>
        <dsp:cNvPr id="0" name=""/>
        <dsp:cNvSpPr/>
      </dsp:nvSpPr>
      <dsp:spPr>
        <a:xfrm>
          <a:off x="2373602" y="220129"/>
          <a:ext cx="1146343" cy="349494"/>
        </a:xfrm>
        <a:prstGeom prst="rect">
          <a:avLst/>
        </a:prstGeom>
        <a:solidFill>
          <a:schemeClr val="accent3">
            <a:hueOff val="0"/>
            <a:satOff val="0"/>
            <a:lumOff val="0"/>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es-CL" sz="1100" kern="1200" dirty="0"/>
            <a:t>+E y P, por ende, Inv. Alimentador</a:t>
          </a:r>
        </a:p>
      </dsp:txBody>
      <dsp:txXfrm>
        <a:off x="2373602" y="220129"/>
        <a:ext cx="1146343" cy="349494"/>
      </dsp:txXfrm>
    </dsp:sp>
    <dsp:sp modelId="{A54C6CF1-9666-4215-BB6D-5A93E40B6D23}">
      <dsp:nvSpPr>
        <dsp:cNvPr id="0" name=""/>
        <dsp:cNvSpPr/>
      </dsp:nvSpPr>
      <dsp:spPr>
        <a:xfrm>
          <a:off x="2373602" y="656998"/>
          <a:ext cx="1146343" cy="349494"/>
        </a:xfrm>
        <a:prstGeom prst="rect">
          <a:avLst/>
        </a:prstGeom>
        <a:solidFill>
          <a:schemeClr val="accent3">
            <a:hueOff val="0"/>
            <a:satOff val="0"/>
            <a:lumOff val="0"/>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es-CL" sz="1100" kern="1200" dirty="0"/>
            <a:t>Inv. GD</a:t>
          </a:r>
        </a:p>
      </dsp:txBody>
      <dsp:txXfrm>
        <a:off x="2373602" y="656998"/>
        <a:ext cx="1146343" cy="349494"/>
      </dsp:txXfrm>
    </dsp:sp>
    <dsp:sp modelId="{D526920F-9861-44DD-93D9-1E7F3E59F694}">
      <dsp:nvSpPr>
        <dsp:cNvPr id="0" name=""/>
        <dsp:cNvSpPr/>
      </dsp:nvSpPr>
      <dsp:spPr>
        <a:xfrm>
          <a:off x="3749214" y="1695"/>
          <a:ext cx="1146343" cy="349494"/>
        </a:xfrm>
        <a:prstGeom prst="rect">
          <a:avLst/>
        </a:prstGeom>
        <a:solidFill>
          <a:schemeClr val="accent4">
            <a:hueOff val="0"/>
            <a:satOff val="0"/>
            <a:lumOff val="0"/>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es-CL" sz="1100" kern="1200" dirty="0"/>
            <a:t>AL</a:t>
          </a:r>
        </a:p>
      </dsp:txBody>
      <dsp:txXfrm>
        <a:off x="3749214" y="1695"/>
        <a:ext cx="1146343" cy="349494"/>
      </dsp:txXfrm>
    </dsp:sp>
    <dsp:sp modelId="{542CA573-4857-442A-9F4A-8702A1C8B413}">
      <dsp:nvSpPr>
        <dsp:cNvPr id="0" name=""/>
        <dsp:cNvSpPr/>
      </dsp:nvSpPr>
      <dsp:spPr>
        <a:xfrm>
          <a:off x="3749214" y="438563"/>
          <a:ext cx="1146343" cy="349494"/>
        </a:xfrm>
        <a:prstGeom prst="rect">
          <a:avLst/>
        </a:prstGeom>
        <a:solidFill>
          <a:schemeClr val="accent4">
            <a:hueOff val="0"/>
            <a:satOff val="0"/>
            <a:lumOff val="0"/>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es-CL" sz="1100" kern="1200" dirty="0"/>
            <a:t>Ab</a:t>
          </a:r>
        </a:p>
      </dsp:txBody>
      <dsp:txXfrm>
        <a:off x="3749214" y="438563"/>
        <a:ext cx="1146343" cy="349494"/>
      </dsp:txXfrm>
    </dsp:sp>
    <dsp:sp modelId="{A06B619D-C59C-4C24-B70B-4709428B8572}">
      <dsp:nvSpPr>
        <dsp:cNvPr id="0" name=""/>
        <dsp:cNvSpPr/>
      </dsp:nvSpPr>
      <dsp:spPr>
        <a:xfrm>
          <a:off x="3749214" y="875432"/>
          <a:ext cx="1146343" cy="349494"/>
        </a:xfrm>
        <a:prstGeom prst="rect">
          <a:avLst/>
        </a:prstGeom>
        <a:solidFill>
          <a:schemeClr val="accent4">
            <a:hueOff val="0"/>
            <a:satOff val="0"/>
            <a:lumOff val="0"/>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es-CL" sz="1100" kern="1200" dirty="0"/>
            <a:t>AL+ Ab</a:t>
          </a:r>
        </a:p>
      </dsp:txBody>
      <dsp:txXfrm>
        <a:off x="3749214" y="875432"/>
        <a:ext cx="1146343" cy="349494"/>
      </dsp:txXfrm>
    </dsp:sp>
    <dsp:sp modelId="{D1A2B2A6-3D04-4FB1-B109-923A5FB30E6F}">
      <dsp:nvSpPr>
        <dsp:cNvPr id="0" name=""/>
        <dsp:cNvSpPr/>
      </dsp:nvSpPr>
      <dsp:spPr>
        <a:xfrm>
          <a:off x="3749214" y="1312301"/>
          <a:ext cx="1146343" cy="349494"/>
        </a:xfrm>
        <a:prstGeom prst="rect">
          <a:avLst/>
        </a:prstGeom>
        <a:solidFill>
          <a:schemeClr val="accent5">
            <a:lumMod val="40000"/>
            <a:lumOff val="6000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es-CL" sz="1100" b="1" kern="1200" dirty="0">
              <a:solidFill>
                <a:schemeClr val="tx1"/>
              </a:solidFill>
            </a:rPr>
            <a:t>2AL + venta </a:t>
          </a:r>
          <a:r>
            <a:rPr lang="es-CL" sz="1100" b="1" kern="1200" dirty="0" err="1">
              <a:solidFill>
                <a:schemeClr val="tx1"/>
              </a:solidFill>
            </a:rPr>
            <a:t>exc</a:t>
          </a:r>
          <a:endParaRPr lang="es-CL" sz="1100" b="1" kern="1200" dirty="0">
            <a:solidFill>
              <a:schemeClr val="tx1"/>
            </a:solidFill>
          </a:endParaRPr>
        </a:p>
      </dsp:txBody>
      <dsp:txXfrm>
        <a:off x="3749214" y="1312301"/>
        <a:ext cx="1146343" cy="349494"/>
      </dsp:txXfrm>
    </dsp:sp>
    <dsp:sp modelId="{49046632-515D-41EC-AC23-7DAA414BE2C0}">
      <dsp:nvSpPr>
        <dsp:cNvPr id="0" name=""/>
        <dsp:cNvSpPr/>
      </dsp:nvSpPr>
      <dsp:spPr>
        <a:xfrm>
          <a:off x="2373602" y="1093866"/>
          <a:ext cx="1146343" cy="349494"/>
        </a:xfrm>
        <a:prstGeom prst="rect">
          <a:avLst/>
        </a:prstGeom>
        <a:solidFill>
          <a:schemeClr val="accent3">
            <a:hueOff val="0"/>
            <a:satOff val="0"/>
            <a:lumOff val="0"/>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es-CL" sz="1100" kern="1200" dirty="0"/>
            <a:t>No invertir</a:t>
          </a:r>
        </a:p>
      </dsp:txBody>
      <dsp:txXfrm>
        <a:off x="2373602" y="1093866"/>
        <a:ext cx="1146343" cy="349494"/>
      </dsp:txXfrm>
    </dsp:sp>
    <dsp:sp modelId="{80EC6066-8A46-4AB2-B546-5BD5D9323C70}">
      <dsp:nvSpPr>
        <dsp:cNvPr id="0" name=""/>
        <dsp:cNvSpPr/>
      </dsp:nvSpPr>
      <dsp:spPr>
        <a:xfrm>
          <a:off x="997990" y="2295255"/>
          <a:ext cx="1146343" cy="349494"/>
        </a:xfrm>
        <a:prstGeom prst="rect">
          <a:avLst/>
        </a:prstGeom>
        <a:solidFill>
          <a:schemeClr val="accent2">
            <a:hueOff val="0"/>
            <a:satOff val="0"/>
            <a:lumOff val="0"/>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es-CL" sz="1100" kern="1200" dirty="0"/>
            <a:t>Demanda no crece</a:t>
          </a:r>
        </a:p>
      </dsp:txBody>
      <dsp:txXfrm>
        <a:off x="997990" y="2295255"/>
        <a:ext cx="1146343" cy="349494"/>
      </dsp:txXfrm>
    </dsp:sp>
    <dsp:sp modelId="{F90319E6-05D1-4BE1-99F0-E1E9E30543E5}">
      <dsp:nvSpPr>
        <dsp:cNvPr id="0" name=""/>
        <dsp:cNvSpPr/>
      </dsp:nvSpPr>
      <dsp:spPr>
        <a:xfrm>
          <a:off x="2373602" y="1749170"/>
          <a:ext cx="1146343" cy="349494"/>
        </a:xfrm>
        <a:prstGeom prst="rect">
          <a:avLst/>
        </a:prstGeom>
        <a:solidFill>
          <a:schemeClr val="accent3">
            <a:hueOff val="0"/>
            <a:satOff val="0"/>
            <a:lumOff val="0"/>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es-CL" sz="1100" kern="1200" dirty="0"/>
            <a:t>+E y P, por ende, Inv. Alimentador</a:t>
          </a:r>
        </a:p>
      </dsp:txBody>
      <dsp:txXfrm>
        <a:off x="2373602" y="1749170"/>
        <a:ext cx="1146343" cy="349494"/>
      </dsp:txXfrm>
    </dsp:sp>
    <dsp:sp modelId="{C9728A2C-5392-4126-A84A-8E24EC015016}">
      <dsp:nvSpPr>
        <dsp:cNvPr id="0" name=""/>
        <dsp:cNvSpPr/>
      </dsp:nvSpPr>
      <dsp:spPr>
        <a:xfrm>
          <a:off x="3749214" y="1749170"/>
          <a:ext cx="1146343" cy="349494"/>
        </a:xfrm>
        <a:prstGeom prst="rect">
          <a:avLst/>
        </a:prstGeom>
        <a:solidFill>
          <a:schemeClr val="accent6">
            <a:lumMod val="60000"/>
            <a:lumOff val="4000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es-CL" sz="1100" b="1" kern="1200" dirty="0">
              <a:solidFill>
                <a:schemeClr val="tx1"/>
              </a:solidFill>
            </a:rPr>
            <a:t>GD + venta exc</a:t>
          </a:r>
        </a:p>
      </dsp:txBody>
      <dsp:txXfrm>
        <a:off x="3749214" y="1749170"/>
        <a:ext cx="1146343" cy="349494"/>
      </dsp:txXfrm>
    </dsp:sp>
    <dsp:sp modelId="{5B20A107-03D6-4F65-BE12-63A33AFE7B68}">
      <dsp:nvSpPr>
        <dsp:cNvPr id="0" name=""/>
        <dsp:cNvSpPr/>
      </dsp:nvSpPr>
      <dsp:spPr>
        <a:xfrm>
          <a:off x="2373602" y="2307086"/>
          <a:ext cx="1146343" cy="349494"/>
        </a:xfrm>
        <a:prstGeom prst="rect">
          <a:avLst/>
        </a:prstGeom>
        <a:solidFill>
          <a:schemeClr val="accent3">
            <a:hueOff val="0"/>
            <a:satOff val="0"/>
            <a:lumOff val="0"/>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es-CL" sz="1100" kern="1200" dirty="0"/>
            <a:t>Inv. GD</a:t>
          </a:r>
        </a:p>
      </dsp:txBody>
      <dsp:txXfrm>
        <a:off x="2373602" y="2307086"/>
        <a:ext cx="1146343" cy="349494"/>
      </dsp:txXfrm>
    </dsp:sp>
    <dsp:sp modelId="{588BD9D2-0FDE-45DA-B9C1-22F46371BDC0}">
      <dsp:nvSpPr>
        <dsp:cNvPr id="0" name=""/>
        <dsp:cNvSpPr/>
      </dsp:nvSpPr>
      <dsp:spPr>
        <a:xfrm>
          <a:off x="3749214" y="2186038"/>
          <a:ext cx="1146343" cy="349494"/>
        </a:xfrm>
        <a:prstGeom prst="rect">
          <a:avLst/>
        </a:prstGeom>
        <a:solidFill>
          <a:schemeClr val="accent4">
            <a:hueOff val="0"/>
            <a:satOff val="0"/>
            <a:lumOff val="0"/>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es-CL" sz="1100" kern="1200" dirty="0"/>
            <a:t>Abandonar</a:t>
          </a:r>
        </a:p>
      </dsp:txBody>
      <dsp:txXfrm>
        <a:off x="3749214" y="2186038"/>
        <a:ext cx="1146343" cy="349494"/>
      </dsp:txXfrm>
    </dsp:sp>
    <dsp:sp modelId="{F246E136-6A10-4EF3-8E35-EB69F2015B09}">
      <dsp:nvSpPr>
        <dsp:cNvPr id="0" name=""/>
        <dsp:cNvSpPr/>
      </dsp:nvSpPr>
      <dsp:spPr>
        <a:xfrm>
          <a:off x="3749214" y="2622907"/>
          <a:ext cx="1146343" cy="349494"/>
        </a:xfrm>
        <a:prstGeom prst="rect">
          <a:avLst/>
        </a:prstGeom>
        <a:solidFill>
          <a:schemeClr val="bg2">
            <a:lumMod val="9000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es-CL" sz="1100" b="1" kern="1200" dirty="0">
              <a:solidFill>
                <a:schemeClr val="tx1"/>
              </a:solidFill>
            </a:rPr>
            <a:t>AL + venta </a:t>
          </a:r>
          <a:r>
            <a:rPr lang="es-CL" sz="1100" b="1" kern="1200" dirty="0" err="1">
              <a:solidFill>
                <a:schemeClr val="tx1"/>
              </a:solidFill>
            </a:rPr>
            <a:t>exc</a:t>
          </a:r>
          <a:endParaRPr lang="es-CL" sz="1100" b="1" kern="1200" dirty="0">
            <a:solidFill>
              <a:schemeClr val="tx1"/>
            </a:solidFill>
          </a:endParaRPr>
        </a:p>
      </dsp:txBody>
      <dsp:txXfrm>
        <a:off x="3749214" y="2622907"/>
        <a:ext cx="1146343" cy="349494"/>
      </dsp:txXfrm>
    </dsp:sp>
    <dsp:sp modelId="{E19F38A9-67D6-4570-9579-0041D5A0E5E1}">
      <dsp:nvSpPr>
        <dsp:cNvPr id="0" name=""/>
        <dsp:cNvSpPr/>
      </dsp:nvSpPr>
      <dsp:spPr>
        <a:xfrm>
          <a:off x="2373602" y="2841341"/>
          <a:ext cx="1146343" cy="349494"/>
        </a:xfrm>
        <a:prstGeom prst="rect">
          <a:avLst/>
        </a:prstGeom>
        <a:solidFill>
          <a:schemeClr val="accent3">
            <a:hueOff val="0"/>
            <a:satOff val="0"/>
            <a:lumOff val="0"/>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es-CL" sz="1100" kern="1200" dirty="0"/>
            <a:t>No invertir</a:t>
          </a:r>
        </a:p>
      </dsp:txBody>
      <dsp:txXfrm>
        <a:off x="2373602" y="2841341"/>
        <a:ext cx="1146343" cy="349494"/>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359F8E71-1899-49A2-A3C8-92AD35522E4F}">
      <dsp:nvSpPr>
        <dsp:cNvPr id="0" name=""/>
        <dsp:cNvSpPr/>
      </dsp:nvSpPr>
      <dsp:spPr>
        <a:xfrm>
          <a:off x="2163493" y="2447895"/>
          <a:ext cx="227216" cy="541198"/>
        </a:xfrm>
        <a:custGeom>
          <a:avLst/>
          <a:gdLst/>
          <a:ahLst/>
          <a:cxnLst/>
          <a:rect l="0" t="0" r="0" b="0"/>
          <a:pathLst>
            <a:path>
              <a:moveTo>
                <a:pt x="0" y="0"/>
              </a:moveTo>
              <a:lnTo>
                <a:pt x="113608" y="0"/>
              </a:lnTo>
              <a:lnTo>
                <a:pt x="113608" y="541198"/>
              </a:lnTo>
              <a:lnTo>
                <a:pt x="227216" y="541198"/>
              </a:lnTo>
            </a:path>
          </a:pathLst>
        </a:custGeom>
        <a:noFill/>
        <a:ln w="19050" cap="flat" cmpd="sng" algn="ctr">
          <a:solidFill>
            <a:schemeClr val="accent3">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222250">
            <a:lnSpc>
              <a:spcPct val="90000"/>
            </a:lnSpc>
            <a:spcBef>
              <a:spcPct val="0"/>
            </a:spcBef>
            <a:spcAft>
              <a:spcPct val="35000"/>
            </a:spcAft>
            <a:buNone/>
          </a:pPr>
          <a:endParaRPr lang="es-CL" sz="500" kern="1200"/>
        </a:p>
      </dsp:txBody>
      <dsp:txXfrm>
        <a:off x="2262427" y="2703820"/>
        <a:ext cx="29348" cy="29348"/>
      </dsp:txXfrm>
    </dsp:sp>
    <dsp:sp modelId="{19D1DECA-05EF-43ED-B90A-B3AD68735CB6}">
      <dsp:nvSpPr>
        <dsp:cNvPr id="0" name=""/>
        <dsp:cNvSpPr/>
      </dsp:nvSpPr>
      <dsp:spPr>
        <a:xfrm>
          <a:off x="3526793" y="2459619"/>
          <a:ext cx="227216" cy="312994"/>
        </a:xfrm>
        <a:custGeom>
          <a:avLst/>
          <a:gdLst/>
          <a:ahLst/>
          <a:cxnLst/>
          <a:rect l="0" t="0" r="0" b="0"/>
          <a:pathLst>
            <a:path>
              <a:moveTo>
                <a:pt x="0" y="0"/>
              </a:moveTo>
              <a:lnTo>
                <a:pt x="113608" y="0"/>
              </a:lnTo>
              <a:lnTo>
                <a:pt x="113608" y="312994"/>
              </a:lnTo>
              <a:lnTo>
                <a:pt x="227216" y="312994"/>
              </a:lnTo>
            </a:path>
          </a:pathLst>
        </a:custGeom>
        <a:noFill/>
        <a:ln w="19050" cap="flat" cmpd="sng" algn="ctr">
          <a:solidFill>
            <a:schemeClr val="accent4">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222250">
            <a:lnSpc>
              <a:spcPct val="90000"/>
            </a:lnSpc>
            <a:spcBef>
              <a:spcPct val="0"/>
            </a:spcBef>
            <a:spcAft>
              <a:spcPct val="35000"/>
            </a:spcAft>
            <a:buNone/>
          </a:pPr>
          <a:endParaRPr lang="es-CL" sz="500" kern="1200"/>
        </a:p>
      </dsp:txBody>
      <dsp:txXfrm>
        <a:off x="3630732" y="2606447"/>
        <a:ext cx="19338" cy="19338"/>
      </dsp:txXfrm>
    </dsp:sp>
    <dsp:sp modelId="{A2DF700B-BFEE-478D-B1C6-10A61764B838}">
      <dsp:nvSpPr>
        <dsp:cNvPr id="0" name=""/>
        <dsp:cNvSpPr/>
      </dsp:nvSpPr>
      <dsp:spPr>
        <a:xfrm>
          <a:off x="3526793" y="2339655"/>
          <a:ext cx="227216" cy="119964"/>
        </a:xfrm>
        <a:custGeom>
          <a:avLst/>
          <a:gdLst/>
          <a:ahLst/>
          <a:cxnLst/>
          <a:rect l="0" t="0" r="0" b="0"/>
          <a:pathLst>
            <a:path>
              <a:moveTo>
                <a:pt x="0" y="119964"/>
              </a:moveTo>
              <a:lnTo>
                <a:pt x="113608" y="119964"/>
              </a:lnTo>
              <a:lnTo>
                <a:pt x="113608" y="0"/>
              </a:lnTo>
              <a:lnTo>
                <a:pt x="227216" y="0"/>
              </a:lnTo>
            </a:path>
          </a:pathLst>
        </a:custGeom>
        <a:noFill/>
        <a:ln w="19050" cap="flat" cmpd="sng" algn="ctr">
          <a:solidFill>
            <a:schemeClr val="accent4">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222250">
            <a:lnSpc>
              <a:spcPct val="90000"/>
            </a:lnSpc>
            <a:spcBef>
              <a:spcPct val="0"/>
            </a:spcBef>
            <a:spcAft>
              <a:spcPct val="35000"/>
            </a:spcAft>
            <a:buNone/>
          </a:pPr>
          <a:endParaRPr lang="es-CL" sz="500" kern="1200"/>
        </a:p>
      </dsp:txBody>
      <dsp:txXfrm>
        <a:off x="3633977" y="2393214"/>
        <a:ext cx="12847" cy="12847"/>
      </dsp:txXfrm>
    </dsp:sp>
    <dsp:sp modelId="{4D43EF89-E959-4640-AF70-16ECCF5CE78D}">
      <dsp:nvSpPr>
        <dsp:cNvPr id="0" name=""/>
        <dsp:cNvSpPr/>
      </dsp:nvSpPr>
      <dsp:spPr>
        <a:xfrm>
          <a:off x="2163493" y="2402175"/>
          <a:ext cx="227216" cy="91440"/>
        </a:xfrm>
        <a:custGeom>
          <a:avLst/>
          <a:gdLst/>
          <a:ahLst/>
          <a:cxnLst/>
          <a:rect l="0" t="0" r="0" b="0"/>
          <a:pathLst>
            <a:path>
              <a:moveTo>
                <a:pt x="0" y="45720"/>
              </a:moveTo>
              <a:lnTo>
                <a:pt x="113608" y="45720"/>
              </a:lnTo>
              <a:lnTo>
                <a:pt x="113608" y="57444"/>
              </a:lnTo>
              <a:lnTo>
                <a:pt x="227216" y="57444"/>
              </a:lnTo>
            </a:path>
          </a:pathLst>
        </a:custGeom>
        <a:noFill/>
        <a:ln w="19050" cap="flat" cmpd="sng" algn="ctr">
          <a:solidFill>
            <a:schemeClr val="accent3">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222250">
            <a:lnSpc>
              <a:spcPct val="90000"/>
            </a:lnSpc>
            <a:spcBef>
              <a:spcPct val="0"/>
            </a:spcBef>
            <a:spcAft>
              <a:spcPct val="35000"/>
            </a:spcAft>
            <a:buNone/>
          </a:pPr>
          <a:endParaRPr lang="es-CL" sz="500" kern="1200"/>
        </a:p>
      </dsp:txBody>
      <dsp:txXfrm>
        <a:off x="2271413" y="2442207"/>
        <a:ext cx="11375" cy="11375"/>
      </dsp:txXfrm>
    </dsp:sp>
    <dsp:sp modelId="{60F402EC-AA4C-4308-A119-4F7F2BFD14B7}">
      <dsp:nvSpPr>
        <dsp:cNvPr id="0" name=""/>
        <dsp:cNvSpPr/>
      </dsp:nvSpPr>
      <dsp:spPr>
        <a:xfrm>
          <a:off x="3526793" y="1860977"/>
          <a:ext cx="227216" cy="91440"/>
        </a:xfrm>
        <a:custGeom>
          <a:avLst/>
          <a:gdLst/>
          <a:ahLst/>
          <a:cxnLst/>
          <a:rect l="0" t="0" r="0" b="0"/>
          <a:pathLst>
            <a:path>
              <a:moveTo>
                <a:pt x="0" y="45720"/>
              </a:moveTo>
              <a:lnTo>
                <a:pt x="227216" y="45720"/>
              </a:lnTo>
            </a:path>
          </a:pathLst>
        </a:custGeom>
        <a:noFill/>
        <a:ln w="19050" cap="flat" cmpd="sng" algn="ctr">
          <a:solidFill>
            <a:schemeClr val="accent4">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222250">
            <a:lnSpc>
              <a:spcPct val="90000"/>
            </a:lnSpc>
            <a:spcBef>
              <a:spcPct val="0"/>
            </a:spcBef>
            <a:spcAft>
              <a:spcPct val="35000"/>
            </a:spcAft>
            <a:buNone/>
          </a:pPr>
          <a:endParaRPr lang="es-CL" sz="500" kern="1200"/>
        </a:p>
      </dsp:txBody>
      <dsp:txXfrm>
        <a:off x="3634721" y="1901016"/>
        <a:ext cx="11360" cy="11360"/>
      </dsp:txXfrm>
    </dsp:sp>
    <dsp:sp modelId="{59F3A200-0BA1-40E9-9F63-3832C9E89611}">
      <dsp:nvSpPr>
        <dsp:cNvPr id="0" name=""/>
        <dsp:cNvSpPr/>
      </dsp:nvSpPr>
      <dsp:spPr>
        <a:xfrm>
          <a:off x="2163493" y="1906697"/>
          <a:ext cx="227216" cy="541198"/>
        </a:xfrm>
        <a:custGeom>
          <a:avLst/>
          <a:gdLst/>
          <a:ahLst/>
          <a:cxnLst/>
          <a:rect l="0" t="0" r="0" b="0"/>
          <a:pathLst>
            <a:path>
              <a:moveTo>
                <a:pt x="0" y="541198"/>
              </a:moveTo>
              <a:lnTo>
                <a:pt x="113608" y="541198"/>
              </a:lnTo>
              <a:lnTo>
                <a:pt x="113608" y="0"/>
              </a:lnTo>
              <a:lnTo>
                <a:pt x="227216" y="0"/>
              </a:lnTo>
            </a:path>
          </a:pathLst>
        </a:custGeom>
        <a:noFill/>
        <a:ln w="19050" cap="flat" cmpd="sng" algn="ctr">
          <a:solidFill>
            <a:schemeClr val="accent3">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222250">
            <a:lnSpc>
              <a:spcPct val="90000"/>
            </a:lnSpc>
            <a:spcBef>
              <a:spcPct val="0"/>
            </a:spcBef>
            <a:spcAft>
              <a:spcPct val="35000"/>
            </a:spcAft>
            <a:buNone/>
          </a:pPr>
          <a:endParaRPr lang="es-CL" sz="500" kern="1200"/>
        </a:p>
      </dsp:txBody>
      <dsp:txXfrm>
        <a:off x="2262427" y="2162622"/>
        <a:ext cx="29348" cy="29348"/>
      </dsp:txXfrm>
    </dsp:sp>
    <dsp:sp modelId="{24D9A42F-E653-4F6B-909F-4ED003425ADD}">
      <dsp:nvSpPr>
        <dsp:cNvPr id="0" name=""/>
        <dsp:cNvSpPr/>
      </dsp:nvSpPr>
      <dsp:spPr>
        <a:xfrm>
          <a:off x="800193" y="1636098"/>
          <a:ext cx="227216" cy="811797"/>
        </a:xfrm>
        <a:custGeom>
          <a:avLst/>
          <a:gdLst/>
          <a:ahLst/>
          <a:cxnLst/>
          <a:rect l="0" t="0" r="0" b="0"/>
          <a:pathLst>
            <a:path>
              <a:moveTo>
                <a:pt x="0" y="0"/>
              </a:moveTo>
              <a:lnTo>
                <a:pt x="113608" y="0"/>
              </a:lnTo>
              <a:lnTo>
                <a:pt x="113608" y="811797"/>
              </a:lnTo>
              <a:lnTo>
                <a:pt x="227216" y="811797"/>
              </a:lnTo>
            </a:path>
          </a:pathLst>
        </a:custGeom>
        <a:noFill/>
        <a:ln w="19050" cap="flat" cmpd="sng" algn="ctr">
          <a:solidFill>
            <a:schemeClr val="accent2">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222250">
            <a:lnSpc>
              <a:spcPct val="90000"/>
            </a:lnSpc>
            <a:spcBef>
              <a:spcPct val="0"/>
            </a:spcBef>
            <a:spcAft>
              <a:spcPct val="35000"/>
            </a:spcAft>
            <a:buNone/>
          </a:pPr>
          <a:endParaRPr lang="es-CL" sz="500" kern="1200"/>
        </a:p>
      </dsp:txBody>
      <dsp:txXfrm>
        <a:off x="892727" y="2020921"/>
        <a:ext cx="42149" cy="42149"/>
      </dsp:txXfrm>
    </dsp:sp>
    <dsp:sp modelId="{14F8A28E-96A1-4162-9A8A-DA94A3B921EA}">
      <dsp:nvSpPr>
        <dsp:cNvPr id="0" name=""/>
        <dsp:cNvSpPr/>
      </dsp:nvSpPr>
      <dsp:spPr>
        <a:xfrm>
          <a:off x="2163493" y="824301"/>
          <a:ext cx="227216" cy="432958"/>
        </a:xfrm>
        <a:custGeom>
          <a:avLst/>
          <a:gdLst/>
          <a:ahLst/>
          <a:cxnLst/>
          <a:rect l="0" t="0" r="0" b="0"/>
          <a:pathLst>
            <a:path>
              <a:moveTo>
                <a:pt x="0" y="0"/>
              </a:moveTo>
              <a:lnTo>
                <a:pt x="113608" y="0"/>
              </a:lnTo>
              <a:lnTo>
                <a:pt x="113608" y="432958"/>
              </a:lnTo>
              <a:lnTo>
                <a:pt x="227216" y="432958"/>
              </a:lnTo>
            </a:path>
          </a:pathLst>
        </a:custGeom>
        <a:noFill/>
        <a:ln w="19050" cap="flat" cmpd="sng" algn="ctr">
          <a:solidFill>
            <a:schemeClr val="accent3">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222250">
            <a:lnSpc>
              <a:spcPct val="90000"/>
            </a:lnSpc>
            <a:spcBef>
              <a:spcPct val="0"/>
            </a:spcBef>
            <a:spcAft>
              <a:spcPct val="35000"/>
            </a:spcAft>
            <a:buNone/>
          </a:pPr>
          <a:endParaRPr lang="es-CL" sz="500" kern="1200"/>
        </a:p>
      </dsp:txBody>
      <dsp:txXfrm>
        <a:off x="2264877" y="1028556"/>
        <a:ext cx="24447" cy="24447"/>
      </dsp:txXfrm>
    </dsp:sp>
    <dsp:sp modelId="{1177FAFB-4D2B-4B00-9E7C-503DCCAC80A5}">
      <dsp:nvSpPr>
        <dsp:cNvPr id="0" name=""/>
        <dsp:cNvSpPr/>
      </dsp:nvSpPr>
      <dsp:spPr>
        <a:xfrm>
          <a:off x="3526793" y="824301"/>
          <a:ext cx="227216" cy="649437"/>
        </a:xfrm>
        <a:custGeom>
          <a:avLst/>
          <a:gdLst/>
          <a:ahLst/>
          <a:cxnLst/>
          <a:rect l="0" t="0" r="0" b="0"/>
          <a:pathLst>
            <a:path>
              <a:moveTo>
                <a:pt x="0" y="0"/>
              </a:moveTo>
              <a:lnTo>
                <a:pt x="113608" y="0"/>
              </a:lnTo>
              <a:lnTo>
                <a:pt x="113608" y="649437"/>
              </a:lnTo>
              <a:lnTo>
                <a:pt x="227216" y="649437"/>
              </a:lnTo>
            </a:path>
          </a:pathLst>
        </a:custGeom>
        <a:noFill/>
        <a:ln w="19050" cap="flat" cmpd="sng" algn="ctr">
          <a:solidFill>
            <a:schemeClr val="accent4">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222250">
            <a:lnSpc>
              <a:spcPct val="90000"/>
            </a:lnSpc>
            <a:spcBef>
              <a:spcPct val="0"/>
            </a:spcBef>
            <a:spcAft>
              <a:spcPct val="35000"/>
            </a:spcAft>
            <a:buNone/>
          </a:pPr>
          <a:endParaRPr lang="es-CL" sz="500" kern="1200"/>
        </a:p>
      </dsp:txBody>
      <dsp:txXfrm>
        <a:off x="3623200" y="1131819"/>
        <a:ext cx="34401" cy="34401"/>
      </dsp:txXfrm>
    </dsp:sp>
    <dsp:sp modelId="{E989A813-E22E-4574-A597-8E20FB75514C}">
      <dsp:nvSpPr>
        <dsp:cNvPr id="0" name=""/>
        <dsp:cNvSpPr/>
      </dsp:nvSpPr>
      <dsp:spPr>
        <a:xfrm>
          <a:off x="3526793" y="824301"/>
          <a:ext cx="227216" cy="216479"/>
        </a:xfrm>
        <a:custGeom>
          <a:avLst/>
          <a:gdLst/>
          <a:ahLst/>
          <a:cxnLst/>
          <a:rect l="0" t="0" r="0" b="0"/>
          <a:pathLst>
            <a:path>
              <a:moveTo>
                <a:pt x="0" y="0"/>
              </a:moveTo>
              <a:lnTo>
                <a:pt x="113608" y="0"/>
              </a:lnTo>
              <a:lnTo>
                <a:pt x="113608" y="216479"/>
              </a:lnTo>
              <a:lnTo>
                <a:pt x="227216" y="216479"/>
              </a:lnTo>
            </a:path>
          </a:pathLst>
        </a:custGeom>
        <a:noFill/>
        <a:ln w="19050" cap="flat" cmpd="sng" algn="ctr">
          <a:solidFill>
            <a:schemeClr val="accent4">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222250">
            <a:lnSpc>
              <a:spcPct val="90000"/>
            </a:lnSpc>
            <a:spcBef>
              <a:spcPct val="0"/>
            </a:spcBef>
            <a:spcAft>
              <a:spcPct val="35000"/>
            </a:spcAft>
            <a:buNone/>
          </a:pPr>
          <a:endParaRPr lang="es-CL" sz="500" kern="1200"/>
        </a:p>
      </dsp:txBody>
      <dsp:txXfrm>
        <a:off x="3632555" y="924694"/>
        <a:ext cx="15691" cy="15691"/>
      </dsp:txXfrm>
    </dsp:sp>
    <dsp:sp modelId="{2D2D2807-574D-4A47-AB1B-B3EB20AAE2AB}">
      <dsp:nvSpPr>
        <dsp:cNvPr id="0" name=""/>
        <dsp:cNvSpPr/>
      </dsp:nvSpPr>
      <dsp:spPr>
        <a:xfrm>
          <a:off x="3526793" y="607821"/>
          <a:ext cx="227216" cy="216479"/>
        </a:xfrm>
        <a:custGeom>
          <a:avLst/>
          <a:gdLst/>
          <a:ahLst/>
          <a:cxnLst/>
          <a:rect l="0" t="0" r="0" b="0"/>
          <a:pathLst>
            <a:path>
              <a:moveTo>
                <a:pt x="0" y="216479"/>
              </a:moveTo>
              <a:lnTo>
                <a:pt x="113608" y="216479"/>
              </a:lnTo>
              <a:lnTo>
                <a:pt x="113608" y="0"/>
              </a:lnTo>
              <a:lnTo>
                <a:pt x="227216" y="0"/>
              </a:lnTo>
            </a:path>
          </a:pathLst>
        </a:custGeom>
        <a:noFill/>
        <a:ln w="19050" cap="flat" cmpd="sng" algn="ctr">
          <a:solidFill>
            <a:schemeClr val="accent4">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222250">
            <a:lnSpc>
              <a:spcPct val="90000"/>
            </a:lnSpc>
            <a:spcBef>
              <a:spcPct val="0"/>
            </a:spcBef>
            <a:spcAft>
              <a:spcPct val="35000"/>
            </a:spcAft>
            <a:buNone/>
          </a:pPr>
          <a:endParaRPr lang="es-CL" sz="500" kern="1200"/>
        </a:p>
      </dsp:txBody>
      <dsp:txXfrm>
        <a:off x="3632555" y="708215"/>
        <a:ext cx="15691" cy="15691"/>
      </dsp:txXfrm>
    </dsp:sp>
    <dsp:sp modelId="{AF571542-FBB4-46B2-8721-0CD401B001F6}">
      <dsp:nvSpPr>
        <dsp:cNvPr id="0" name=""/>
        <dsp:cNvSpPr/>
      </dsp:nvSpPr>
      <dsp:spPr>
        <a:xfrm>
          <a:off x="3526793" y="174863"/>
          <a:ext cx="227216" cy="649437"/>
        </a:xfrm>
        <a:custGeom>
          <a:avLst/>
          <a:gdLst/>
          <a:ahLst/>
          <a:cxnLst/>
          <a:rect l="0" t="0" r="0" b="0"/>
          <a:pathLst>
            <a:path>
              <a:moveTo>
                <a:pt x="0" y="649437"/>
              </a:moveTo>
              <a:lnTo>
                <a:pt x="113608" y="649437"/>
              </a:lnTo>
              <a:lnTo>
                <a:pt x="113608" y="0"/>
              </a:lnTo>
              <a:lnTo>
                <a:pt x="227216" y="0"/>
              </a:lnTo>
            </a:path>
          </a:pathLst>
        </a:custGeom>
        <a:noFill/>
        <a:ln w="19050" cap="flat" cmpd="sng" algn="ctr">
          <a:solidFill>
            <a:schemeClr val="accent4">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222250">
            <a:lnSpc>
              <a:spcPct val="90000"/>
            </a:lnSpc>
            <a:spcBef>
              <a:spcPct val="0"/>
            </a:spcBef>
            <a:spcAft>
              <a:spcPct val="35000"/>
            </a:spcAft>
            <a:buNone/>
          </a:pPr>
          <a:endParaRPr lang="es-CL" sz="500" kern="1200"/>
        </a:p>
      </dsp:txBody>
      <dsp:txXfrm>
        <a:off x="3623200" y="482381"/>
        <a:ext cx="34401" cy="34401"/>
      </dsp:txXfrm>
    </dsp:sp>
    <dsp:sp modelId="{E10C9DA3-D0B4-47F4-9F47-2FB8427D5F6F}">
      <dsp:nvSpPr>
        <dsp:cNvPr id="0" name=""/>
        <dsp:cNvSpPr/>
      </dsp:nvSpPr>
      <dsp:spPr>
        <a:xfrm>
          <a:off x="2163493" y="778581"/>
          <a:ext cx="227216" cy="91440"/>
        </a:xfrm>
        <a:custGeom>
          <a:avLst/>
          <a:gdLst/>
          <a:ahLst/>
          <a:cxnLst/>
          <a:rect l="0" t="0" r="0" b="0"/>
          <a:pathLst>
            <a:path>
              <a:moveTo>
                <a:pt x="0" y="45720"/>
              </a:moveTo>
              <a:lnTo>
                <a:pt x="227216" y="45720"/>
              </a:lnTo>
            </a:path>
          </a:pathLst>
        </a:custGeom>
        <a:noFill/>
        <a:ln w="19050" cap="flat" cmpd="sng" algn="ctr">
          <a:solidFill>
            <a:schemeClr val="accent3">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222250">
            <a:lnSpc>
              <a:spcPct val="90000"/>
            </a:lnSpc>
            <a:spcBef>
              <a:spcPct val="0"/>
            </a:spcBef>
            <a:spcAft>
              <a:spcPct val="35000"/>
            </a:spcAft>
            <a:buNone/>
          </a:pPr>
          <a:endParaRPr lang="es-CL" sz="500" kern="1200"/>
        </a:p>
      </dsp:txBody>
      <dsp:txXfrm>
        <a:off x="2271421" y="818620"/>
        <a:ext cx="11360" cy="11360"/>
      </dsp:txXfrm>
    </dsp:sp>
    <dsp:sp modelId="{693AFC02-2A32-4C4F-B483-80CD719B424C}">
      <dsp:nvSpPr>
        <dsp:cNvPr id="0" name=""/>
        <dsp:cNvSpPr/>
      </dsp:nvSpPr>
      <dsp:spPr>
        <a:xfrm>
          <a:off x="2163493" y="391342"/>
          <a:ext cx="227216" cy="432958"/>
        </a:xfrm>
        <a:custGeom>
          <a:avLst/>
          <a:gdLst/>
          <a:ahLst/>
          <a:cxnLst/>
          <a:rect l="0" t="0" r="0" b="0"/>
          <a:pathLst>
            <a:path>
              <a:moveTo>
                <a:pt x="0" y="432958"/>
              </a:moveTo>
              <a:lnTo>
                <a:pt x="113608" y="432958"/>
              </a:lnTo>
              <a:lnTo>
                <a:pt x="113608" y="0"/>
              </a:lnTo>
              <a:lnTo>
                <a:pt x="227216" y="0"/>
              </a:lnTo>
            </a:path>
          </a:pathLst>
        </a:custGeom>
        <a:noFill/>
        <a:ln w="19050" cap="flat" cmpd="sng" algn="ctr">
          <a:solidFill>
            <a:schemeClr val="accent3">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222250">
            <a:lnSpc>
              <a:spcPct val="90000"/>
            </a:lnSpc>
            <a:spcBef>
              <a:spcPct val="0"/>
            </a:spcBef>
            <a:spcAft>
              <a:spcPct val="35000"/>
            </a:spcAft>
            <a:buNone/>
          </a:pPr>
          <a:endParaRPr lang="es-CL" sz="500" kern="1200"/>
        </a:p>
      </dsp:txBody>
      <dsp:txXfrm>
        <a:off x="2264877" y="595597"/>
        <a:ext cx="24447" cy="24447"/>
      </dsp:txXfrm>
    </dsp:sp>
    <dsp:sp modelId="{2F8EF566-1C4A-491C-9116-F938E8F3D6A5}">
      <dsp:nvSpPr>
        <dsp:cNvPr id="0" name=""/>
        <dsp:cNvSpPr/>
      </dsp:nvSpPr>
      <dsp:spPr>
        <a:xfrm>
          <a:off x="800193" y="824301"/>
          <a:ext cx="227216" cy="811797"/>
        </a:xfrm>
        <a:custGeom>
          <a:avLst/>
          <a:gdLst/>
          <a:ahLst/>
          <a:cxnLst/>
          <a:rect l="0" t="0" r="0" b="0"/>
          <a:pathLst>
            <a:path>
              <a:moveTo>
                <a:pt x="0" y="811797"/>
              </a:moveTo>
              <a:lnTo>
                <a:pt x="113608" y="811797"/>
              </a:lnTo>
              <a:lnTo>
                <a:pt x="113608" y="0"/>
              </a:lnTo>
              <a:lnTo>
                <a:pt x="227216" y="0"/>
              </a:lnTo>
            </a:path>
          </a:pathLst>
        </a:custGeom>
        <a:noFill/>
        <a:ln w="19050" cap="flat" cmpd="sng" algn="ctr">
          <a:solidFill>
            <a:schemeClr val="accent2">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222250">
            <a:lnSpc>
              <a:spcPct val="90000"/>
            </a:lnSpc>
            <a:spcBef>
              <a:spcPct val="0"/>
            </a:spcBef>
            <a:spcAft>
              <a:spcPct val="35000"/>
            </a:spcAft>
            <a:buNone/>
          </a:pPr>
          <a:endParaRPr lang="es-CL" sz="500" kern="1200"/>
        </a:p>
      </dsp:txBody>
      <dsp:txXfrm>
        <a:off x="892727" y="1209124"/>
        <a:ext cx="42149" cy="42149"/>
      </dsp:txXfrm>
    </dsp:sp>
    <dsp:sp modelId="{389BD0D3-91D0-4AA7-B539-165926CC4CF4}">
      <dsp:nvSpPr>
        <dsp:cNvPr id="0" name=""/>
        <dsp:cNvSpPr/>
      </dsp:nvSpPr>
      <dsp:spPr>
        <a:xfrm rot="16200000">
          <a:off x="-284480" y="1462914"/>
          <a:ext cx="1822983" cy="346366"/>
        </a:xfrm>
        <a:prstGeom prst="rect">
          <a:avLst/>
        </a:prstGeom>
        <a:solidFill>
          <a:schemeClr val="accent1">
            <a:hueOff val="0"/>
            <a:satOff val="0"/>
            <a:lumOff val="0"/>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3970" tIns="13970" rIns="13970" bIns="13970" numCol="1" spcCol="1270" anchor="ctr" anchorCtr="0">
          <a:noAutofit/>
        </a:bodyPr>
        <a:lstStyle/>
        <a:p>
          <a:pPr marL="0" lvl="0" indent="0" algn="ctr" defTabSz="977900">
            <a:lnSpc>
              <a:spcPct val="90000"/>
            </a:lnSpc>
            <a:spcBef>
              <a:spcPct val="0"/>
            </a:spcBef>
            <a:spcAft>
              <a:spcPct val="35000"/>
            </a:spcAft>
            <a:buNone/>
          </a:pPr>
          <a:endParaRPr lang="es-CL" sz="2200" kern="1200" dirty="0"/>
        </a:p>
      </dsp:txBody>
      <dsp:txXfrm>
        <a:off x="-284480" y="1462914"/>
        <a:ext cx="1822983" cy="346366"/>
      </dsp:txXfrm>
    </dsp:sp>
    <dsp:sp modelId="{3F41E26B-11EB-47B1-8ACC-4921900006DB}">
      <dsp:nvSpPr>
        <dsp:cNvPr id="0" name=""/>
        <dsp:cNvSpPr/>
      </dsp:nvSpPr>
      <dsp:spPr>
        <a:xfrm>
          <a:off x="1027410" y="651117"/>
          <a:ext cx="1136083" cy="346366"/>
        </a:xfrm>
        <a:prstGeom prst="rect">
          <a:avLst/>
        </a:prstGeom>
        <a:solidFill>
          <a:schemeClr val="accent2">
            <a:hueOff val="0"/>
            <a:satOff val="0"/>
            <a:lumOff val="0"/>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es-CL" sz="1100" kern="1200" dirty="0"/>
            <a:t>Demanda crece</a:t>
          </a:r>
        </a:p>
      </dsp:txBody>
      <dsp:txXfrm>
        <a:off x="1027410" y="651117"/>
        <a:ext cx="1136083" cy="346366"/>
      </dsp:txXfrm>
    </dsp:sp>
    <dsp:sp modelId="{AB67E0BB-C6BE-4688-8749-566041095066}">
      <dsp:nvSpPr>
        <dsp:cNvPr id="0" name=""/>
        <dsp:cNvSpPr/>
      </dsp:nvSpPr>
      <dsp:spPr>
        <a:xfrm>
          <a:off x="2390710" y="218159"/>
          <a:ext cx="1136083" cy="346366"/>
        </a:xfrm>
        <a:prstGeom prst="rect">
          <a:avLst/>
        </a:prstGeom>
        <a:solidFill>
          <a:schemeClr val="accent3">
            <a:hueOff val="0"/>
            <a:satOff val="0"/>
            <a:lumOff val="0"/>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es-CL" sz="1100" kern="1200" dirty="0"/>
            <a:t>+E y P, por ende, Inv. Alimentador</a:t>
          </a:r>
        </a:p>
      </dsp:txBody>
      <dsp:txXfrm>
        <a:off x="2390710" y="218159"/>
        <a:ext cx="1136083" cy="346366"/>
      </dsp:txXfrm>
    </dsp:sp>
    <dsp:sp modelId="{A54C6CF1-9666-4215-BB6D-5A93E40B6D23}">
      <dsp:nvSpPr>
        <dsp:cNvPr id="0" name=""/>
        <dsp:cNvSpPr/>
      </dsp:nvSpPr>
      <dsp:spPr>
        <a:xfrm>
          <a:off x="2390710" y="651117"/>
          <a:ext cx="1136083" cy="346366"/>
        </a:xfrm>
        <a:prstGeom prst="rect">
          <a:avLst/>
        </a:prstGeom>
        <a:solidFill>
          <a:schemeClr val="accent3">
            <a:hueOff val="0"/>
            <a:satOff val="0"/>
            <a:lumOff val="0"/>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es-CL" sz="1100" kern="1200" dirty="0"/>
            <a:t>Inv. GD</a:t>
          </a:r>
        </a:p>
      </dsp:txBody>
      <dsp:txXfrm>
        <a:off x="2390710" y="651117"/>
        <a:ext cx="1136083" cy="346366"/>
      </dsp:txXfrm>
    </dsp:sp>
    <dsp:sp modelId="{D526920F-9861-44DD-93D9-1E7F3E59F694}">
      <dsp:nvSpPr>
        <dsp:cNvPr id="0" name=""/>
        <dsp:cNvSpPr/>
      </dsp:nvSpPr>
      <dsp:spPr>
        <a:xfrm>
          <a:off x="3754009" y="1680"/>
          <a:ext cx="1136083" cy="346366"/>
        </a:xfrm>
        <a:prstGeom prst="rect">
          <a:avLst/>
        </a:prstGeom>
        <a:solidFill>
          <a:schemeClr val="accent4">
            <a:hueOff val="0"/>
            <a:satOff val="0"/>
            <a:lumOff val="0"/>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es-CL" sz="1100" kern="1200" dirty="0"/>
            <a:t>AL</a:t>
          </a:r>
        </a:p>
      </dsp:txBody>
      <dsp:txXfrm>
        <a:off x="3754009" y="1680"/>
        <a:ext cx="1136083" cy="346366"/>
      </dsp:txXfrm>
    </dsp:sp>
    <dsp:sp modelId="{542CA573-4857-442A-9F4A-8702A1C8B413}">
      <dsp:nvSpPr>
        <dsp:cNvPr id="0" name=""/>
        <dsp:cNvSpPr/>
      </dsp:nvSpPr>
      <dsp:spPr>
        <a:xfrm>
          <a:off x="3754009" y="434638"/>
          <a:ext cx="1136083" cy="346366"/>
        </a:xfrm>
        <a:prstGeom prst="rect">
          <a:avLst/>
        </a:prstGeom>
        <a:solidFill>
          <a:schemeClr val="accent4">
            <a:hueOff val="0"/>
            <a:satOff val="0"/>
            <a:lumOff val="0"/>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es-CL" sz="1100" kern="1200" dirty="0"/>
            <a:t>Ab</a:t>
          </a:r>
        </a:p>
      </dsp:txBody>
      <dsp:txXfrm>
        <a:off x="3754009" y="434638"/>
        <a:ext cx="1136083" cy="346366"/>
      </dsp:txXfrm>
    </dsp:sp>
    <dsp:sp modelId="{A06B619D-C59C-4C24-B70B-4709428B8572}">
      <dsp:nvSpPr>
        <dsp:cNvPr id="0" name=""/>
        <dsp:cNvSpPr/>
      </dsp:nvSpPr>
      <dsp:spPr>
        <a:xfrm>
          <a:off x="3754009" y="867597"/>
          <a:ext cx="1136083" cy="346366"/>
        </a:xfrm>
        <a:prstGeom prst="rect">
          <a:avLst/>
        </a:prstGeom>
        <a:solidFill>
          <a:schemeClr val="accent4">
            <a:hueOff val="0"/>
            <a:satOff val="0"/>
            <a:lumOff val="0"/>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es-CL" sz="1100" kern="1200" dirty="0"/>
            <a:t>AL+ Ab</a:t>
          </a:r>
        </a:p>
      </dsp:txBody>
      <dsp:txXfrm>
        <a:off x="3754009" y="867597"/>
        <a:ext cx="1136083" cy="346366"/>
      </dsp:txXfrm>
    </dsp:sp>
    <dsp:sp modelId="{D1A2B2A6-3D04-4FB1-B109-923A5FB30E6F}">
      <dsp:nvSpPr>
        <dsp:cNvPr id="0" name=""/>
        <dsp:cNvSpPr/>
      </dsp:nvSpPr>
      <dsp:spPr>
        <a:xfrm>
          <a:off x="3754009" y="1300555"/>
          <a:ext cx="1136083" cy="346366"/>
        </a:xfrm>
        <a:prstGeom prst="rect">
          <a:avLst/>
        </a:prstGeom>
        <a:solidFill>
          <a:schemeClr val="accent5">
            <a:lumMod val="40000"/>
            <a:lumOff val="6000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es-CL" sz="1100" b="1" kern="1200" dirty="0">
              <a:solidFill>
                <a:schemeClr val="tx1"/>
              </a:solidFill>
            </a:rPr>
            <a:t>2AL + venta </a:t>
          </a:r>
          <a:r>
            <a:rPr lang="es-CL" sz="1100" b="1" kern="1200" dirty="0" err="1">
              <a:solidFill>
                <a:schemeClr val="tx1"/>
              </a:solidFill>
            </a:rPr>
            <a:t>exc</a:t>
          </a:r>
          <a:endParaRPr lang="es-CL" sz="1100" b="1" kern="1200" dirty="0">
            <a:solidFill>
              <a:schemeClr val="tx1"/>
            </a:solidFill>
          </a:endParaRPr>
        </a:p>
      </dsp:txBody>
      <dsp:txXfrm>
        <a:off x="3754009" y="1300555"/>
        <a:ext cx="1136083" cy="346366"/>
      </dsp:txXfrm>
    </dsp:sp>
    <dsp:sp modelId="{49046632-515D-41EC-AC23-7DAA414BE2C0}">
      <dsp:nvSpPr>
        <dsp:cNvPr id="0" name=""/>
        <dsp:cNvSpPr/>
      </dsp:nvSpPr>
      <dsp:spPr>
        <a:xfrm>
          <a:off x="2390710" y="1084076"/>
          <a:ext cx="1136083" cy="346366"/>
        </a:xfrm>
        <a:prstGeom prst="rect">
          <a:avLst/>
        </a:prstGeom>
        <a:solidFill>
          <a:schemeClr val="accent3">
            <a:hueOff val="0"/>
            <a:satOff val="0"/>
            <a:lumOff val="0"/>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es-CL" sz="1100" kern="1200" dirty="0"/>
            <a:t>No invertir</a:t>
          </a:r>
        </a:p>
      </dsp:txBody>
      <dsp:txXfrm>
        <a:off x="2390710" y="1084076"/>
        <a:ext cx="1136083" cy="346366"/>
      </dsp:txXfrm>
    </dsp:sp>
    <dsp:sp modelId="{80EC6066-8A46-4AB2-B546-5BD5D9323C70}">
      <dsp:nvSpPr>
        <dsp:cNvPr id="0" name=""/>
        <dsp:cNvSpPr/>
      </dsp:nvSpPr>
      <dsp:spPr>
        <a:xfrm>
          <a:off x="1027410" y="2274712"/>
          <a:ext cx="1136083" cy="346366"/>
        </a:xfrm>
        <a:prstGeom prst="rect">
          <a:avLst/>
        </a:prstGeom>
        <a:solidFill>
          <a:schemeClr val="accent2">
            <a:hueOff val="0"/>
            <a:satOff val="0"/>
            <a:lumOff val="0"/>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es-CL" sz="1100" kern="1200" dirty="0"/>
            <a:t>Demanda no crece</a:t>
          </a:r>
        </a:p>
      </dsp:txBody>
      <dsp:txXfrm>
        <a:off x="1027410" y="2274712"/>
        <a:ext cx="1136083" cy="346366"/>
      </dsp:txXfrm>
    </dsp:sp>
    <dsp:sp modelId="{F90319E6-05D1-4BE1-99F0-E1E9E30543E5}">
      <dsp:nvSpPr>
        <dsp:cNvPr id="0" name=""/>
        <dsp:cNvSpPr/>
      </dsp:nvSpPr>
      <dsp:spPr>
        <a:xfrm>
          <a:off x="2390710" y="1733513"/>
          <a:ext cx="1136083" cy="346366"/>
        </a:xfrm>
        <a:prstGeom prst="rect">
          <a:avLst/>
        </a:prstGeom>
        <a:solidFill>
          <a:schemeClr val="accent3">
            <a:hueOff val="0"/>
            <a:satOff val="0"/>
            <a:lumOff val="0"/>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es-CL" sz="1100" kern="1200" dirty="0"/>
            <a:t>+E y P, por ende, Inv. Alimentador</a:t>
          </a:r>
        </a:p>
      </dsp:txBody>
      <dsp:txXfrm>
        <a:off x="2390710" y="1733513"/>
        <a:ext cx="1136083" cy="346366"/>
      </dsp:txXfrm>
    </dsp:sp>
    <dsp:sp modelId="{C9728A2C-5392-4126-A84A-8E24EC015016}">
      <dsp:nvSpPr>
        <dsp:cNvPr id="0" name=""/>
        <dsp:cNvSpPr/>
      </dsp:nvSpPr>
      <dsp:spPr>
        <a:xfrm>
          <a:off x="3754009" y="1733513"/>
          <a:ext cx="1136083" cy="346366"/>
        </a:xfrm>
        <a:prstGeom prst="rect">
          <a:avLst/>
        </a:prstGeom>
        <a:solidFill>
          <a:schemeClr val="accent6">
            <a:lumMod val="60000"/>
            <a:lumOff val="4000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es-CL" sz="1100" b="1" kern="1200" dirty="0">
              <a:solidFill>
                <a:schemeClr val="tx1"/>
              </a:solidFill>
            </a:rPr>
            <a:t>GD + venta exc</a:t>
          </a:r>
        </a:p>
      </dsp:txBody>
      <dsp:txXfrm>
        <a:off x="3754009" y="1733513"/>
        <a:ext cx="1136083" cy="346366"/>
      </dsp:txXfrm>
    </dsp:sp>
    <dsp:sp modelId="{5B20A107-03D6-4F65-BE12-63A33AFE7B68}">
      <dsp:nvSpPr>
        <dsp:cNvPr id="0" name=""/>
        <dsp:cNvSpPr/>
      </dsp:nvSpPr>
      <dsp:spPr>
        <a:xfrm>
          <a:off x="2390710" y="2286436"/>
          <a:ext cx="1136083" cy="346366"/>
        </a:xfrm>
        <a:prstGeom prst="rect">
          <a:avLst/>
        </a:prstGeom>
        <a:solidFill>
          <a:schemeClr val="accent3">
            <a:hueOff val="0"/>
            <a:satOff val="0"/>
            <a:lumOff val="0"/>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es-CL" sz="1100" kern="1200" dirty="0"/>
            <a:t>Inv. GD</a:t>
          </a:r>
        </a:p>
      </dsp:txBody>
      <dsp:txXfrm>
        <a:off x="2390710" y="2286436"/>
        <a:ext cx="1136083" cy="346366"/>
      </dsp:txXfrm>
    </dsp:sp>
    <dsp:sp modelId="{588BD9D2-0FDE-45DA-B9C1-22F46371BDC0}">
      <dsp:nvSpPr>
        <dsp:cNvPr id="0" name=""/>
        <dsp:cNvSpPr/>
      </dsp:nvSpPr>
      <dsp:spPr>
        <a:xfrm>
          <a:off x="3754009" y="2166472"/>
          <a:ext cx="1136083" cy="346366"/>
        </a:xfrm>
        <a:prstGeom prst="rect">
          <a:avLst/>
        </a:prstGeom>
        <a:solidFill>
          <a:schemeClr val="accent4">
            <a:hueOff val="0"/>
            <a:satOff val="0"/>
            <a:lumOff val="0"/>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es-CL" sz="1100" kern="1200" dirty="0"/>
            <a:t>Abandonar</a:t>
          </a:r>
        </a:p>
      </dsp:txBody>
      <dsp:txXfrm>
        <a:off x="3754009" y="2166472"/>
        <a:ext cx="1136083" cy="346366"/>
      </dsp:txXfrm>
    </dsp:sp>
    <dsp:sp modelId="{F246E136-6A10-4EF3-8E35-EB69F2015B09}">
      <dsp:nvSpPr>
        <dsp:cNvPr id="0" name=""/>
        <dsp:cNvSpPr/>
      </dsp:nvSpPr>
      <dsp:spPr>
        <a:xfrm>
          <a:off x="3754009" y="2599430"/>
          <a:ext cx="1136083" cy="346366"/>
        </a:xfrm>
        <a:prstGeom prst="rect">
          <a:avLst/>
        </a:prstGeom>
        <a:solidFill>
          <a:schemeClr val="bg2">
            <a:lumMod val="9000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es-CL" sz="1100" b="1" kern="1200" dirty="0">
              <a:solidFill>
                <a:schemeClr val="tx1"/>
              </a:solidFill>
            </a:rPr>
            <a:t>AL + venta </a:t>
          </a:r>
          <a:r>
            <a:rPr lang="es-CL" sz="1100" b="1" kern="1200" dirty="0" err="1">
              <a:solidFill>
                <a:schemeClr val="tx1"/>
              </a:solidFill>
            </a:rPr>
            <a:t>exc</a:t>
          </a:r>
          <a:endParaRPr lang="es-CL" sz="1100" b="1" kern="1200" dirty="0">
            <a:solidFill>
              <a:schemeClr val="tx1"/>
            </a:solidFill>
          </a:endParaRPr>
        </a:p>
      </dsp:txBody>
      <dsp:txXfrm>
        <a:off x="3754009" y="2599430"/>
        <a:ext cx="1136083" cy="346366"/>
      </dsp:txXfrm>
    </dsp:sp>
    <dsp:sp modelId="{E19F38A9-67D6-4570-9579-0041D5A0E5E1}">
      <dsp:nvSpPr>
        <dsp:cNvPr id="0" name=""/>
        <dsp:cNvSpPr/>
      </dsp:nvSpPr>
      <dsp:spPr>
        <a:xfrm>
          <a:off x="2390710" y="2815910"/>
          <a:ext cx="1136083" cy="346366"/>
        </a:xfrm>
        <a:prstGeom prst="rect">
          <a:avLst/>
        </a:prstGeom>
        <a:solidFill>
          <a:schemeClr val="accent3">
            <a:hueOff val="0"/>
            <a:satOff val="0"/>
            <a:lumOff val="0"/>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es-CL" sz="1100" kern="1200" dirty="0"/>
            <a:t>No invertir</a:t>
          </a:r>
        </a:p>
      </dsp:txBody>
      <dsp:txXfrm>
        <a:off x="2390710" y="2815910"/>
        <a:ext cx="1136083" cy="346366"/>
      </dsp:txXfrm>
    </dsp:sp>
  </dsp:spTree>
</dsp:drawing>
</file>

<file path=xl/diagrams/layout1.xml><?xml version="1.0" encoding="utf-8"?>
<dgm:layoutDef xmlns:dgm="http://schemas.openxmlformats.org/drawingml/2006/diagram" xmlns:a="http://schemas.openxmlformats.org/drawingml/2006/main" uniqueId="urn:microsoft.com/office/officeart/2008/layout/HorizontalMultiLevelHierarchy">
  <dgm:title val=""/>
  <dgm:desc val=""/>
  <dgm:catLst>
    <dgm:cat type="hierarchy" pri="4600"/>
  </dgm:catLst>
  <dgm:sampData>
    <dgm:dataModel>
      <dgm:ptLst>
        <dgm:pt modelId="0" type="doc"/>
        <dgm:pt modelId="1">
          <dgm:prSet phldr="1"/>
        </dgm:pt>
        <dgm:pt modelId="11">
          <dgm:prSet phldr="1"/>
        </dgm:pt>
        <dgm:pt modelId="12">
          <dgm:prSet phldr="1"/>
        </dgm:pt>
        <dgm:pt modelId="13">
          <dgm:prSet phldr="1"/>
        </dgm:pt>
      </dgm:ptLst>
      <dgm:cxnLst>
        <dgm:cxn modelId="2" srcId="0" destId="1" srcOrd="0" destOrd="0"/>
        <dgm:cxn modelId="3" srcId="1" destId="11" srcOrd="0" destOrd="0"/>
        <dgm:cxn modelId="4" srcId="1" destId="12" srcOrd="1" destOrd="0"/>
        <dgm:cxn modelId="5" srcId="1" destId="13" srcOrd="2" destOrd="0"/>
      </dgm:cxnLst>
      <dgm:bg/>
      <dgm:whole/>
    </dgm:dataModel>
  </dgm:sampData>
  <dgm:styleData>
    <dgm:dataModel>
      <dgm:ptLst>
        <dgm:pt modelId="0" type="doc"/>
        <dgm:pt modelId="1">
          <dgm:prSet phldr="1"/>
        </dgm:pt>
        <dgm:pt modelId="11">
          <dgm:prSet phldr="1"/>
        </dgm:pt>
        <dgm:pt modelId="12">
          <dgm:prSet phldr="1"/>
        </dgm:pt>
      </dgm:ptLst>
      <dgm:cxnLst>
        <dgm:cxn modelId="2" srcId="0" destId="1" srcOrd="0" destOrd="0"/>
        <dgm:cxn modelId="3" srcId="1" destId="11" srcOrd="0" destOrd="0"/>
        <dgm:cxn modelId="4" srcId="1" destId="12" srcOrd="1" destOrd="0"/>
      </dgm:cxnLst>
      <dgm:bg/>
      <dgm:whole/>
    </dgm:dataModel>
  </dgm:styleData>
  <dgm:clrData>
    <dgm:dataModel>
      <dgm:ptLst>
        <dgm:pt modelId="0" type="doc"/>
        <dgm:pt modelId="1">
          <dgm:prSet phldr="1"/>
        </dgm:pt>
        <dgm:pt modelId="11">
          <dgm:prSet phldr="1"/>
        </dgm:pt>
        <dgm:pt modelId="12">
          <dgm:prSet phldr="1"/>
        </dgm:pt>
        <dgm:pt modelId="13">
          <dgm:prSet phldr="1"/>
        </dgm:pt>
      </dgm:ptLst>
      <dgm:cxnLst>
        <dgm:cxn modelId="2" srcId="0" destId="1" srcOrd="0" destOrd="0"/>
        <dgm:cxn modelId="3" srcId="1" destId="11" srcOrd="0" destOrd="0"/>
        <dgm:cxn modelId="4" srcId="1" destId="12" srcOrd="1" destOrd="0"/>
        <dgm:cxn modelId="5" srcId="1" destId="13" srcOrd="2" destOrd="0"/>
      </dgm:cxnLst>
      <dgm:bg/>
      <dgm:whole/>
    </dgm:dataModel>
  </dgm:clrData>
  <dgm:layoutNode name="Name0">
    <dgm:varLst>
      <dgm:chPref val="1"/>
      <dgm:dir/>
      <dgm:animOne val="branch"/>
      <dgm:animLvl val="lvl"/>
      <dgm:resizeHandles val="exact"/>
    </dgm:varLst>
    <dgm:choose name="Name1">
      <dgm:if name="Name2" func="var" arg="dir" op="equ" val="norm">
        <dgm:alg type="hierChild">
          <dgm:param type="linDir" val="fromT"/>
          <dgm:param type="chAlign" val="l"/>
        </dgm:alg>
      </dgm:if>
      <dgm:else name="Name3">
        <dgm:alg type="hierChild">
          <dgm:param type="linDir" val="fromT"/>
          <dgm:param type="chAlign" val="r"/>
        </dgm:alg>
      </dgm:else>
    </dgm:choose>
    <dgm:shape xmlns:r="http://schemas.openxmlformats.org/officeDocument/2006/relationships" r:blip="">
      <dgm:adjLst/>
    </dgm:shape>
    <dgm:presOf/>
    <dgm:constrLst>
      <dgm:constr type="h" for="des" forName="LevelOneTextNode" refType="h"/>
      <dgm:constr type="w" for="des" forName="LevelOneTextNode" refType="h" refFor="des" refForName="LevelOneTextNode" fact="0.19"/>
      <dgm:constr type="h" for="des" forName="LevelTwoTextNode" refType="w" refFor="des" refForName="LevelOneTextNode"/>
      <dgm:constr type="w" for="des" forName="LevelTwoTextNode" refType="h" refFor="des" refForName="LevelTwoTextNode" fact="3.28"/>
      <dgm:constr type="sibSp" refType="h" refFor="des" refForName="LevelTwoTextNode" op="equ" fact="0.25"/>
      <dgm:constr type="sibSp" for="des" forName="level2hierChild" refType="h" refFor="des" refForName="LevelTwoTextNode" op="equ" fact="0.25"/>
      <dgm:constr type="sibSp" for="des" forName="level3hierChild" refType="h" refFor="des" refForName="LevelTwoTextNode" op="equ" fact="0.25"/>
      <dgm:constr type="sp" for="des" forName="root1" refType="w" refFor="des" refForName="LevelTwoTextNode" fact="0.2"/>
      <dgm:constr type="sp" for="des" forName="root2" refType="sp" refFor="des" refForName="root1" op="equ"/>
      <dgm:constr type="primFontSz" for="des" forName="LevelOneTextNode" op="equ" val="65"/>
      <dgm:constr type="primFontSz" for="des" forName="LevelTwoTextNode" op="equ" val="65"/>
      <dgm:constr type="primFontSz" for="des" forName="LevelTwoTextNode" refType="primFontSz" refFor="des" refForName="LevelOneTextNode" op="lte"/>
      <dgm:constr type="primFontSz" for="des" forName="connTx" op="equ" val="50"/>
      <dgm:constr type="primFontSz" for="des" forName="connTx" refType="primFontSz" refFor="des" refForName="LevelOneTextNode" op="lte" fact="0.78"/>
    </dgm:constrLst>
    <dgm:forEach name="Name4" axis="ch">
      <dgm:forEach name="Name5" axis="self" ptType="node">
        <dgm:layoutNode name="root1">
          <dgm:choose name="Name6">
            <dgm:if name="Name7" func="var" arg="dir" op="equ" val="norm">
              <dgm:alg type="hierRoot">
                <dgm:param type="hierAlign" val="lCtrCh"/>
              </dgm:alg>
            </dgm:if>
            <dgm:else name="Name8">
              <dgm:alg type="hierRoot">
                <dgm:param type="hierAlign" val="rCtrCh"/>
              </dgm:alg>
            </dgm:else>
          </dgm:choose>
          <dgm:shape xmlns:r="http://schemas.openxmlformats.org/officeDocument/2006/relationships" r:blip="">
            <dgm:adjLst/>
          </dgm:shape>
          <dgm:presOf/>
          <dgm:layoutNode name="LevelOneTextNode" styleLbl="node0">
            <dgm:varLst>
              <dgm:chPref val="3"/>
            </dgm:varLst>
            <dgm:alg type="tx">
              <dgm:param type="autoTxRot" val="grav"/>
            </dgm:alg>
            <dgm:choose name="Name9">
              <dgm:if name="Name10" func="var" arg="dir" op="equ" val="norm">
                <dgm:shape xmlns:r="http://schemas.openxmlformats.org/officeDocument/2006/relationships" rot="270" type="rect" r:blip="">
                  <dgm:adjLst/>
                </dgm:shape>
              </dgm:if>
              <dgm:else name="Name11">
                <dgm:shape xmlns:r="http://schemas.openxmlformats.org/officeDocument/2006/relationships" rot="90" type="rect" r:blip="">
                  <dgm:adjLst/>
                </dgm:shape>
              </dgm:else>
            </dgm:choose>
            <dgm:presOf axis="self"/>
            <dgm:constrLst>
              <dgm:constr type="tMarg" refType="primFontSz" fact="0.05"/>
              <dgm:constr type="bMarg" refType="primFontSz" fact="0.05"/>
              <dgm:constr type="lMarg" refType="primFontSz" fact="0.05"/>
              <dgm:constr type="rMarg" refType="primFontSz" fact="0.05"/>
            </dgm:constrLst>
            <dgm:ruleLst>
              <dgm:rule type="primFontSz" val="2" fact="NaN" max="NaN"/>
            </dgm:ruleLst>
          </dgm:layoutNode>
          <dgm:layoutNode name="level2hierChild">
            <dgm:choose name="Name12">
              <dgm:if name="Name13" func="var" arg="dir" op="equ" val="norm">
                <dgm:alg type="hierChild">
                  <dgm:param type="linDir" val="fromT"/>
                  <dgm:param type="chAlign" val="l"/>
                </dgm:alg>
              </dgm:if>
              <dgm:else name="Name14">
                <dgm:alg type="hierChild">
                  <dgm:param type="linDir" val="fromT"/>
                  <dgm:param type="chAlign" val="r"/>
                </dgm:alg>
              </dgm:else>
            </dgm:choose>
            <dgm:shape xmlns:r="http://schemas.openxmlformats.org/officeDocument/2006/relationships" r:blip="">
              <dgm:adjLst/>
            </dgm:shape>
            <dgm:presOf/>
            <dgm:forEach name="repeat" axis="ch">
              <dgm:forEach name="Name15" axis="self" ptType="parTrans" cnt="1">
                <dgm:layoutNode name="conn2-1">
                  <dgm:choose name="Name16">
                    <dgm:if name="Name17" func="var" arg="dir" op="equ" val="norm">
                      <dgm:alg type="conn">
                        <dgm:param type="dim" val="1D"/>
                        <dgm:param type="begPts" val="midR"/>
                        <dgm:param type="endPts" val="midL"/>
                        <dgm:param type="endSty" val="noArr"/>
                        <dgm:param type="connRout" val="bend"/>
                      </dgm:alg>
                    </dgm:if>
                    <dgm:else name="Name18">
                      <dgm:alg type="conn">
                        <dgm:param type="dim" val="1D"/>
                        <dgm:param type="begPts" val="midL"/>
                        <dgm:param type="endPts" val="midR"/>
                        <dgm:param type="endSty" val="noArr"/>
                        <dgm:param type="connRout" val="bend"/>
                      </dgm:alg>
                    </dgm:else>
                  </dgm:choose>
                  <dgm:shape xmlns:r="http://schemas.openxmlformats.org/officeDocument/2006/relationships" type="conn" r:blip="" zOrderOff="-99999">
                    <dgm:adjLst/>
                  </dgm:shape>
                  <dgm:presOf axis="self"/>
                  <dgm:constrLst>
                    <dgm:constr type="w" val="1"/>
                    <dgm:constr type="h" val="5"/>
                    <dgm:constr type="connDist"/>
                    <dgm:constr type="begPad"/>
                    <dgm:constr type="endPad"/>
                    <dgm:constr type="userA" for="ch" refType="connDist"/>
                  </dgm:constrLst>
                  <dgm:layoutNode name="connTx">
                    <dgm:alg type="tx">
                      <dgm:param type="autoTxRot" val="grav"/>
                    </dgm:alg>
                    <dgm:shape xmlns:r="http://schemas.openxmlformats.org/officeDocument/2006/relationships" type="rect" r:blip="" hideGeom="1">
                      <dgm:adjLst/>
                    </dgm:shape>
                    <dgm:presOf axis="self"/>
                    <dgm:constrLst>
                      <dgm:constr type="userA"/>
                      <dgm:constr type="w" refType="userA" fact="0.05"/>
                      <dgm:constr type="h" refType="userA" fact="0.05"/>
                      <dgm:constr type="lMarg" val="1"/>
                      <dgm:constr type="rMarg" val="1"/>
                      <dgm:constr type="tMarg"/>
                      <dgm:constr type="bMarg"/>
                    </dgm:constrLst>
                    <dgm:ruleLst>
                      <dgm:rule type="h" val="NaN" fact="0.25" max="NaN"/>
                      <dgm:rule type="w" val="NaN" fact="0.8" max="NaN"/>
                      <dgm:rule type="primFontSz" val="5" fact="NaN" max="NaN"/>
                    </dgm:ruleLst>
                  </dgm:layoutNode>
                </dgm:layoutNode>
              </dgm:forEach>
              <dgm:forEach name="Name19" axis="self" ptType="node">
                <dgm:layoutNode name="root2">
                  <dgm:choose name="Name20">
                    <dgm:if name="Name21" func="var" arg="dir" op="equ" val="norm">
                      <dgm:alg type="hierRoot">
                        <dgm:param type="hierAlign" val="lCtrCh"/>
                      </dgm:alg>
                    </dgm:if>
                    <dgm:else name="Name22">
                      <dgm:alg type="hierRoot">
                        <dgm:param type="hierAlign" val="rCtrCh"/>
                      </dgm:alg>
                    </dgm:else>
                  </dgm:choose>
                  <dgm:shape xmlns:r="http://schemas.openxmlformats.org/officeDocument/2006/relationships" r:blip="">
                    <dgm:adjLst/>
                  </dgm:shape>
                  <dgm:presOf/>
                  <dgm:layoutNode name="LevelTwoTextNode">
                    <dgm:varLst>
                      <dgm:chPref val="3"/>
                    </dgm:varLst>
                    <dgm:alg type="tx"/>
                    <dgm:shape xmlns:r="http://schemas.openxmlformats.org/officeDocument/2006/relationships" type="rect" r:blip="">
                      <dgm:adjLst/>
                    </dgm:shape>
                    <dgm:presOf axis="self"/>
                    <dgm:constrLst>
                      <dgm:constr type="tMarg" refType="primFontSz" fact="0.05"/>
                      <dgm:constr type="bMarg" refType="primFontSz" fact="0.05"/>
                      <dgm:constr type="lMarg" refType="primFontSz" fact="0.05"/>
                      <dgm:constr type="rMarg" refType="primFontSz" fact="0.05"/>
                    </dgm:constrLst>
                    <dgm:ruleLst>
                      <dgm:rule type="primFontSz" val="2" fact="NaN" max="NaN"/>
                    </dgm:ruleLst>
                  </dgm:layoutNode>
                  <dgm:layoutNode name="level3hierChild">
                    <dgm:choose name="Name23">
                      <dgm:if name="Name24" func="var" arg="dir" op="equ" val="norm">
                        <dgm:alg type="hierChild">
                          <dgm:param type="linDir" val="fromT"/>
                          <dgm:param type="chAlign" val="l"/>
                        </dgm:alg>
                      </dgm:if>
                      <dgm:else name="Name25">
                        <dgm:alg type="hierChild">
                          <dgm:param type="linDir" val="fromT"/>
                          <dgm:param type="chAlign" val="r"/>
                        </dgm:alg>
                      </dgm:else>
                    </dgm:choose>
                    <dgm:shape xmlns:r="http://schemas.openxmlformats.org/officeDocument/2006/relationships" r:blip="">
                      <dgm:adjLst/>
                    </dgm:shape>
                    <dgm:presOf/>
                    <dgm:forEach name="Name26" ref="repeat"/>
                  </dgm:layoutNode>
                </dgm:layoutNode>
              </dgm:forEach>
            </dgm:forEach>
          </dgm:layoutNod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8/layout/HorizontalMultiLevelHierarchy">
  <dgm:title val=""/>
  <dgm:desc val=""/>
  <dgm:catLst>
    <dgm:cat type="hierarchy" pri="4600"/>
  </dgm:catLst>
  <dgm:sampData>
    <dgm:dataModel>
      <dgm:ptLst>
        <dgm:pt modelId="0" type="doc"/>
        <dgm:pt modelId="1">
          <dgm:prSet phldr="1"/>
        </dgm:pt>
        <dgm:pt modelId="11">
          <dgm:prSet phldr="1"/>
        </dgm:pt>
        <dgm:pt modelId="12">
          <dgm:prSet phldr="1"/>
        </dgm:pt>
        <dgm:pt modelId="13">
          <dgm:prSet phldr="1"/>
        </dgm:pt>
      </dgm:ptLst>
      <dgm:cxnLst>
        <dgm:cxn modelId="2" srcId="0" destId="1" srcOrd="0" destOrd="0"/>
        <dgm:cxn modelId="3" srcId="1" destId="11" srcOrd="0" destOrd="0"/>
        <dgm:cxn modelId="4" srcId="1" destId="12" srcOrd="1" destOrd="0"/>
        <dgm:cxn modelId="5" srcId="1" destId="13" srcOrd="2" destOrd="0"/>
      </dgm:cxnLst>
      <dgm:bg/>
      <dgm:whole/>
    </dgm:dataModel>
  </dgm:sampData>
  <dgm:styleData>
    <dgm:dataModel>
      <dgm:ptLst>
        <dgm:pt modelId="0" type="doc"/>
        <dgm:pt modelId="1">
          <dgm:prSet phldr="1"/>
        </dgm:pt>
        <dgm:pt modelId="11">
          <dgm:prSet phldr="1"/>
        </dgm:pt>
        <dgm:pt modelId="12">
          <dgm:prSet phldr="1"/>
        </dgm:pt>
      </dgm:ptLst>
      <dgm:cxnLst>
        <dgm:cxn modelId="2" srcId="0" destId="1" srcOrd="0" destOrd="0"/>
        <dgm:cxn modelId="3" srcId="1" destId="11" srcOrd="0" destOrd="0"/>
        <dgm:cxn modelId="4" srcId="1" destId="12" srcOrd="1" destOrd="0"/>
      </dgm:cxnLst>
      <dgm:bg/>
      <dgm:whole/>
    </dgm:dataModel>
  </dgm:styleData>
  <dgm:clrData>
    <dgm:dataModel>
      <dgm:ptLst>
        <dgm:pt modelId="0" type="doc"/>
        <dgm:pt modelId="1">
          <dgm:prSet phldr="1"/>
        </dgm:pt>
        <dgm:pt modelId="11">
          <dgm:prSet phldr="1"/>
        </dgm:pt>
        <dgm:pt modelId="12">
          <dgm:prSet phldr="1"/>
        </dgm:pt>
        <dgm:pt modelId="13">
          <dgm:prSet phldr="1"/>
        </dgm:pt>
      </dgm:ptLst>
      <dgm:cxnLst>
        <dgm:cxn modelId="2" srcId="0" destId="1" srcOrd="0" destOrd="0"/>
        <dgm:cxn modelId="3" srcId="1" destId="11" srcOrd="0" destOrd="0"/>
        <dgm:cxn modelId="4" srcId="1" destId="12" srcOrd="1" destOrd="0"/>
        <dgm:cxn modelId="5" srcId="1" destId="13" srcOrd="2" destOrd="0"/>
      </dgm:cxnLst>
      <dgm:bg/>
      <dgm:whole/>
    </dgm:dataModel>
  </dgm:clrData>
  <dgm:layoutNode name="Name0">
    <dgm:varLst>
      <dgm:chPref val="1"/>
      <dgm:dir/>
      <dgm:animOne val="branch"/>
      <dgm:animLvl val="lvl"/>
      <dgm:resizeHandles val="exact"/>
    </dgm:varLst>
    <dgm:choose name="Name1">
      <dgm:if name="Name2" func="var" arg="dir" op="equ" val="norm">
        <dgm:alg type="hierChild">
          <dgm:param type="linDir" val="fromT"/>
          <dgm:param type="chAlign" val="l"/>
        </dgm:alg>
      </dgm:if>
      <dgm:else name="Name3">
        <dgm:alg type="hierChild">
          <dgm:param type="linDir" val="fromT"/>
          <dgm:param type="chAlign" val="r"/>
        </dgm:alg>
      </dgm:else>
    </dgm:choose>
    <dgm:shape xmlns:r="http://schemas.openxmlformats.org/officeDocument/2006/relationships" r:blip="">
      <dgm:adjLst/>
    </dgm:shape>
    <dgm:presOf/>
    <dgm:constrLst>
      <dgm:constr type="h" for="des" forName="LevelOneTextNode" refType="h"/>
      <dgm:constr type="w" for="des" forName="LevelOneTextNode" refType="h" refFor="des" refForName="LevelOneTextNode" fact="0.19"/>
      <dgm:constr type="h" for="des" forName="LevelTwoTextNode" refType="w" refFor="des" refForName="LevelOneTextNode"/>
      <dgm:constr type="w" for="des" forName="LevelTwoTextNode" refType="h" refFor="des" refForName="LevelTwoTextNode" fact="3.28"/>
      <dgm:constr type="sibSp" refType="h" refFor="des" refForName="LevelTwoTextNode" op="equ" fact="0.25"/>
      <dgm:constr type="sibSp" for="des" forName="level2hierChild" refType="h" refFor="des" refForName="LevelTwoTextNode" op="equ" fact="0.25"/>
      <dgm:constr type="sibSp" for="des" forName="level3hierChild" refType="h" refFor="des" refForName="LevelTwoTextNode" op="equ" fact="0.25"/>
      <dgm:constr type="sp" for="des" forName="root1" refType="w" refFor="des" refForName="LevelTwoTextNode" fact="0.2"/>
      <dgm:constr type="sp" for="des" forName="root2" refType="sp" refFor="des" refForName="root1" op="equ"/>
      <dgm:constr type="primFontSz" for="des" forName="LevelOneTextNode" op="equ" val="65"/>
      <dgm:constr type="primFontSz" for="des" forName="LevelTwoTextNode" op="equ" val="65"/>
      <dgm:constr type="primFontSz" for="des" forName="LevelTwoTextNode" refType="primFontSz" refFor="des" refForName="LevelOneTextNode" op="lte"/>
      <dgm:constr type="primFontSz" for="des" forName="connTx" op="equ" val="50"/>
      <dgm:constr type="primFontSz" for="des" forName="connTx" refType="primFontSz" refFor="des" refForName="LevelOneTextNode" op="lte" fact="0.78"/>
    </dgm:constrLst>
    <dgm:forEach name="Name4" axis="ch">
      <dgm:forEach name="Name5" axis="self" ptType="node">
        <dgm:layoutNode name="root1">
          <dgm:choose name="Name6">
            <dgm:if name="Name7" func="var" arg="dir" op="equ" val="norm">
              <dgm:alg type="hierRoot">
                <dgm:param type="hierAlign" val="lCtrCh"/>
              </dgm:alg>
            </dgm:if>
            <dgm:else name="Name8">
              <dgm:alg type="hierRoot">
                <dgm:param type="hierAlign" val="rCtrCh"/>
              </dgm:alg>
            </dgm:else>
          </dgm:choose>
          <dgm:shape xmlns:r="http://schemas.openxmlformats.org/officeDocument/2006/relationships" r:blip="">
            <dgm:adjLst/>
          </dgm:shape>
          <dgm:presOf/>
          <dgm:layoutNode name="LevelOneTextNode" styleLbl="node0">
            <dgm:varLst>
              <dgm:chPref val="3"/>
            </dgm:varLst>
            <dgm:alg type="tx">
              <dgm:param type="autoTxRot" val="grav"/>
            </dgm:alg>
            <dgm:choose name="Name9">
              <dgm:if name="Name10" func="var" arg="dir" op="equ" val="norm">
                <dgm:shape xmlns:r="http://schemas.openxmlformats.org/officeDocument/2006/relationships" rot="270" type="rect" r:blip="">
                  <dgm:adjLst/>
                </dgm:shape>
              </dgm:if>
              <dgm:else name="Name11">
                <dgm:shape xmlns:r="http://schemas.openxmlformats.org/officeDocument/2006/relationships" rot="90" type="rect" r:blip="">
                  <dgm:adjLst/>
                </dgm:shape>
              </dgm:else>
            </dgm:choose>
            <dgm:presOf axis="self"/>
            <dgm:constrLst>
              <dgm:constr type="tMarg" refType="primFontSz" fact="0.05"/>
              <dgm:constr type="bMarg" refType="primFontSz" fact="0.05"/>
              <dgm:constr type="lMarg" refType="primFontSz" fact="0.05"/>
              <dgm:constr type="rMarg" refType="primFontSz" fact="0.05"/>
            </dgm:constrLst>
            <dgm:ruleLst>
              <dgm:rule type="primFontSz" val="2" fact="NaN" max="NaN"/>
            </dgm:ruleLst>
          </dgm:layoutNode>
          <dgm:layoutNode name="level2hierChild">
            <dgm:choose name="Name12">
              <dgm:if name="Name13" func="var" arg="dir" op="equ" val="norm">
                <dgm:alg type="hierChild">
                  <dgm:param type="linDir" val="fromT"/>
                  <dgm:param type="chAlign" val="l"/>
                </dgm:alg>
              </dgm:if>
              <dgm:else name="Name14">
                <dgm:alg type="hierChild">
                  <dgm:param type="linDir" val="fromT"/>
                  <dgm:param type="chAlign" val="r"/>
                </dgm:alg>
              </dgm:else>
            </dgm:choose>
            <dgm:shape xmlns:r="http://schemas.openxmlformats.org/officeDocument/2006/relationships" r:blip="">
              <dgm:adjLst/>
            </dgm:shape>
            <dgm:presOf/>
            <dgm:forEach name="repeat" axis="ch">
              <dgm:forEach name="Name15" axis="self" ptType="parTrans" cnt="1">
                <dgm:layoutNode name="conn2-1">
                  <dgm:choose name="Name16">
                    <dgm:if name="Name17" func="var" arg="dir" op="equ" val="norm">
                      <dgm:alg type="conn">
                        <dgm:param type="dim" val="1D"/>
                        <dgm:param type="begPts" val="midR"/>
                        <dgm:param type="endPts" val="midL"/>
                        <dgm:param type="endSty" val="noArr"/>
                        <dgm:param type="connRout" val="bend"/>
                      </dgm:alg>
                    </dgm:if>
                    <dgm:else name="Name18">
                      <dgm:alg type="conn">
                        <dgm:param type="dim" val="1D"/>
                        <dgm:param type="begPts" val="midL"/>
                        <dgm:param type="endPts" val="midR"/>
                        <dgm:param type="endSty" val="noArr"/>
                        <dgm:param type="connRout" val="bend"/>
                      </dgm:alg>
                    </dgm:else>
                  </dgm:choose>
                  <dgm:shape xmlns:r="http://schemas.openxmlformats.org/officeDocument/2006/relationships" type="conn" r:blip="" zOrderOff="-99999">
                    <dgm:adjLst/>
                  </dgm:shape>
                  <dgm:presOf axis="self"/>
                  <dgm:constrLst>
                    <dgm:constr type="w" val="1"/>
                    <dgm:constr type="h" val="5"/>
                    <dgm:constr type="connDist"/>
                    <dgm:constr type="begPad"/>
                    <dgm:constr type="endPad"/>
                    <dgm:constr type="userA" for="ch" refType="connDist"/>
                  </dgm:constrLst>
                  <dgm:layoutNode name="connTx">
                    <dgm:alg type="tx">
                      <dgm:param type="autoTxRot" val="grav"/>
                    </dgm:alg>
                    <dgm:shape xmlns:r="http://schemas.openxmlformats.org/officeDocument/2006/relationships" type="rect" r:blip="" hideGeom="1">
                      <dgm:adjLst/>
                    </dgm:shape>
                    <dgm:presOf axis="self"/>
                    <dgm:constrLst>
                      <dgm:constr type="userA"/>
                      <dgm:constr type="w" refType="userA" fact="0.05"/>
                      <dgm:constr type="h" refType="userA" fact="0.05"/>
                      <dgm:constr type="lMarg" val="1"/>
                      <dgm:constr type="rMarg" val="1"/>
                      <dgm:constr type="tMarg"/>
                      <dgm:constr type="bMarg"/>
                    </dgm:constrLst>
                    <dgm:ruleLst>
                      <dgm:rule type="h" val="NaN" fact="0.25" max="NaN"/>
                      <dgm:rule type="w" val="NaN" fact="0.8" max="NaN"/>
                      <dgm:rule type="primFontSz" val="5" fact="NaN" max="NaN"/>
                    </dgm:ruleLst>
                  </dgm:layoutNode>
                </dgm:layoutNode>
              </dgm:forEach>
              <dgm:forEach name="Name19" axis="self" ptType="node">
                <dgm:layoutNode name="root2">
                  <dgm:choose name="Name20">
                    <dgm:if name="Name21" func="var" arg="dir" op="equ" val="norm">
                      <dgm:alg type="hierRoot">
                        <dgm:param type="hierAlign" val="lCtrCh"/>
                      </dgm:alg>
                    </dgm:if>
                    <dgm:else name="Name22">
                      <dgm:alg type="hierRoot">
                        <dgm:param type="hierAlign" val="rCtrCh"/>
                      </dgm:alg>
                    </dgm:else>
                  </dgm:choose>
                  <dgm:shape xmlns:r="http://schemas.openxmlformats.org/officeDocument/2006/relationships" r:blip="">
                    <dgm:adjLst/>
                  </dgm:shape>
                  <dgm:presOf/>
                  <dgm:layoutNode name="LevelTwoTextNode">
                    <dgm:varLst>
                      <dgm:chPref val="3"/>
                    </dgm:varLst>
                    <dgm:alg type="tx"/>
                    <dgm:shape xmlns:r="http://schemas.openxmlformats.org/officeDocument/2006/relationships" type="rect" r:blip="">
                      <dgm:adjLst/>
                    </dgm:shape>
                    <dgm:presOf axis="self"/>
                    <dgm:constrLst>
                      <dgm:constr type="tMarg" refType="primFontSz" fact="0.05"/>
                      <dgm:constr type="bMarg" refType="primFontSz" fact="0.05"/>
                      <dgm:constr type="lMarg" refType="primFontSz" fact="0.05"/>
                      <dgm:constr type="rMarg" refType="primFontSz" fact="0.05"/>
                    </dgm:constrLst>
                    <dgm:ruleLst>
                      <dgm:rule type="primFontSz" val="2" fact="NaN" max="NaN"/>
                    </dgm:ruleLst>
                  </dgm:layoutNode>
                  <dgm:layoutNode name="level3hierChild">
                    <dgm:choose name="Name23">
                      <dgm:if name="Name24" func="var" arg="dir" op="equ" val="norm">
                        <dgm:alg type="hierChild">
                          <dgm:param type="linDir" val="fromT"/>
                          <dgm:param type="chAlign" val="l"/>
                        </dgm:alg>
                      </dgm:if>
                      <dgm:else name="Name25">
                        <dgm:alg type="hierChild">
                          <dgm:param type="linDir" val="fromT"/>
                          <dgm:param type="chAlign" val="r"/>
                        </dgm:alg>
                      </dgm:else>
                    </dgm:choose>
                    <dgm:shape xmlns:r="http://schemas.openxmlformats.org/officeDocument/2006/relationships" r:blip="">
                      <dgm:adjLst/>
                    </dgm:shape>
                    <dgm:presOf/>
                    <dgm:forEach name="Name26" ref="repeat"/>
                  </dgm:layoutNode>
                </dgm:layoutNode>
              </dgm:forEach>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6" Type="http://schemas.openxmlformats.org/officeDocument/2006/relationships/image" Target="../media/image2.png"/><Relationship Id="rId5" Type="http://schemas.microsoft.com/office/2007/relationships/diagramDrawing" Target="../diagrams/drawing1.xml"/><Relationship Id="rId4" Type="http://schemas.openxmlformats.org/officeDocument/2006/relationships/diagramColors" Target="../diagrams/colors1.xml"/></Relationships>
</file>

<file path=xl/drawings/_rels/drawing3.xml.rels><?xml version="1.0" encoding="UTF-8" standalone="yes"?>
<Relationships xmlns="http://schemas.openxmlformats.org/package/2006/relationships"><Relationship Id="rId3" Type="http://schemas.openxmlformats.org/officeDocument/2006/relationships/diagramQuickStyle" Target="../diagrams/quickStyle2.xml"/><Relationship Id="rId2" Type="http://schemas.openxmlformats.org/officeDocument/2006/relationships/diagramLayout" Target="../diagrams/layout2.xml"/><Relationship Id="rId1" Type="http://schemas.openxmlformats.org/officeDocument/2006/relationships/diagramData" Target="../diagrams/data2.xml"/><Relationship Id="rId6" Type="http://schemas.openxmlformats.org/officeDocument/2006/relationships/image" Target="../media/image2.png"/><Relationship Id="rId5" Type="http://schemas.microsoft.com/office/2007/relationships/diagramDrawing" Target="../diagrams/drawing2.xml"/><Relationship Id="rId4" Type="http://schemas.openxmlformats.org/officeDocument/2006/relationships/diagramColors" Target="../diagrams/colors2.xml"/></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17</xdr:col>
      <xdr:colOff>11430</xdr:colOff>
      <xdr:row>2</xdr:row>
      <xdr:rowOff>112395</xdr:rowOff>
    </xdr:from>
    <xdr:to>
      <xdr:col>22</xdr:col>
      <xdr:colOff>112960</xdr:colOff>
      <xdr:row>19</xdr:row>
      <xdr:rowOff>15660</xdr:rowOff>
    </xdr:to>
    <xdr:pic>
      <xdr:nvPicPr>
        <xdr:cNvPr id="3" name="Imagen 2">
          <a:extLst>
            <a:ext uri="{FF2B5EF4-FFF2-40B4-BE49-F238E27FC236}">
              <a16:creationId xmlns:a16="http://schemas.microsoft.com/office/drawing/2014/main" id="{1E518CBB-F8D8-F52B-A762-9C353AFDD067}"/>
            </a:ext>
          </a:extLst>
        </xdr:cNvPr>
        <xdr:cNvPicPr>
          <a:picLocks noChangeAspect="1"/>
        </xdr:cNvPicPr>
      </xdr:nvPicPr>
      <xdr:blipFill>
        <a:blip xmlns:r="http://schemas.openxmlformats.org/officeDocument/2006/relationships" r:embed="rId1"/>
        <a:stretch>
          <a:fillRect/>
        </a:stretch>
      </xdr:blipFill>
      <xdr:spPr>
        <a:xfrm>
          <a:off x="13451205" y="474345"/>
          <a:ext cx="4054405" cy="29988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21</xdr:row>
      <xdr:rowOff>74543</xdr:rowOff>
    </xdr:from>
    <xdr:to>
      <xdr:col>7</xdr:col>
      <xdr:colOff>136995</xdr:colOff>
      <xdr:row>39</xdr:row>
      <xdr:rowOff>0</xdr:rowOff>
    </xdr:to>
    <xdr:graphicFrame macro="">
      <xdr:nvGraphicFramePr>
        <xdr:cNvPr id="4" name="Diagrama 3">
          <a:extLst>
            <a:ext uri="{FF2B5EF4-FFF2-40B4-BE49-F238E27FC236}">
              <a16:creationId xmlns:a16="http://schemas.microsoft.com/office/drawing/2014/main" id="{F145F10C-068B-4150-84E5-4B93E347F4B5}"/>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editAs="oneCell">
    <xdr:from>
      <xdr:col>14</xdr:col>
      <xdr:colOff>692075</xdr:colOff>
      <xdr:row>16</xdr:row>
      <xdr:rowOff>72838</xdr:rowOff>
    </xdr:from>
    <xdr:to>
      <xdr:col>19</xdr:col>
      <xdr:colOff>226789</xdr:colOff>
      <xdr:row>23</xdr:row>
      <xdr:rowOff>93233</xdr:rowOff>
    </xdr:to>
    <xdr:pic>
      <xdr:nvPicPr>
        <xdr:cNvPr id="5" name="Imagen 4">
          <a:extLst>
            <a:ext uri="{FF2B5EF4-FFF2-40B4-BE49-F238E27FC236}">
              <a16:creationId xmlns:a16="http://schemas.microsoft.com/office/drawing/2014/main" id="{9DE224D1-1CF2-47E8-A11C-12EF13D26B0A}"/>
            </a:ext>
          </a:extLst>
        </xdr:cNvPr>
        <xdr:cNvPicPr>
          <a:picLocks noChangeAspect="1"/>
        </xdr:cNvPicPr>
      </xdr:nvPicPr>
      <xdr:blipFill>
        <a:blip xmlns:r="http://schemas.openxmlformats.org/officeDocument/2006/relationships" r:embed="rId6"/>
        <a:stretch>
          <a:fillRect/>
        </a:stretch>
      </xdr:blipFill>
      <xdr:spPr>
        <a:xfrm>
          <a:off x="11035104" y="3076014"/>
          <a:ext cx="3512804" cy="129428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21</xdr:row>
      <xdr:rowOff>74543</xdr:rowOff>
    </xdr:from>
    <xdr:to>
      <xdr:col>7</xdr:col>
      <xdr:colOff>136995</xdr:colOff>
      <xdr:row>39</xdr:row>
      <xdr:rowOff>0</xdr:rowOff>
    </xdr:to>
    <xdr:graphicFrame macro="">
      <xdr:nvGraphicFramePr>
        <xdr:cNvPr id="2" name="Diagrama 1">
          <a:extLst>
            <a:ext uri="{FF2B5EF4-FFF2-40B4-BE49-F238E27FC236}">
              <a16:creationId xmlns:a16="http://schemas.microsoft.com/office/drawing/2014/main" id="{604E3DFF-D226-4C47-B2FB-90120CF36BA9}"/>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editAs="oneCell">
    <xdr:from>
      <xdr:col>14</xdr:col>
      <xdr:colOff>692075</xdr:colOff>
      <xdr:row>16</xdr:row>
      <xdr:rowOff>72838</xdr:rowOff>
    </xdr:from>
    <xdr:to>
      <xdr:col>19</xdr:col>
      <xdr:colOff>226789</xdr:colOff>
      <xdr:row>23</xdr:row>
      <xdr:rowOff>97043</xdr:rowOff>
    </xdr:to>
    <xdr:pic>
      <xdr:nvPicPr>
        <xdr:cNvPr id="3" name="Imagen 2">
          <a:extLst>
            <a:ext uri="{FF2B5EF4-FFF2-40B4-BE49-F238E27FC236}">
              <a16:creationId xmlns:a16="http://schemas.microsoft.com/office/drawing/2014/main" id="{C202C25E-9B35-42BA-BA35-BE0A65E5E896}"/>
            </a:ext>
          </a:extLst>
        </xdr:cNvPr>
        <xdr:cNvPicPr>
          <a:picLocks noChangeAspect="1"/>
        </xdr:cNvPicPr>
      </xdr:nvPicPr>
      <xdr:blipFill>
        <a:blip xmlns:r="http://schemas.openxmlformats.org/officeDocument/2006/relationships" r:embed="rId6"/>
        <a:stretch>
          <a:fillRect/>
        </a:stretch>
      </xdr:blipFill>
      <xdr:spPr>
        <a:xfrm>
          <a:off x="11436275" y="3090358"/>
          <a:ext cx="3497114" cy="131198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33476</xdr:colOff>
      <xdr:row>0</xdr:row>
      <xdr:rowOff>69762</xdr:rowOff>
    </xdr:from>
    <xdr:to>
      <xdr:col>10</xdr:col>
      <xdr:colOff>386349</xdr:colOff>
      <xdr:row>14</xdr:row>
      <xdr:rowOff>155720</xdr:rowOff>
    </xdr:to>
    <xdr:pic>
      <xdr:nvPicPr>
        <xdr:cNvPr id="3" name="Imagen 2">
          <a:extLst>
            <a:ext uri="{FF2B5EF4-FFF2-40B4-BE49-F238E27FC236}">
              <a16:creationId xmlns:a16="http://schemas.microsoft.com/office/drawing/2014/main" id="{7F60E365-CB60-CE13-FFBC-349D4F92BB4C}"/>
            </a:ext>
          </a:extLst>
        </xdr:cNvPr>
        <xdr:cNvPicPr>
          <a:picLocks noChangeAspect="1"/>
        </xdr:cNvPicPr>
      </xdr:nvPicPr>
      <xdr:blipFill>
        <a:blip xmlns:r="http://schemas.openxmlformats.org/officeDocument/2006/relationships" r:embed="rId1"/>
        <a:stretch>
          <a:fillRect/>
        </a:stretch>
      </xdr:blipFill>
      <xdr:spPr>
        <a:xfrm>
          <a:off x="4009128" y="69762"/>
          <a:ext cx="4633325" cy="269001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98F4C-B21D-4AB7-8F3F-ECA67F3DD5B7}">
  <dimension ref="A1:W69"/>
  <sheetViews>
    <sheetView topLeftCell="A14" zoomScale="85" zoomScaleNormal="85" workbookViewId="0">
      <selection activeCell="C25" sqref="C25"/>
    </sheetView>
  </sheetViews>
  <sheetFormatPr baseColWidth="10" defaultRowHeight="14.4"/>
  <sheetData>
    <row r="1" spans="1:23" ht="14.4" customHeight="1">
      <c r="A1" s="132" t="s">
        <v>99</v>
      </c>
      <c r="B1" s="132"/>
      <c r="C1" s="132"/>
      <c r="D1" s="132"/>
      <c r="E1" s="132"/>
      <c r="F1" s="132"/>
      <c r="G1" s="132"/>
      <c r="H1" s="132"/>
      <c r="I1" s="132"/>
      <c r="J1" s="132"/>
      <c r="K1" s="132"/>
      <c r="L1" s="132"/>
      <c r="M1" s="132"/>
      <c r="N1" s="132"/>
      <c r="O1" s="132"/>
      <c r="P1" s="132"/>
      <c r="Q1" s="132"/>
      <c r="R1" s="132"/>
      <c r="S1" s="132"/>
      <c r="T1" s="132"/>
      <c r="U1" s="132"/>
      <c r="V1" s="132"/>
      <c r="W1" s="31"/>
    </row>
    <row r="2" spans="1:23" ht="14.4" customHeight="1">
      <c r="A2" s="132"/>
      <c r="B2" s="132"/>
      <c r="C2" s="132"/>
      <c r="D2" s="132"/>
      <c r="E2" s="132"/>
      <c r="F2" s="132"/>
      <c r="G2" s="132"/>
      <c r="H2" s="132"/>
      <c r="I2" s="132"/>
      <c r="J2" s="132"/>
      <c r="K2" s="132"/>
      <c r="L2" s="132"/>
      <c r="M2" s="132"/>
      <c r="N2" s="132"/>
      <c r="O2" s="132"/>
      <c r="P2" s="132"/>
      <c r="Q2" s="132"/>
      <c r="R2" s="132"/>
      <c r="S2" s="132"/>
      <c r="T2" s="132"/>
      <c r="U2" s="132"/>
      <c r="V2" s="132"/>
      <c r="W2" s="31"/>
    </row>
    <row r="3" spans="1:23" ht="15.6">
      <c r="A3" s="133" t="s">
        <v>100</v>
      </c>
      <c r="B3" s="133"/>
      <c r="C3" s="133"/>
      <c r="D3" s="133"/>
      <c r="E3" s="133"/>
      <c r="F3" s="133"/>
      <c r="G3" s="133"/>
      <c r="H3" s="133"/>
      <c r="I3" s="133"/>
      <c r="J3" s="133"/>
      <c r="K3" s="133"/>
      <c r="L3" s="133"/>
      <c r="M3" s="133"/>
      <c r="N3" s="133"/>
      <c r="O3" s="133"/>
      <c r="P3" s="133"/>
      <c r="Q3" s="133"/>
      <c r="R3" s="133"/>
      <c r="S3" s="133"/>
      <c r="T3" s="133"/>
      <c r="U3" s="133"/>
      <c r="V3" s="133"/>
    </row>
    <row r="5" spans="1:23" ht="14.4" customHeight="1">
      <c r="A5" s="172" t="s">
        <v>0</v>
      </c>
      <c r="B5" s="135" t="s">
        <v>13</v>
      </c>
      <c r="C5" s="135"/>
      <c r="D5" s="135"/>
      <c r="E5" s="5" t="s">
        <v>17</v>
      </c>
      <c r="F5" s="1">
        <v>2</v>
      </c>
      <c r="G5" s="1" t="s">
        <v>28</v>
      </c>
      <c r="I5" s="138" t="s">
        <v>97</v>
      </c>
      <c r="J5" s="138"/>
      <c r="K5" s="138"/>
      <c r="L5" s="138"/>
      <c r="M5" s="22"/>
      <c r="N5" s="22"/>
      <c r="O5" s="22"/>
      <c r="P5" s="22"/>
      <c r="Q5" s="22"/>
    </row>
    <row r="6" spans="1:23">
      <c r="A6" s="173"/>
      <c r="B6" s="135" t="s">
        <v>14</v>
      </c>
      <c r="C6" s="135"/>
      <c r="D6" s="135"/>
      <c r="E6" s="5" t="s">
        <v>18</v>
      </c>
      <c r="F6" s="1">
        <v>40</v>
      </c>
      <c r="G6" s="1" t="s">
        <v>29</v>
      </c>
      <c r="I6" s="134" t="s">
        <v>42</v>
      </c>
      <c r="J6" s="134"/>
      <c r="K6" s="134"/>
    </row>
    <row r="7" spans="1:23" ht="14.4" customHeight="1">
      <c r="A7" s="173"/>
      <c r="B7" s="135" t="s">
        <v>1</v>
      </c>
      <c r="C7" s="135"/>
      <c r="D7" s="135"/>
      <c r="E7" s="5" t="s">
        <v>19</v>
      </c>
      <c r="F7" s="1">
        <v>2</v>
      </c>
      <c r="G7" s="1" t="s">
        <v>30</v>
      </c>
      <c r="I7" s="134" t="s">
        <v>43</v>
      </c>
      <c r="J7" s="134"/>
      <c r="K7" s="134"/>
      <c r="N7" s="101" t="s">
        <v>51</v>
      </c>
      <c r="O7" s="102"/>
      <c r="P7" s="102"/>
      <c r="Q7" s="103"/>
    </row>
    <row r="8" spans="1:23">
      <c r="A8" s="173"/>
      <c r="B8" s="135" t="s">
        <v>2</v>
      </c>
      <c r="C8" s="135"/>
      <c r="D8" s="135"/>
      <c r="E8" s="5" t="s">
        <v>20</v>
      </c>
      <c r="F8" s="1">
        <v>10</v>
      </c>
      <c r="G8" s="1" t="s">
        <v>31</v>
      </c>
      <c r="I8" s="134" t="s">
        <v>44</v>
      </c>
      <c r="J8" s="134"/>
      <c r="K8" s="134"/>
      <c r="N8" s="104"/>
      <c r="O8" s="105"/>
      <c r="P8" s="105"/>
      <c r="Q8" s="106"/>
    </row>
    <row r="9" spans="1:23">
      <c r="A9" s="173"/>
      <c r="B9" s="136" t="s">
        <v>15</v>
      </c>
      <c r="C9" s="136"/>
      <c r="D9" s="136"/>
      <c r="E9" s="23" t="s">
        <v>21</v>
      </c>
      <c r="F9" s="24">
        <v>48</v>
      </c>
      <c r="G9" s="24" t="s">
        <v>32</v>
      </c>
      <c r="I9" s="134" t="s">
        <v>45</v>
      </c>
      <c r="J9" s="134"/>
      <c r="K9" s="134"/>
      <c r="N9" s="104"/>
      <c r="O9" s="105"/>
      <c r="P9" s="105"/>
      <c r="Q9" s="106"/>
    </row>
    <row r="10" spans="1:23">
      <c r="A10" s="173"/>
      <c r="B10" s="174" t="s">
        <v>16</v>
      </c>
      <c r="C10" s="174"/>
      <c r="D10" s="174"/>
      <c r="E10" s="25" t="s">
        <v>22</v>
      </c>
      <c r="F10" s="26">
        <v>1000</v>
      </c>
      <c r="G10" s="27" t="s">
        <v>32</v>
      </c>
      <c r="I10" s="134" t="s">
        <v>46</v>
      </c>
      <c r="J10" s="134"/>
      <c r="K10" s="134"/>
      <c r="N10" s="104"/>
      <c r="O10" s="105"/>
      <c r="P10" s="105"/>
      <c r="Q10" s="106"/>
    </row>
    <row r="11" spans="1:23">
      <c r="A11" s="173"/>
      <c r="B11" s="137" t="s">
        <v>3</v>
      </c>
      <c r="C11" s="137"/>
      <c r="D11" s="137"/>
      <c r="E11" s="28" t="s">
        <v>23</v>
      </c>
      <c r="F11" s="29">
        <v>325</v>
      </c>
      <c r="G11" s="29" t="s">
        <v>29</v>
      </c>
      <c r="I11" s="134" t="s">
        <v>47</v>
      </c>
      <c r="J11" s="134"/>
      <c r="K11" s="134"/>
      <c r="N11" s="107"/>
      <c r="O11" s="108"/>
      <c r="P11" s="108"/>
      <c r="Q11" s="109"/>
    </row>
    <row r="12" spans="1:23" ht="14.4" customHeight="1">
      <c r="A12" s="173"/>
      <c r="B12" s="135" t="s">
        <v>4</v>
      </c>
      <c r="C12" s="135"/>
      <c r="D12" s="135"/>
      <c r="E12" s="5" t="s">
        <v>24</v>
      </c>
      <c r="F12" s="1">
        <v>2</v>
      </c>
      <c r="G12" s="1" t="s">
        <v>28</v>
      </c>
      <c r="N12" s="92" t="s">
        <v>52</v>
      </c>
      <c r="O12" s="93"/>
      <c r="P12" s="93"/>
      <c r="Q12" s="94"/>
    </row>
    <row r="13" spans="1:23" ht="14.4" customHeight="1">
      <c r="A13" s="173"/>
      <c r="B13" s="135" t="s">
        <v>5</v>
      </c>
      <c r="C13" s="135"/>
      <c r="D13" s="135"/>
      <c r="E13" s="5" t="s">
        <v>66</v>
      </c>
      <c r="F13" s="3">
        <v>1920</v>
      </c>
      <c r="G13" s="1" t="s">
        <v>33</v>
      </c>
      <c r="I13" s="125" t="s">
        <v>101</v>
      </c>
      <c r="J13" s="126"/>
      <c r="K13" s="127"/>
      <c r="L13" s="32">
        <f>((F11*F12*F13)/(1+F18))+((F11*F12*F13)/(1+F18)^2)+((F11*F12*F13)/(1+F18)^3)+((F11*F12*F13)/(1+F18)^4)+((F11*F12*F13)/(1+F18)^5)+((F11*F12*F13)/(1+F18)^6)+((F11*F12*F13)/(1+F18)^7)+((F11*F12*F13)/(1+F18)^8)+((F11*F12*F13)/(1+F18)^9)+((F11*F12*F13)/(1+F18)^10)+((F11*F12*F13)/(1+F18)^11)+((F11*F12*F13)/(1+F18)^12)+((F11*F12*F13)/(1+F18)^13)+((F11*F12*F13)/(1+F18)^14)+((F11*F12*F13)/(1+F18)^15)</f>
        <v>12953813.231649376</v>
      </c>
      <c r="N13" s="95"/>
      <c r="O13" s="96"/>
      <c r="P13" s="96"/>
      <c r="Q13" s="97"/>
    </row>
    <row r="14" spans="1:23" ht="14.4" customHeight="1">
      <c r="A14" s="173"/>
      <c r="B14" s="135" t="s">
        <v>6</v>
      </c>
      <c r="C14" s="135"/>
      <c r="D14" s="135"/>
      <c r="E14" s="5" t="s">
        <v>25</v>
      </c>
      <c r="F14" s="1">
        <v>0.5</v>
      </c>
      <c r="G14" s="1"/>
      <c r="I14" s="128"/>
      <c r="J14" s="129"/>
      <c r="K14" s="130"/>
      <c r="N14" s="95"/>
      <c r="O14" s="96"/>
      <c r="P14" s="96"/>
      <c r="Q14" s="97"/>
    </row>
    <row r="15" spans="1:23">
      <c r="A15" s="173"/>
      <c r="B15" s="135" t="s">
        <v>7</v>
      </c>
      <c r="C15" s="135"/>
      <c r="D15" s="135"/>
      <c r="E15" s="6" t="s">
        <v>26</v>
      </c>
      <c r="F15" s="1">
        <f>1-F14</f>
        <v>0.5</v>
      </c>
      <c r="G15" s="1"/>
      <c r="H15" s="38">
        <f>(F16*F7*F19)/(1+F18)</f>
        <v>1266666.6666666665</v>
      </c>
      <c r="I15" s="131" t="s">
        <v>102</v>
      </c>
      <c r="J15" s="131"/>
      <c r="K15" s="131"/>
      <c r="L15" s="1">
        <f>0</f>
        <v>0</v>
      </c>
      <c r="N15" s="98"/>
      <c r="O15" s="99"/>
      <c r="P15" s="99"/>
      <c r="Q15" s="100"/>
    </row>
    <row r="16" spans="1:23" ht="14.4" customHeight="1">
      <c r="A16" s="173"/>
      <c r="B16" s="135" t="s">
        <v>8</v>
      </c>
      <c r="C16" s="135"/>
      <c r="D16" s="135"/>
      <c r="E16" s="5" t="s">
        <v>27</v>
      </c>
      <c r="F16" s="3">
        <v>700000</v>
      </c>
      <c r="G16" s="1" t="s">
        <v>31</v>
      </c>
      <c r="I16" s="113" t="s">
        <v>55</v>
      </c>
      <c r="J16" s="114"/>
      <c r="K16" s="115"/>
      <c r="L16" s="30">
        <f>L13*F14</f>
        <v>6476906.6158246882</v>
      </c>
      <c r="N16" s="83" t="s">
        <v>53</v>
      </c>
      <c r="O16" s="84"/>
      <c r="P16" s="84"/>
      <c r="Q16" s="85"/>
    </row>
    <row r="17" spans="1:17">
      <c r="A17" s="173"/>
      <c r="B17" s="135" t="s">
        <v>9</v>
      </c>
      <c r="C17" s="135"/>
      <c r="D17" s="135"/>
      <c r="E17" s="4" t="s">
        <v>61</v>
      </c>
      <c r="F17" s="1">
        <v>10</v>
      </c>
      <c r="G17" s="1" t="s">
        <v>34</v>
      </c>
      <c r="I17" s="113" t="s">
        <v>95</v>
      </c>
      <c r="J17" s="114"/>
      <c r="K17" s="115"/>
      <c r="L17" s="30">
        <f>(((F10*F7*F17)+(F9*F7)+(F5*F6*F13)+(F7*F8))/(1+F18))+(((F10*F7*F17)+(F9*F7)+(F5*F6*F13)+(F7*F8))/(1+F18)^2)+(((F10*F7*F17)+(F9*F7)+(F5*F6*F13)+(F7*F8))/(1+F18)^3)+(((F10*F7*F17)+(F9*F7)+(F5*F6*F13)+(F7*F8))/(1+F18)^4)+(((F10*F7*F17)+(F9*F7)+(F5*F6*F13)+(F7*F8))/(1+F18)^5)+(((F10*F7*F17)+(F9*F7)+(F5*F6*F13)+(F7*F8))/(1+F18)^6)+(((F10*F7*F17)+(F9*F7)+(F5*F6*F13)+(F7*F8))/(1+F18)^7)+(((F10*F7*F17)+(F9*F7)+(F5*F6*F13)+(F7*F8))/(1+F18)^8)+(((F10*F7*F17)+(F9*F7)+(F5*F6*F13)+(F7*F8))/(1+F18)^9)+(((F10*F7*F17)+(F9*F7)+(F5*F6*F13)+(F7*F8))/(1+F18)^10)+(((F10*F7*F17)+(F9*F7)+(F5*F6*F13)+(F7*F8))/(1+F18)^11)+(((F10*F7*F17)+(F9*F7)+(F5*F6*F13)+(F7*F8))/(1+F18)^12)+(((F10*F7*F17)+(F9*F7)+(F5*F6*F13)+(F7*F8))/(1+F18)^13)+(((F10*F7*F17)+(F9*F7)+(F5*F6*F13)+(F7*F8))/(1+F18)^14)+(((F10*F7*F17)+(F9*F7)+(F5*F6*F13)+(F7*F8))/(1+F18)^15)</f>
        <v>1803112.6757605795</v>
      </c>
      <c r="N17" s="86"/>
      <c r="O17" s="87"/>
      <c r="P17" s="87"/>
      <c r="Q17" s="88"/>
    </row>
    <row r="18" spans="1:17">
      <c r="A18" s="173"/>
      <c r="B18" s="135" t="s">
        <v>10</v>
      </c>
      <c r="C18" s="135"/>
      <c r="D18" s="135"/>
      <c r="E18" s="4" t="s">
        <v>60</v>
      </c>
      <c r="F18" s="1">
        <f>5/100</f>
        <v>0.05</v>
      </c>
      <c r="G18" s="1"/>
      <c r="I18" s="110" t="s">
        <v>98</v>
      </c>
      <c r="J18" s="111"/>
      <c r="K18" s="112"/>
      <c r="L18" s="30">
        <f>(((F10*F7*F17)+(F9*F7)+(F7*F8))/(1+F18))+(((F10*F7*F17)+(F9*F7)+(F7*F8))/(1+F18)^2)+(((F10*F7*F17)+(F9*F7)+(F7*F8))/(1+F18)^3)+(((F10*F7*F17)+(F9*F7)+(F7*F8))/(1+F18)^4)+(((F10*F7*F17)+(F9*F7)+(F7*F8))/(1+F18)^5)+(((F10*F7*F17)+(F9*F7)+(F7*F8))/(1+F18)^6)+(((F10*F7*F17)+(F9*F7)+(F7*F8))/(1+F18)^7)+(((F10*F7*F17)+(F9*F7)+(F7*F8))/(1+F18)^8)+(((F10*F7*F17)+(F9*F7)+(F7*F8))/(1+F18)^9)+(((F10*F7*F17)+(F9*F7)+(F7*F8))/(1+F18)^10)+(((F10*F7*F17)+(F9*F7)+(F7*F8))/(1+F18)^11)+(((F10*F7*F17)+(F9*F7)+(F7*F8))/(1+F18)^12)+(((F10*F7*F17)+(F9*F7)+(F7*F8))/(1+F18)^13)+(((F10*F7*F17)+(F9*F7)+(F7*F8))/(1+F18)^14)+(((F10*F7*F17)+(F9*F7)+(F7*F8))/(1+F18)^15)</f>
        <v>208797.20109604084</v>
      </c>
      <c r="N18" s="86"/>
      <c r="O18" s="87"/>
      <c r="P18" s="87"/>
      <c r="Q18" s="88"/>
    </row>
    <row r="19" spans="1:17">
      <c r="A19" s="173"/>
      <c r="B19" s="135" t="s">
        <v>11</v>
      </c>
      <c r="C19" s="135"/>
      <c r="D19" s="135"/>
      <c r="E19" s="4" t="s">
        <v>62</v>
      </c>
      <c r="F19" s="1">
        <f>95/100</f>
        <v>0.95</v>
      </c>
      <c r="G19" s="1"/>
      <c r="I19" s="113" t="s">
        <v>54</v>
      </c>
      <c r="J19" s="114"/>
      <c r="K19" s="115"/>
      <c r="L19" s="30">
        <f>F14*L17+F15*L18</f>
        <v>1005954.9384283102</v>
      </c>
      <c r="N19" s="89"/>
      <c r="O19" s="90"/>
      <c r="P19" s="90"/>
      <c r="Q19" s="91"/>
    </row>
    <row r="20" spans="1:17">
      <c r="A20" s="173"/>
      <c r="B20" s="135" t="s">
        <v>12</v>
      </c>
      <c r="C20" s="135"/>
      <c r="D20" s="135"/>
      <c r="E20" s="4" t="s">
        <v>63</v>
      </c>
      <c r="F20" s="1">
        <f>7/100</f>
        <v>7.0000000000000007E-2</v>
      </c>
      <c r="G20" s="1"/>
      <c r="I20" s="142" t="s">
        <v>96</v>
      </c>
      <c r="J20" s="143"/>
      <c r="K20" s="143"/>
      <c r="L20" s="144"/>
    </row>
    <row r="22" spans="1:17" ht="15" thickBot="1"/>
    <row r="23" spans="1:17">
      <c r="A23" s="168" t="s">
        <v>35</v>
      </c>
      <c r="B23" s="168"/>
      <c r="C23" s="168"/>
      <c r="D23" s="168"/>
      <c r="E23" s="168"/>
      <c r="F23" s="168"/>
      <c r="H23" s="123" t="s">
        <v>74</v>
      </c>
      <c r="I23" s="124"/>
      <c r="J23" s="124"/>
      <c r="K23" s="124"/>
      <c r="L23" s="124"/>
      <c r="M23" s="124"/>
      <c r="N23" s="139" t="s">
        <v>108</v>
      </c>
    </row>
    <row r="24" spans="1:17" ht="14.4" customHeight="1">
      <c r="A24" s="2" t="s">
        <v>36</v>
      </c>
      <c r="B24" s="2" t="s">
        <v>37</v>
      </c>
      <c r="C24" s="2" t="s">
        <v>38</v>
      </c>
      <c r="D24" s="2" t="s">
        <v>39</v>
      </c>
      <c r="E24" s="2" t="s">
        <v>40</v>
      </c>
      <c r="F24" s="2" t="s">
        <v>41</v>
      </c>
      <c r="H24" s="165" t="s">
        <v>76</v>
      </c>
      <c r="I24" s="165"/>
      <c r="J24" s="165"/>
      <c r="K24" s="165"/>
      <c r="L24" s="165"/>
      <c r="M24" s="166"/>
      <c r="N24" s="140"/>
    </row>
    <row r="25" spans="1:17" ht="14.4" customHeight="1">
      <c r="A25" s="3">
        <f>(F5*F6*F13)+(F7*F8)+(F9*F7)+(F10*F17*F7)</f>
        <v>173716</v>
      </c>
      <c r="B25" s="3">
        <f>F16*F7</f>
        <v>1400000</v>
      </c>
      <c r="C25" s="3">
        <f>F11*F12*F13</f>
        <v>1248000</v>
      </c>
      <c r="D25" s="3">
        <f>(F7*F8)+(F9*F7)+(F10*F17*F7)</f>
        <v>20116</v>
      </c>
      <c r="E25" s="3">
        <f>F16*F7</f>
        <v>1400000</v>
      </c>
      <c r="F25" s="3">
        <v>0</v>
      </c>
      <c r="H25" s="116" t="s">
        <v>75</v>
      </c>
      <c r="I25" s="117"/>
      <c r="J25" s="117"/>
      <c r="K25" s="117"/>
      <c r="L25" s="117"/>
      <c r="M25" s="117"/>
      <c r="N25" s="140"/>
    </row>
    <row r="26" spans="1:17">
      <c r="A26" s="13"/>
      <c r="F26" s="14"/>
      <c r="H26" s="118"/>
      <c r="I26" s="119"/>
      <c r="J26" s="119"/>
      <c r="K26" s="119"/>
      <c r="L26" s="119"/>
      <c r="M26" s="119"/>
      <c r="N26" s="140"/>
    </row>
    <row r="27" spans="1:17" ht="14.4" customHeight="1">
      <c r="A27" s="1" t="s">
        <v>48</v>
      </c>
      <c r="B27" s="1" t="s">
        <v>49</v>
      </c>
      <c r="C27" s="1" t="s">
        <v>50</v>
      </c>
      <c r="F27" s="14"/>
      <c r="H27" s="123" t="s">
        <v>77</v>
      </c>
      <c r="I27" s="124"/>
      <c r="J27" s="124"/>
      <c r="K27" s="124"/>
      <c r="L27" s="124"/>
      <c r="M27" s="124"/>
      <c r="N27" s="140"/>
    </row>
    <row r="28" spans="1:17">
      <c r="A28" s="3">
        <f>F14*A25+F15*D25</f>
        <v>96916</v>
      </c>
      <c r="B28" s="3">
        <f>F14*B25+F15*E25</f>
        <v>1400000</v>
      </c>
      <c r="C28" s="3">
        <f>F14*C25+F15*F25</f>
        <v>624000</v>
      </c>
      <c r="F28" s="14"/>
      <c r="H28" s="18" t="s">
        <v>79</v>
      </c>
      <c r="I28" s="120" t="s">
        <v>84</v>
      </c>
      <c r="J28" s="121"/>
      <c r="K28" s="121"/>
      <c r="L28" s="122"/>
      <c r="M28" s="33">
        <f>-(F14*(MAX(F16*F7*F19-L13,0))+F15*(MAX(F16*F7*F19,0)))</f>
        <v>-665000</v>
      </c>
      <c r="N28" s="140"/>
    </row>
    <row r="29" spans="1:17">
      <c r="A29" s="8" t="s">
        <v>56</v>
      </c>
      <c r="B29" s="15"/>
      <c r="C29" s="15"/>
      <c r="D29" s="15"/>
      <c r="E29" s="15"/>
      <c r="F29" s="9"/>
      <c r="H29" s="7" t="s">
        <v>80</v>
      </c>
      <c r="I29" s="120" t="s">
        <v>83</v>
      </c>
      <c r="J29" s="121"/>
      <c r="K29" s="121"/>
      <c r="L29" s="122"/>
      <c r="M29" s="33">
        <f>L17</f>
        <v>1803112.6757605795</v>
      </c>
      <c r="N29" s="140"/>
    </row>
    <row r="30" spans="1:17">
      <c r="A30" s="8" t="s">
        <v>57</v>
      </c>
      <c r="B30" s="15"/>
      <c r="C30" s="15"/>
      <c r="D30" s="15"/>
      <c r="E30" s="15"/>
      <c r="F30" s="9"/>
      <c r="H30" s="160" t="s">
        <v>81</v>
      </c>
      <c r="I30" s="161"/>
      <c r="J30" s="120" t="s">
        <v>82</v>
      </c>
      <c r="K30" s="121"/>
      <c r="L30" s="122"/>
      <c r="M30" s="33">
        <f>M28+M29</f>
        <v>1138112.6757605795</v>
      </c>
      <c r="N30" s="140"/>
    </row>
    <row r="31" spans="1:17">
      <c r="A31" s="10" t="s">
        <v>58</v>
      </c>
      <c r="B31" s="11"/>
      <c r="C31" s="11"/>
      <c r="D31" s="11"/>
      <c r="E31" s="11"/>
      <c r="F31" s="12"/>
      <c r="H31" s="123" t="s">
        <v>78</v>
      </c>
      <c r="I31" s="124"/>
      <c r="J31" s="124"/>
      <c r="K31" s="124"/>
      <c r="L31" s="124"/>
      <c r="M31" s="124"/>
      <c r="N31" s="140"/>
    </row>
    <row r="32" spans="1:17">
      <c r="H32" s="162" t="s">
        <v>85</v>
      </c>
      <c r="I32" s="163"/>
      <c r="J32" s="163"/>
      <c r="K32" s="163"/>
      <c r="L32" s="164"/>
      <c r="M32" s="33">
        <f>F14*MIN((F16*F7)+(F11*F12*F13)*(1+F20),L13)</f>
        <v>1367680</v>
      </c>
      <c r="N32" s="140"/>
    </row>
    <row r="33" spans="1:14">
      <c r="A33" s="169" t="s">
        <v>59</v>
      </c>
      <c r="B33" s="170"/>
      <c r="C33" s="170"/>
      <c r="D33" s="170"/>
      <c r="E33" s="170"/>
      <c r="F33" s="171"/>
      <c r="H33" s="19" t="s">
        <v>86</v>
      </c>
      <c r="I33" s="20"/>
      <c r="J33" s="20"/>
      <c r="K33" s="20"/>
      <c r="L33" s="20"/>
      <c r="M33" s="34"/>
      <c r="N33" s="140"/>
    </row>
    <row r="34" spans="1:14" ht="14.4" customHeight="1">
      <c r="A34" s="3" t="s">
        <v>67</v>
      </c>
      <c r="B34" s="120" t="s">
        <v>64</v>
      </c>
      <c r="C34" s="121"/>
      <c r="D34" s="122"/>
      <c r="E34" s="3">
        <f>(F11*F12*F13)+(F10*F7*F17)/(1+F18)</f>
        <v>1267047.6190476189</v>
      </c>
      <c r="F34" s="16"/>
      <c r="H34" s="150" t="s">
        <v>87</v>
      </c>
      <c r="I34" s="151"/>
      <c r="J34" s="152" t="s">
        <v>89</v>
      </c>
      <c r="K34" s="153"/>
      <c r="L34" s="154"/>
      <c r="M34" s="33">
        <f>(F14*MIN(M28:M30)+F15*MIN(M28:M30))/(1+F18)</f>
        <v>-633333.33333333326</v>
      </c>
      <c r="N34" s="140"/>
    </row>
    <row r="35" spans="1:14">
      <c r="A35" s="1" t="s">
        <v>68</v>
      </c>
      <c r="B35" s="120" t="s">
        <v>65</v>
      </c>
      <c r="C35" s="121"/>
      <c r="D35" s="122"/>
      <c r="E35" s="3">
        <f>(F11*F12*F13)+(F16*F7)/(1+F18)</f>
        <v>2581333.333333333</v>
      </c>
      <c r="F35" s="16"/>
      <c r="H35" s="13"/>
      <c r="J35" s="155"/>
      <c r="K35" s="156"/>
      <c r="L35" s="157"/>
      <c r="M35" s="35"/>
      <c r="N35" s="140"/>
    </row>
    <row r="36" spans="1:14">
      <c r="A36" s="13"/>
      <c r="F36" s="14"/>
      <c r="H36" s="148" t="s">
        <v>88</v>
      </c>
      <c r="I36" s="149"/>
      <c r="J36" s="120" t="s">
        <v>90</v>
      </c>
      <c r="K36" s="121"/>
      <c r="L36" s="122"/>
      <c r="M36" s="33">
        <f>M32/(1+F18)</f>
        <v>1302552.3809523808</v>
      </c>
      <c r="N36" s="140"/>
    </row>
    <row r="37" spans="1:14">
      <c r="A37" s="2" t="s">
        <v>103</v>
      </c>
      <c r="B37" s="167" t="s">
        <v>69</v>
      </c>
      <c r="C37" s="167"/>
      <c r="D37" s="167"/>
      <c r="E37" s="3">
        <f>C28+E34</f>
        <v>1891047.6190476189</v>
      </c>
      <c r="F37" s="14"/>
      <c r="H37" s="13"/>
      <c r="M37" s="36"/>
      <c r="N37" s="140"/>
    </row>
    <row r="38" spans="1:14">
      <c r="A38" s="2" t="s">
        <v>104</v>
      </c>
      <c r="B38" s="167" t="s">
        <v>70</v>
      </c>
      <c r="C38" s="167"/>
      <c r="D38" s="167"/>
      <c r="E38" s="3">
        <f>C28+E35</f>
        <v>3205333.333333333</v>
      </c>
      <c r="F38" s="17"/>
      <c r="H38" s="148" t="s">
        <v>91</v>
      </c>
      <c r="I38" s="151"/>
      <c r="J38" s="151"/>
      <c r="K38" s="151"/>
      <c r="L38" s="149"/>
      <c r="M38" s="33">
        <f>MIN(F16*F7+M34,M36)</f>
        <v>766666.66666666674</v>
      </c>
      <c r="N38" s="140"/>
    </row>
    <row r="39" spans="1:14">
      <c r="A39" s="168" t="s">
        <v>71</v>
      </c>
      <c r="B39" s="168"/>
      <c r="C39" s="168"/>
      <c r="D39" s="168"/>
      <c r="E39" s="168"/>
      <c r="F39" s="168"/>
      <c r="N39" s="140"/>
    </row>
    <row r="40" spans="1:14">
      <c r="A40" s="167" t="s">
        <v>105</v>
      </c>
      <c r="B40" s="167"/>
      <c r="C40" s="167" t="s">
        <v>72</v>
      </c>
      <c r="D40" s="167"/>
      <c r="E40" s="167"/>
      <c r="F40" s="3">
        <f>-((F16*F7)-(F16*F7*F19)/(1+F18))</f>
        <v>-133333.33333333349</v>
      </c>
      <c r="H40" s="158" t="s">
        <v>92</v>
      </c>
      <c r="I40" s="159"/>
      <c r="J40" s="159"/>
      <c r="K40" s="159"/>
      <c r="L40" s="159"/>
      <c r="M40" s="159"/>
      <c r="N40" s="140"/>
    </row>
    <row r="41" spans="1:14" ht="14.4" customHeight="1">
      <c r="A41" s="13"/>
      <c r="F41" s="21"/>
      <c r="H41" s="120" t="s">
        <v>93</v>
      </c>
      <c r="I41" s="121"/>
      <c r="J41" s="121"/>
      <c r="K41" s="121"/>
      <c r="L41" s="121"/>
      <c r="M41" s="121"/>
      <c r="N41" s="140"/>
    </row>
    <row r="42" spans="1:14" ht="15" thickBot="1">
      <c r="A42" s="167" t="s">
        <v>106</v>
      </c>
      <c r="B42" s="167"/>
      <c r="C42" s="167" t="s">
        <v>73</v>
      </c>
      <c r="D42" s="167"/>
      <c r="E42" s="167"/>
      <c r="F42" s="3">
        <f>B28+F40</f>
        <v>1266666.6666666665</v>
      </c>
      <c r="H42" s="145" t="s">
        <v>94</v>
      </c>
      <c r="I42" s="146"/>
      <c r="J42" s="146"/>
      <c r="K42" s="146"/>
      <c r="L42" s="147"/>
      <c r="M42" s="33">
        <f>F14*L17+F15*L18</f>
        <v>1005954.9384283102</v>
      </c>
      <c r="N42" s="141"/>
    </row>
    <row r="46" spans="1:14" ht="14.4" customHeight="1"/>
    <row r="47" spans="1:14" ht="14.4" customHeight="1"/>
    <row r="48" spans="1:14" ht="14.4" customHeight="1"/>
    <row r="49" spans="9:13" ht="14.4" customHeight="1"/>
    <row r="50" spans="9:13">
      <c r="I50" s="22"/>
      <c r="J50" s="22"/>
      <c r="K50" s="22"/>
    </row>
    <row r="52" spans="9:13">
      <c r="I52" s="42"/>
      <c r="J52" s="42"/>
      <c r="K52" s="42"/>
    </row>
    <row r="61" spans="9:13" ht="14.4" customHeight="1"/>
    <row r="64" spans="9:13" ht="14.4" customHeight="1">
      <c r="I64" s="60"/>
      <c r="J64" s="60"/>
      <c r="K64" s="60"/>
      <c r="L64" s="60"/>
      <c r="M64" s="60"/>
    </row>
    <row r="65" spans="9:13">
      <c r="I65" s="60"/>
      <c r="J65" s="60"/>
      <c r="K65" s="60"/>
      <c r="L65" s="60"/>
      <c r="M65" s="60"/>
    </row>
    <row r="66" spans="9:13">
      <c r="I66" s="60"/>
      <c r="J66" s="60"/>
      <c r="K66" s="60"/>
      <c r="L66" s="60"/>
      <c r="M66" s="60"/>
    </row>
    <row r="69" spans="9:13" ht="14.4" customHeight="1"/>
  </sheetData>
  <mergeCells count="66">
    <mergeCell ref="A33:F33"/>
    <mergeCell ref="B34:D34"/>
    <mergeCell ref="B35:D35"/>
    <mergeCell ref="B12:D12"/>
    <mergeCell ref="B13:D13"/>
    <mergeCell ref="B20:D20"/>
    <mergeCell ref="A23:F23"/>
    <mergeCell ref="B14:D14"/>
    <mergeCell ref="B15:D15"/>
    <mergeCell ref="B16:D16"/>
    <mergeCell ref="B17:D17"/>
    <mergeCell ref="B18:D18"/>
    <mergeCell ref="B19:D19"/>
    <mergeCell ref="A5:A20"/>
    <mergeCell ref="B5:D5"/>
    <mergeCell ref="B10:D10"/>
    <mergeCell ref="A42:B42"/>
    <mergeCell ref="C42:E42"/>
    <mergeCell ref="B37:D37"/>
    <mergeCell ref="B38:D38"/>
    <mergeCell ref="A39:F39"/>
    <mergeCell ref="A40:B40"/>
    <mergeCell ref="C40:E40"/>
    <mergeCell ref="N23:N42"/>
    <mergeCell ref="I20:L20"/>
    <mergeCell ref="H42:L42"/>
    <mergeCell ref="H36:I36"/>
    <mergeCell ref="H34:I34"/>
    <mergeCell ref="J34:L35"/>
    <mergeCell ref="J36:L36"/>
    <mergeCell ref="H38:L38"/>
    <mergeCell ref="H40:M40"/>
    <mergeCell ref="H41:M41"/>
    <mergeCell ref="H30:I30"/>
    <mergeCell ref="J30:L30"/>
    <mergeCell ref="H27:M27"/>
    <mergeCell ref="H32:L32"/>
    <mergeCell ref="H23:M23"/>
    <mergeCell ref="H24:M24"/>
    <mergeCell ref="A1:V2"/>
    <mergeCell ref="A3:V3"/>
    <mergeCell ref="I10:K10"/>
    <mergeCell ref="I11:K11"/>
    <mergeCell ref="I6:K6"/>
    <mergeCell ref="I7:K7"/>
    <mergeCell ref="I8:K8"/>
    <mergeCell ref="I9:K9"/>
    <mergeCell ref="B6:D6"/>
    <mergeCell ref="B7:D7"/>
    <mergeCell ref="B8:D8"/>
    <mergeCell ref="B9:D9"/>
    <mergeCell ref="B11:D11"/>
    <mergeCell ref="I5:L5"/>
    <mergeCell ref="H25:M26"/>
    <mergeCell ref="I29:L29"/>
    <mergeCell ref="H31:M31"/>
    <mergeCell ref="I28:L28"/>
    <mergeCell ref="I13:K14"/>
    <mergeCell ref="I15:K15"/>
    <mergeCell ref="N16:Q19"/>
    <mergeCell ref="N12:Q15"/>
    <mergeCell ref="N7:Q11"/>
    <mergeCell ref="I18:K18"/>
    <mergeCell ref="I19:K19"/>
    <mergeCell ref="I16:K16"/>
    <mergeCell ref="I17:K17"/>
  </mergeCells>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E29A2-C471-4FB9-A5AA-E55FB1F5D0BD}">
  <dimension ref="A1:AW72"/>
  <sheetViews>
    <sheetView topLeftCell="C44" zoomScale="80" zoomScaleNormal="80" workbookViewId="0">
      <selection activeCell="I72" sqref="I72:X84"/>
    </sheetView>
  </sheetViews>
  <sheetFormatPr baseColWidth="10" defaultRowHeight="14.4"/>
  <cols>
    <col min="1" max="1" width="6.44140625" customWidth="1"/>
  </cols>
  <sheetData>
    <row r="1" spans="1:49" ht="14.4" customHeight="1">
      <c r="A1" s="222" t="s">
        <v>136</v>
      </c>
      <c r="B1" s="223"/>
      <c r="C1" s="223"/>
      <c r="D1" s="223"/>
      <c r="E1" s="223"/>
      <c r="F1" s="223"/>
      <c r="G1" s="223"/>
      <c r="H1" s="223"/>
      <c r="I1" s="223"/>
      <c r="J1" s="223"/>
      <c r="K1" s="223"/>
      <c r="L1" s="223"/>
      <c r="M1" s="223"/>
      <c r="N1" s="223"/>
      <c r="O1" s="224"/>
      <c r="U1" s="213" t="s">
        <v>137</v>
      </c>
      <c r="V1" s="214"/>
      <c r="W1" s="214"/>
      <c r="X1" s="214"/>
      <c r="Y1" s="214"/>
      <c r="Z1" s="214"/>
      <c r="AA1" s="214"/>
      <c r="AB1" s="213" t="s">
        <v>139</v>
      </c>
      <c r="AC1" s="214"/>
      <c r="AD1" s="214"/>
      <c r="AE1" s="214"/>
      <c r="AF1" s="214"/>
      <c r="AG1" s="214"/>
      <c r="AH1" s="214"/>
      <c r="AI1" s="214"/>
      <c r="AJ1" s="214"/>
      <c r="AK1" s="214"/>
      <c r="AL1" s="214"/>
      <c r="AM1" s="214"/>
      <c r="AN1" s="214"/>
      <c r="AO1" s="214"/>
      <c r="AP1" s="214"/>
      <c r="AQ1" s="214"/>
      <c r="AR1" s="214"/>
      <c r="AS1" s="214"/>
      <c r="AT1" s="214"/>
      <c r="AU1" s="214"/>
      <c r="AV1" s="214"/>
      <c r="AW1" s="238"/>
    </row>
    <row r="2" spans="1:49">
      <c r="A2" s="225"/>
      <c r="B2" s="226"/>
      <c r="C2" s="226"/>
      <c r="D2" s="226"/>
      <c r="E2" s="226"/>
      <c r="F2" s="226"/>
      <c r="G2" s="226"/>
      <c r="H2" s="226"/>
      <c r="I2" s="226"/>
      <c r="J2" s="226"/>
      <c r="K2" s="226"/>
      <c r="L2" s="226"/>
      <c r="M2" s="226"/>
      <c r="N2" s="226"/>
      <c r="O2" s="227"/>
      <c r="U2" s="215"/>
      <c r="V2" s="216"/>
      <c r="W2" s="216"/>
      <c r="X2" s="216"/>
      <c r="Y2" s="216"/>
      <c r="Z2" s="216"/>
      <c r="AA2" s="216"/>
      <c r="AB2" s="215"/>
      <c r="AC2" s="216"/>
      <c r="AD2" s="216"/>
      <c r="AE2" s="216"/>
      <c r="AF2" s="216"/>
      <c r="AG2" s="216"/>
      <c r="AH2" s="216"/>
      <c r="AI2" s="216"/>
      <c r="AJ2" s="216"/>
      <c r="AK2" s="216"/>
      <c r="AL2" s="216"/>
      <c r="AM2" s="216"/>
      <c r="AN2" s="216"/>
      <c r="AO2" s="216"/>
      <c r="AP2" s="216"/>
      <c r="AQ2" s="216"/>
      <c r="AR2" s="216"/>
      <c r="AS2" s="216"/>
      <c r="AT2" s="216"/>
      <c r="AU2" s="216"/>
      <c r="AV2" s="216"/>
      <c r="AW2" s="239"/>
    </row>
    <row r="3" spans="1:49" ht="15" thickBot="1">
      <c r="A3" s="228"/>
      <c r="B3" s="229"/>
      <c r="C3" s="229"/>
      <c r="D3" s="229"/>
      <c r="E3" s="229"/>
      <c r="F3" s="229"/>
      <c r="G3" s="229"/>
      <c r="H3" s="229"/>
      <c r="I3" s="229"/>
      <c r="J3" s="230"/>
      <c r="K3" s="230"/>
      <c r="L3" s="230"/>
      <c r="M3" s="230"/>
      <c r="N3" s="230"/>
      <c r="O3" s="231"/>
      <c r="U3" s="215"/>
      <c r="V3" s="216"/>
      <c r="W3" s="216"/>
      <c r="X3" s="216"/>
      <c r="Y3" s="216"/>
      <c r="Z3" s="216"/>
      <c r="AA3" s="216"/>
      <c r="AB3" s="215"/>
      <c r="AC3" s="216"/>
      <c r="AD3" s="216"/>
      <c r="AE3" s="216"/>
      <c r="AF3" s="216"/>
      <c r="AG3" s="216"/>
      <c r="AH3" s="216"/>
      <c r="AI3" s="216"/>
      <c r="AJ3" s="216"/>
      <c r="AK3" s="216"/>
      <c r="AL3" s="216"/>
      <c r="AM3" s="216"/>
      <c r="AN3" s="216"/>
      <c r="AO3" s="216"/>
      <c r="AP3" s="216"/>
      <c r="AQ3" s="216"/>
      <c r="AR3" s="216"/>
      <c r="AS3" s="216"/>
      <c r="AT3" s="216"/>
      <c r="AU3" s="216"/>
      <c r="AV3" s="216"/>
      <c r="AW3" s="239"/>
    </row>
    <row r="4" spans="1:49" ht="15" thickBot="1">
      <c r="J4" s="64"/>
      <c r="K4" s="65" t="s">
        <v>109</v>
      </c>
      <c r="L4" s="66"/>
      <c r="M4" s="66"/>
      <c r="N4" s="67" t="s">
        <v>29</v>
      </c>
      <c r="U4" s="215"/>
      <c r="V4" s="216"/>
      <c r="W4" s="216"/>
      <c r="X4" s="216"/>
      <c r="Y4" s="216"/>
      <c r="Z4" s="216"/>
      <c r="AA4" s="216"/>
      <c r="AB4" s="215"/>
      <c r="AC4" s="216"/>
      <c r="AD4" s="216"/>
      <c r="AE4" s="216"/>
      <c r="AF4" s="216"/>
      <c r="AG4" s="216"/>
      <c r="AH4" s="216"/>
      <c r="AI4" s="216"/>
      <c r="AJ4" s="216"/>
      <c r="AK4" s="216"/>
      <c r="AL4" s="216"/>
      <c r="AM4" s="216"/>
      <c r="AN4" s="216"/>
      <c r="AO4" s="216"/>
      <c r="AP4" s="216"/>
      <c r="AQ4" s="216"/>
      <c r="AR4" s="216"/>
      <c r="AS4" s="216"/>
      <c r="AT4" s="216"/>
      <c r="AU4" s="216"/>
      <c r="AV4" s="216"/>
      <c r="AW4" s="239"/>
    </row>
    <row r="5" spans="1:49" ht="15" thickBot="1">
      <c r="A5" s="232" t="s">
        <v>0</v>
      </c>
      <c r="B5" s="235" t="s">
        <v>13</v>
      </c>
      <c r="C5" s="135"/>
      <c r="D5" s="135"/>
      <c r="E5" s="5" t="s">
        <v>17</v>
      </c>
      <c r="F5" s="1">
        <v>2</v>
      </c>
      <c r="G5" s="1" t="s">
        <v>28</v>
      </c>
      <c r="H5" s="36"/>
      <c r="J5" s="61">
        <v>2006</v>
      </c>
      <c r="K5" s="50">
        <v>27.7836</v>
      </c>
      <c r="L5" s="61"/>
      <c r="M5" s="62"/>
      <c r="N5" s="63"/>
      <c r="P5" s="138" t="s">
        <v>97</v>
      </c>
      <c r="Q5" s="138"/>
      <c r="R5" s="138"/>
      <c r="U5" s="217"/>
      <c r="V5" s="218"/>
      <c r="W5" s="218"/>
      <c r="X5" s="218"/>
      <c r="Y5" s="218"/>
      <c r="Z5" s="218"/>
      <c r="AA5" s="218"/>
      <c r="AB5" s="215"/>
      <c r="AC5" s="216"/>
      <c r="AD5" s="216"/>
      <c r="AE5" s="216"/>
      <c r="AF5" s="216"/>
      <c r="AG5" s="216"/>
      <c r="AH5" s="216"/>
      <c r="AI5" s="216"/>
      <c r="AJ5" s="216"/>
      <c r="AK5" s="216"/>
      <c r="AL5" s="216"/>
      <c r="AM5" s="216"/>
      <c r="AN5" s="216"/>
      <c r="AO5" s="216"/>
      <c r="AP5" s="216"/>
      <c r="AQ5" s="216"/>
      <c r="AR5" s="216"/>
      <c r="AS5" s="216"/>
      <c r="AT5" s="216"/>
      <c r="AU5" s="216"/>
      <c r="AV5" s="216"/>
      <c r="AW5" s="239"/>
    </row>
    <row r="6" spans="1:49" ht="14.4" customHeight="1">
      <c r="A6" s="233"/>
      <c r="B6" s="235" t="s">
        <v>14</v>
      </c>
      <c r="C6" s="135"/>
      <c r="D6" s="135"/>
      <c r="E6" s="5" t="s">
        <v>18</v>
      </c>
      <c r="F6" s="1">
        <v>40</v>
      </c>
      <c r="G6" s="1" t="s">
        <v>29</v>
      </c>
      <c r="J6" s="49">
        <v>2007</v>
      </c>
      <c r="K6" s="52">
        <v>40.917333333333332</v>
      </c>
      <c r="L6" s="53">
        <v>0.47271531886916496</v>
      </c>
      <c r="M6" s="54">
        <v>8.2975757508697998E-2</v>
      </c>
      <c r="N6" s="2"/>
      <c r="U6" s="213" t="s">
        <v>138</v>
      </c>
      <c r="V6" s="214"/>
      <c r="W6" s="214"/>
      <c r="X6" s="214"/>
      <c r="Y6" s="214"/>
      <c r="Z6" s="214"/>
      <c r="AA6" s="214"/>
      <c r="AB6" s="215"/>
      <c r="AC6" s="216"/>
      <c r="AD6" s="216"/>
      <c r="AE6" s="216"/>
      <c r="AF6" s="216"/>
      <c r="AG6" s="216"/>
      <c r="AH6" s="216"/>
      <c r="AI6" s="216"/>
      <c r="AJ6" s="216"/>
      <c r="AK6" s="216"/>
      <c r="AL6" s="216"/>
      <c r="AM6" s="216"/>
      <c r="AN6" s="216"/>
      <c r="AO6" s="216"/>
      <c r="AP6" s="216"/>
      <c r="AQ6" s="216"/>
      <c r="AR6" s="216"/>
      <c r="AS6" s="216"/>
      <c r="AT6" s="216"/>
      <c r="AU6" s="216"/>
      <c r="AV6" s="216"/>
      <c r="AW6" s="239"/>
    </row>
    <row r="7" spans="1:49">
      <c r="A7" s="233"/>
      <c r="B7" s="235" t="s">
        <v>1</v>
      </c>
      <c r="C7" s="135"/>
      <c r="D7" s="135"/>
      <c r="E7" s="5" t="s">
        <v>19</v>
      </c>
      <c r="F7" s="1">
        <v>2</v>
      </c>
      <c r="G7" s="1" t="s">
        <v>30</v>
      </c>
      <c r="J7" s="49">
        <v>2008</v>
      </c>
      <c r="K7" s="52">
        <v>53.259888888888888</v>
      </c>
      <c r="L7" s="53">
        <v>0.30164613746958641</v>
      </c>
      <c r="M7" s="49"/>
      <c r="N7" s="2"/>
      <c r="P7" s="204" t="s">
        <v>101</v>
      </c>
      <c r="Q7" s="205"/>
      <c r="R7" s="206"/>
      <c r="S7" s="3">
        <f>((F11*F12*F13)/(1+F18))+((F11*F12*F13)/(1+F18)^2)+((F11*F12*F13)/(1+F18)^3)+((F11*F12*F13)/(1+F18)^4)+((F11*F12*F13)/(1+F18)^5)+((F11*F12*F13)/(1+F18)^6)+((F11*F12*F13)/(1+F18)^7)+((F11*F12*F13)/(1+F18)^8)+((F11*F12*F13)/(1+F18)^9)+((F11*F12*F13)/(1+F18)^10)+((F11*F12*F13)/(1+F18)^11)+((F11*F12*F13)/(1+F18)^12)+((F11*F12*F13)/(1+F18)^13)+((F11*F12*F13)/(1+F18)^14)+((F11*F12*F13)/(1+F18)^15)</f>
        <v>12953813.231649376</v>
      </c>
      <c r="U7" s="215"/>
      <c r="V7" s="216"/>
      <c r="W7" s="216"/>
      <c r="X7" s="216"/>
      <c r="Y7" s="216"/>
      <c r="Z7" s="216"/>
      <c r="AA7" s="216"/>
      <c r="AB7" s="215"/>
      <c r="AC7" s="216"/>
      <c r="AD7" s="216"/>
      <c r="AE7" s="216"/>
      <c r="AF7" s="216"/>
      <c r="AG7" s="216"/>
      <c r="AH7" s="216"/>
      <c r="AI7" s="216"/>
      <c r="AJ7" s="216"/>
      <c r="AK7" s="216"/>
      <c r="AL7" s="216"/>
      <c r="AM7" s="216"/>
      <c r="AN7" s="216"/>
      <c r="AO7" s="216"/>
      <c r="AP7" s="216"/>
      <c r="AQ7" s="216"/>
      <c r="AR7" s="216"/>
      <c r="AS7" s="216"/>
      <c r="AT7" s="216"/>
      <c r="AU7" s="216"/>
      <c r="AV7" s="216"/>
      <c r="AW7" s="239"/>
    </row>
    <row r="8" spans="1:49" ht="16.2" customHeight="1">
      <c r="A8" s="233"/>
      <c r="B8" s="235" t="s">
        <v>2</v>
      </c>
      <c r="C8" s="135"/>
      <c r="D8" s="135"/>
      <c r="E8" s="5" t="s">
        <v>20</v>
      </c>
      <c r="F8" s="1">
        <v>10</v>
      </c>
      <c r="G8" s="1" t="s">
        <v>31</v>
      </c>
      <c r="J8" s="49">
        <v>2009</v>
      </c>
      <c r="K8" s="52">
        <v>49.279888888888891</v>
      </c>
      <c r="L8" s="53">
        <v>-7.4727906554651238E-2</v>
      </c>
      <c r="M8" s="49"/>
      <c r="N8" s="2"/>
      <c r="P8" s="207"/>
      <c r="Q8" s="208"/>
      <c r="R8" s="209"/>
      <c r="S8" s="3"/>
      <c r="U8" s="215"/>
      <c r="V8" s="216"/>
      <c r="W8" s="216"/>
      <c r="X8" s="216"/>
      <c r="Y8" s="216"/>
      <c r="Z8" s="216"/>
      <c r="AA8" s="216"/>
      <c r="AB8" s="215"/>
      <c r="AC8" s="216"/>
      <c r="AD8" s="216"/>
      <c r="AE8" s="216"/>
      <c r="AF8" s="216"/>
      <c r="AG8" s="216"/>
      <c r="AH8" s="216"/>
      <c r="AI8" s="216"/>
      <c r="AJ8" s="216"/>
      <c r="AK8" s="216"/>
      <c r="AL8" s="216"/>
      <c r="AM8" s="216"/>
      <c r="AN8" s="216"/>
      <c r="AO8" s="216"/>
      <c r="AP8" s="216"/>
      <c r="AQ8" s="216"/>
      <c r="AR8" s="216"/>
      <c r="AS8" s="216"/>
      <c r="AT8" s="216"/>
      <c r="AU8" s="216"/>
      <c r="AV8" s="216"/>
      <c r="AW8" s="239"/>
    </row>
    <row r="9" spans="1:49">
      <c r="A9" s="233"/>
      <c r="B9" s="236" t="s">
        <v>15</v>
      </c>
      <c r="C9" s="237"/>
      <c r="D9" s="237"/>
      <c r="E9" s="5" t="s">
        <v>21</v>
      </c>
      <c r="F9" s="37">
        <v>48</v>
      </c>
      <c r="G9" s="37" t="s">
        <v>32</v>
      </c>
      <c r="H9" s="36"/>
      <c r="J9" s="49">
        <v>2010</v>
      </c>
      <c r="K9" s="52">
        <v>54.176111111111098</v>
      </c>
      <c r="L9" s="53">
        <v>9.9355382745722254E-2</v>
      </c>
      <c r="M9" s="49"/>
      <c r="N9" s="2"/>
      <c r="P9" s="120" t="s">
        <v>102</v>
      </c>
      <c r="Q9" s="121"/>
      <c r="R9" s="122"/>
      <c r="S9" s="3">
        <v>0</v>
      </c>
      <c r="U9" s="215"/>
      <c r="V9" s="216"/>
      <c r="W9" s="216"/>
      <c r="X9" s="216"/>
      <c r="Y9" s="216"/>
      <c r="Z9" s="216"/>
      <c r="AA9" s="216"/>
      <c r="AB9" s="215"/>
      <c r="AC9" s="216"/>
      <c r="AD9" s="216"/>
      <c r="AE9" s="216"/>
      <c r="AF9" s="216"/>
      <c r="AG9" s="216"/>
      <c r="AH9" s="216"/>
      <c r="AI9" s="216"/>
      <c r="AJ9" s="216"/>
      <c r="AK9" s="216"/>
      <c r="AL9" s="216"/>
      <c r="AM9" s="216"/>
      <c r="AN9" s="216"/>
      <c r="AO9" s="216"/>
      <c r="AP9" s="216"/>
      <c r="AQ9" s="216"/>
      <c r="AR9" s="216"/>
      <c r="AS9" s="216"/>
      <c r="AT9" s="216"/>
      <c r="AU9" s="216"/>
      <c r="AV9" s="216"/>
      <c r="AW9" s="239"/>
    </row>
    <row r="10" spans="1:49">
      <c r="A10" s="233"/>
      <c r="B10" s="236" t="s">
        <v>16</v>
      </c>
      <c r="C10" s="237"/>
      <c r="D10" s="237"/>
      <c r="E10" s="5" t="s">
        <v>22</v>
      </c>
      <c r="F10" s="40">
        <v>1000</v>
      </c>
      <c r="G10" s="37" t="s">
        <v>32</v>
      </c>
      <c r="H10" s="36"/>
      <c r="J10" s="49">
        <v>2011</v>
      </c>
      <c r="K10" s="52">
        <v>55.930333333333323</v>
      </c>
      <c r="L10" s="53">
        <v>3.2379995282873546E-2</v>
      </c>
      <c r="M10" s="49"/>
      <c r="N10" s="2"/>
      <c r="P10" s="201" t="s">
        <v>55</v>
      </c>
      <c r="Q10" s="202"/>
      <c r="R10" s="203"/>
      <c r="S10" s="30">
        <f>S7*F14</f>
        <v>6476906.6158246882</v>
      </c>
      <c r="U10" s="215"/>
      <c r="V10" s="216"/>
      <c r="W10" s="216"/>
      <c r="X10" s="216"/>
      <c r="Y10" s="216"/>
      <c r="Z10" s="216"/>
      <c r="AA10" s="216"/>
      <c r="AB10" s="215"/>
      <c r="AC10" s="216"/>
      <c r="AD10" s="216"/>
      <c r="AE10" s="216"/>
      <c r="AF10" s="216"/>
      <c r="AG10" s="216"/>
      <c r="AH10" s="216"/>
      <c r="AI10" s="216"/>
      <c r="AJ10" s="216"/>
      <c r="AK10" s="216"/>
      <c r="AL10" s="216"/>
      <c r="AM10" s="216"/>
      <c r="AN10" s="216"/>
      <c r="AO10" s="216"/>
      <c r="AP10" s="216"/>
      <c r="AQ10" s="216"/>
      <c r="AR10" s="216"/>
      <c r="AS10" s="216"/>
      <c r="AT10" s="216"/>
      <c r="AU10" s="216"/>
      <c r="AV10" s="216"/>
      <c r="AW10" s="239"/>
    </row>
    <row r="11" spans="1:49" ht="16.2" customHeight="1">
      <c r="A11" s="233"/>
      <c r="B11" s="236" t="s">
        <v>3</v>
      </c>
      <c r="C11" s="237"/>
      <c r="D11" s="237"/>
      <c r="E11" s="5" t="s">
        <v>23</v>
      </c>
      <c r="F11" s="37">
        <v>325</v>
      </c>
      <c r="G11" s="37" t="s">
        <v>29</v>
      </c>
      <c r="H11" s="36"/>
      <c r="J11" s="49">
        <v>2012</v>
      </c>
      <c r="K11" s="52">
        <v>54.575888888888898</v>
      </c>
      <c r="L11" s="53">
        <v>-2.4216634583102054E-2</v>
      </c>
      <c r="M11" s="49"/>
      <c r="N11" s="2"/>
      <c r="P11" s="201" t="s">
        <v>95</v>
      </c>
      <c r="Q11" s="202"/>
      <c r="R11" s="203"/>
      <c r="S11" s="3">
        <f>(((F10*F7*F17)+(F9*F7)+(F5*F6*F13)+(F7*F8))/(1+F18))+(((F10*F7*F17)+(F9*F7)+(F5*F6*F13)+(F7*F8))/(1+F18)^2)+(((F10*F7*F17)+(F9*F7)+(F5*F6*F13)+(F7*F8))/(1+F18)^3)+(((F10*F7*F17)+(F9*F7)+(F5*F6*F13)+(F7*F8))/(1+F18)^4)+(((F10*F7*F17)+(F9*F7)+(F5*F6*F13)+(F7*F8))/(1+F18)^5)+(((F10*F7*F17)+(F9*F7)+(F5*F6*F13)+(F7*F8))/(1+F18)^6)+(((F10*F7*F17)+(F9*F7)+(F5*F6*F13)+(F7*F8))/(1+F18)^7)+(((F10*F7*F17)+(F9*F7)+(F5*F6*F13)+(F7*F8))/(1+F18)^8)+(((F10*F7*F17)+(F9*F7)+(F5*F6*F13)+(F7*F8))/(1+F18)^9)+(((F10*F7*F17)+(F9*F7)+(F5*F6*F13)+(F7*F8))/(1+F18)^10)+(((F10*F7*F17)+(F9*F7)+(F5*F6*F13)+(F7*F8))/(1+F18)^11)+(((F10*F7*F17)+(F9*F7)+(F5*F6*F13)+(F7*F8))/(1+F18)^12)+(((F10*F7*F17)+(F9*F7)+(F5*F6*F13)+(F7*F8))/(1+F18)^13)+(((F10*F7*F17)+(F9*F7)+(F5*F6*F13)+(F7*F8))/(1+F18)^14)+(((F10*F7*F17)+(F9*F7)+(F5*F6*F13)+(F7*F8))/(1+F18)^15)</f>
        <v>1803112.6757605795</v>
      </c>
      <c r="U11" s="215"/>
      <c r="V11" s="216"/>
      <c r="W11" s="216"/>
      <c r="X11" s="216"/>
      <c r="Y11" s="216"/>
      <c r="Z11" s="216"/>
      <c r="AA11" s="216"/>
      <c r="AB11" s="215"/>
      <c r="AC11" s="216"/>
      <c r="AD11" s="216"/>
      <c r="AE11" s="216"/>
      <c r="AF11" s="216"/>
      <c r="AG11" s="216"/>
      <c r="AH11" s="216"/>
      <c r="AI11" s="216"/>
      <c r="AJ11" s="216"/>
      <c r="AK11" s="216"/>
      <c r="AL11" s="216"/>
      <c r="AM11" s="216"/>
      <c r="AN11" s="216"/>
      <c r="AO11" s="216"/>
      <c r="AP11" s="216"/>
      <c r="AQ11" s="216"/>
      <c r="AR11" s="216"/>
      <c r="AS11" s="216"/>
      <c r="AT11" s="216"/>
      <c r="AU11" s="216"/>
      <c r="AV11" s="216"/>
      <c r="AW11" s="239"/>
    </row>
    <row r="12" spans="1:49" ht="14.4" customHeight="1">
      <c r="A12" s="233"/>
      <c r="B12" s="235" t="s">
        <v>4</v>
      </c>
      <c r="C12" s="135"/>
      <c r="D12" s="135"/>
      <c r="E12" s="5" t="s">
        <v>24</v>
      </c>
      <c r="F12" s="1">
        <v>2</v>
      </c>
      <c r="G12" s="1" t="s">
        <v>28</v>
      </c>
      <c r="H12" s="36"/>
      <c r="J12" s="49">
        <v>2013</v>
      </c>
      <c r="K12" s="52">
        <v>52.64155555555557</v>
      </c>
      <c r="L12" s="53">
        <v>-3.5443001895423799E-2</v>
      </c>
      <c r="M12" s="49"/>
      <c r="N12" s="2"/>
      <c r="P12" s="210" t="s">
        <v>98</v>
      </c>
      <c r="Q12" s="211"/>
      <c r="R12" s="212"/>
      <c r="S12" s="3">
        <f>(((F10*F7*F17)+(F9*F7)+(F7*F8))/(1+F18))+(((F10*F7*F17)+(F9*F7)+(F7*F8))/(1+F18)^2)+(((F10*F7*F17)+(F9*F7)+(F7*F8))/(1+F18)^3)+(((F10*F7*F17)+(F9*F7)+(F7*F8))/(1+F18)^4)+(((F10*F7*F17)+(F9*F7)+(F7*F8))/(1+F18)^5)+(((F10*F7*F17)+(F9*F7)+(F7*F8))/(1+F18)^6)+(((F10*F7*F17)+(F9*F7)+(F7*F8))/(1+F18)^7)+(((F10*F7*F17)+(F9*F7)+(F7*F8))/(1+F18)^8)+(((F10*F7*F17)+(F9*F7)+(F7*F8))/(1+F18)^9)+(((F10*F7*F17)+(F9*F7)+(F7*F8))/(1+F18)^10)+(((F10*F7*F17)+(F9*F7)+(F7*F8))/(1+F18)^11)+(((F10*F7*F17)+(F9*F7)+(F7*F8))/(1+F18)^12)+(((F10*F7*F17)+(F9*F7)+(F7*F8))/(1+F18)^13)+(((F10*F7*F17)+(F9*F7)+(F7*F8))/(1+F18)^14)+(((F10*F7*F17)+(F9*F7)+(F7*F8))/(1+F18)^15)</f>
        <v>208797.20109604084</v>
      </c>
      <c r="U12" s="215"/>
      <c r="V12" s="216"/>
      <c r="W12" s="216"/>
      <c r="X12" s="216"/>
      <c r="Y12" s="216"/>
      <c r="Z12" s="216"/>
      <c r="AA12" s="216"/>
      <c r="AB12" s="215"/>
      <c r="AC12" s="216"/>
      <c r="AD12" s="216"/>
      <c r="AE12" s="216"/>
      <c r="AF12" s="216"/>
      <c r="AG12" s="216"/>
      <c r="AH12" s="216"/>
      <c r="AI12" s="216"/>
      <c r="AJ12" s="216"/>
      <c r="AK12" s="216"/>
      <c r="AL12" s="216"/>
      <c r="AM12" s="216"/>
      <c r="AN12" s="216"/>
      <c r="AO12" s="216"/>
      <c r="AP12" s="216"/>
      <c r="AQ12" s="216"/>
      <c r="AR12" s="216"/>
      <c r="AS12" s="216"/>
      <c r="AT12" s="216"/>
      <c r="AU12" s="216"/>
      <c r="AV12" s="216"/>
      <c r="AW12" s="239"/>
    </row>
    <row r="13" spans="1:49">
      <c r="A13" s="233"/>
      <c r="B13" s="235" t="s">
        <v>5</v>
      </c>
      <c r="C13" s="135"/>
      <c r="D13" s="135"/>
      <c r="E13" s="5" t="s">
        <v>66</v>
      </c>
      <c r="F13" s="3">
        <v>1920</v>
      </c>
      <c r="G13" s="1" t="s">
        <v>33</v>
      </c>
      <c r="H13" s="36"/>
      <c r="J13" s="49">
        <v>2014</v>
      </c>
      <c r="K13" s="52">
        <v>58.406666666666666</v>
      </c>
      <c r="L13" s="53">
        <v>0.10951635167822601</v>
      </c>
      <c r="M13" s="49"/>
      <c r="N13" s="2"/>
      <c r="P13" s="201" t="s">
        <v>54</v>
      </c>
      <c r="Q13" s="202"/>
      <c r="R13" s="203"/>
      <c r="S13" s="3">
        <f>F14*S11+F15*S12</f>
        <v>1005954.9384283102</v>
      </c>
      <c r="U13" s="215"/>
      <c r="V13" s="216"/>
      <c r="W13" s="216"/>
      <c r="X13" s="216"/>
      <c r="Y13" s="216"/>
      <c r="Z13" s="216"/>
      <c r="AA13" s="216"/>
      <c r="AB13" s="215"/>
      <c r="AC13" s="216"/>
      <c r="AD13" s="216"/>
      <c r="AE13" s="216"/>
      <c r="AF13" s="216"/>
      <c r="AG13" s="216"/>
      <c r="AH13" s="216"/>
      <c r="AI13" s="216"/>
      <c r="AJ13" s="216"/>
      <c r="AK13" s="216"/>
      <c r="AL13" s="216"/>
      <c r="AM13" s="216"/>
      <c r="AN13" s="216"/>
      <c r="AO13" s="216"/>
      <c r="AP13" s="216"/>
      <c r="AQ13" s="216"/>
      <c r="AR13" s="216"/>
      <c r="AS13" s="216"/>
      <c r="AT13" s="216"/>
      <c r="AU13" s="216"/>
      <c r="AV13" s="216"/>
      <c r="AW13" s="239"/>
    </row>
    <row r="14" spans="1:49" ht="14.4" customHeight="1">
      <c r="A14" s="233"/>
      <c r="B14" s="235" t="s">
        <v>6</v>
      </c>
      <c r="C14" s="135"/>
      <c r="D14" s="135"/>
      <c r="E14" s="5" t="s">
        <v>25</v>
      </c>
      <c r="F14" s="1">
        <v>0.5</v>
      </c>
      <c r="G14" s="1"/>
      <c r="H14" s="36"/>
      <c r="J14" s="49">
        <v>2015</v>
      </c>
      <c r="K14" s="52">
        <v>61.843444444444444</v>
      </c>
      <c r="L14" s="53">
        <v>5.8842217402883992E-2</v>
      </c>
      <c r="M14" s="49"/>
      <c r="N14" s="2"/>
      <c r="P14" s="142" t="s">
        <v>96</v>
      </c>
      <c r="Q14" s="143"/>
      <c r="R14" s="143"/>
      <c r="S14" s="144"/>
      <c r="U14" s="215"/>
      <c r="V14" s="216"/>
      <c r="W14" s="216"/>
      <c r="X14" s="216"/>
      <c r="Y14" s="216"/>
      <c r="Z14" s="216"/>
      <c r="AA14" s="216"/>
      <c r="AB14" s="215"/>
      <c r="AC14" s="216"/>
      <c r="AD14" s="216"/>
      <c r="AE14" s="216"/>
      <c r="AF14" s="216"/>
      <c r="AG14" s="216"/>
      <c r="AH14" s="216"/>
      <c r="AI14" s="216"/>
      <c r="AJ14" s="216"/>
      <c r="AK14" s="216"/>
      <c r="AL14" s="216"/>
      <c r="AM14" s="216"/>
      <c r="AN14" s="216"/>
      <c r="AO14" s="216"/>
      <c r="AP14" s="216"/>
      <c r="AQ14" s="216"/>
      <c r="AR14" s="216"/>
      <c r="AS14" s="216"/>
      <c r="AT14" s="216"/>
      <c r="AU14" s="216"/>
      <c r="AV14" s="216"/>
      <c r="AW14" s="239"/>
    </row>
    <row r="15" spans="1:49">
      <c r="A15" s="233"/>
      <c r="B15" s="235" t="s">
        <v>7</v>
      </c>
      <c r="C15" s="135"/>
      <c r="D15" s="135"/>
      <c r="E15" s="6" t="s">
        <v>26</v>
      </c>
      <c r="F15" s="1">
        <f>1-F14</f>
        <v>0.5</v>
      </c>
      <c r="G15" s="1"/>
      <c r="H15" s="36"/>
      <c r="J15" s="49">
        <v>2016</v>
      </c>
      <c r="K15" s="52">
        <v>62.84716900669585</v>
      </c>
      <c r="L15" s="53">
        <v>1.6230088269955242E-2</v>
      </c>
      <c r="M15" s="49"/>
      <c r="N15" s="2"/>
      <c r="U15" s="215"/>
      <c r="V15" s="216"/>
      <c r="W15" s="216"/>
      <c r="X15" s="216"/>
      <c r="Y15" s="216"/>
      <c r="Z15" s="216"/>
      <c r="AA15" s="216"/>
      <c r="AB15" s="215"/>
      <c r="AC15" s="216"/>
      <c r="AD15" s="216"/>
      <c r="AE15" s="216"/>
      <c r="AF15" s="216"/>
      <c r="AG15" s="216"/>
      <c r="AH15" s="216"/>
      <c r="AI15" s="216"/>
      <c r="AJ15" s="216"/>
      <c r="AK15" s="216"/>
      <c r="AL15" s="216"/>
      <c r="AM15" s="216"/>
      <c r="AN15" s="216"/>
      <c r="AO15" s="216"/>
      <c r="AP15" s="216"/>
      <c r="AQ15" s="216"/>
      <c r="AR15" s="216"/>
      <c r="AS15" s="216"/>
      <c r="AT15" s="216"/>
      <c r="AU15" s="216"/>
      <c r="AV15" s="216"/>
      <c r="AW15" s="239"/>
    </row>
    <row r="16" spans="1:49" ht="16.2" customHeight="1">
      <c r="A16" s="233"/>
      <c r="B16" s="235" t="s">
        <v>8</v>
      </c>
      <c r="C16" s="135"/>
      <c r="D16" s="135"/>
      <c r="E16" s="5" t="s">
        <v>27</v>
      </c>
      <c r="F16" s="3">
        <f>2*700000</f>
        <v>1400000</v>
      </c>
      <c r="G16" s="1" t="s">
        <v>31</v>
      </c>
      <c r="H16" s="36"/>
      <c r="J16" s="49">
        <v>2017</v>
      </c>
      <c r="K16" s="52">
        <v>63.684555555555498</v>
      </c>
      <c r="L16" s="53">
        <v>1.3324172943581293E-2</v>
      </c>
      <c r="M16" s="49"/>
      <c r="N16" s="2"/>
      <c r="P16" s="267" t="s">
        <v>110</v>
      </c>
      <c r="Q16" s="267"/>
      <c r="R16" s="267"/>
      <c r="U16" s="215"/>
      <c r="V16" s="216"/>
      <c r="W16" s="216"/>
      <c r="X16" s="216"/>
      <c r="Y16" s="216"/>
      <c r="Z16" s="216"/>
      <c r="AA16" s="216"/>
      <c r="AB16" s="215"/>
      <c r="AC16" s="216"/>
      <c r="AD16" s="216"/>
      <c r="AE16" s="216"/>
      <c r="AF16" s="216"/>
      <c r="AG16" s="216"/>
      <c r="AH16" s="216"/>
      <c r="AI16" s="216"/>
      <c r="AJ16" s="216"/>
      <c r="AK16" s="216"/>
      <c r="AL16" s="216"/>
      <c r="AM16" s="216"/>
      <c r="AN16" s="216"/>
      <c r="AO16" s="216"/>
      <c r="AP16" s="216"/>
      <c r="AQ16" s="216"/>
      <c r="AR16" s="216"/>
      <c r="AS16" s="216"/>
      <c r="AT16" s="216"/>
      <c r="AU16" s="216"/>
      <c r="AV16" s="216"/>
      <c r="AW16" s="239"/>
    </row>
    <row r="17" spans="1:49">
      <c r="A17" s="233"/>
      <c r="B17" s="235" t="s">
        <v>9</v>
      </c>
      <c r="C17" s="135"/>
      <c r="D17" s="135"/>
      <c r="E17" s="4" t="s">
        <v>61</v>
      </c>
      <c r="F17" s="1">
        <v>10</v>
      </c>
      <c r="G17" s="1" t="s">
        <v>34</v>
      </c>
      <c r="H17" s="36"/>
      <c r="J17" s="49">
        <v>2018</v>
      </c>
      <c r="K17" s="52">
        <v>62.810666666666698</v>
      </c>
      <c r="L17" s="53">
        <v>-1.3722147878170301E-2</v>
      </c>
      <c r="M17" s="49"/>
      <c r="N17" s="2"/>
      <c r="U17" s="215"/>
      <c r="V17" s="216"/>
      <c r="W17" s="216"/>
      <c r="X17" s="216"/>
      <c r="Y17" s="216"/>
      <c r="Z17" s="216"/>
      <c r="AA17" s="216"/>
      <c r="AB17" s="215"/>
      <c r="AC17" s="216"/>
      <c r="AD17" s="216"/>
      <c r="AE17" s="216"/>
      <c r="AF17" s="216"/>
      <c r="AG17" s="216"/>
      <c r="AH17" s="216"/>
      <c r="AI17" s="216"/>
      <c r="AJ17" s="216"/>
      <c r="AK17" s="216"/>
      <c r="AL17" s="216"/>
      <c r="AM17" s="216"/>
      <c r="AN17" s="216"/>
      <c r="AO17" s="216"/>
      <c r="AP17" s="216"/>
      <c r="AQ17" s="216"/>
      <c r="AR17" s="216"/>
      <c r="AS17" s="216"/>
      <c r="AT17" s="216"/>
      <c r="AU17" s="216"/>
      <c r="AV17" s="216"/>
      <c r="AW17" s="239"/>
    </row>
    <row r="18" spans="1:49" ht="14.4" customHeight="1">
      <c r="A18" s="233"/>
      <c r="B18" s="235" t="s">
        <v>10</v>
      </c>
      <c r="C18" s="135"/>
      <c r="D18" s="135"/>
      <c r="E18" s="4" t="s">
        <v>60</v>
      </c>
      <c r="F18" s="1">
        <f>5/100</f>
        <v>0.05</v>
      </c>
      <c r="G18" s="1"/>
      <c r="H18" s="36"/>
      <c r="J18" s="49">
        <v>2019</v>
      </c>
      <c r="K18" s="49">
        <v>68.75577777777778</v>
      </c>
      <c r="L18" s="53">
        <v>9.4651297727208511E-2</v>
      </c>
      <c r="M18" s="49"/>
      <c r="N18" s="2"/>
      <c r="U18" s="215"/>
      <c r="V18" s="216"/>
      <c r="W18" s="216"/>
      <c r="X18" s="216"/>
      <c r="Y18" s="216"/>
      <c r="Z18" s="216"/>
      <c r="AA18" s="216"/>
      <c r="AB18" s="215"/>
      <c r="AC18" s="216"/>
      <c r="AD18" s="216"/>
      <c r="AE18" s="216"/>
      <c r="AF18" s="216"/>
      <c r="AG18" s="216"/>
      <c r="AH18" s="216"/>
      <c r="AI18" s="216"/>
      <c r="AJ18" s="216"/>
      <c r="AK18" s="216"/>
      <c r="AL18" s="216"/>
      <c r="AM18" s="216"/>
      <c r="AN18" s="216"/>
      <c r="AO18" s="216"/>
      <c r="AP18" s="216"/>
      <c r="AQ18" s="216"/>
      <c r="AR18" s="216"/>
      <c r="AS18" s="216"/>
      <c r="AT18" s="216"/>
      <c r="AU18" s="216"/>
      <c r="AV18" s="216"/>
      <c r="AW18" s="239"/>
    </row>
    <row r="19" spans="1:49">
      <c r="A19" s="233"/>
      <c r="B19" s="235" t="s">
        <v>11</v>
      </c>
      <c r="C19" s="135"/>
      <c r="D19" s="135"/>
      <c r="E19" s="4" t="s">
        <v>62</v>
      </c>
      <c r="F19" s="1">
        <f>95/100</f>
        <v>0.95</v>
      </c>
      <c r="G19" s="1"/>
      <c r="H19" s="36"/>
      <c r="J19" s="49">
        <v>2020</v>
      </c>
      <c r="K19" s="49">
        <v>74.161000000000001</v>
      </c>
      <c r="L19" s="53">
        <v>7.8614807321243291E-2</v>
      </c>
      <c r="M19" s="49"/>
      <c r="N19" s="2"/>
      <c r="U19" s="215"/>
      <c r="V19" s="216"/>
      <c r="W19" s="216"/>
      <c r="X19" s="216"/>
      <c r="Y19" s="216"/>
      <c r="Z19" s="216"/>
      <c r="AA19" s="216"/>
      <c r="AB19" s="215"/>
      <c r="AC19" s="216"/>
      <c r="AD19" s="216"/>
      <c r="AE19" s="216"/>
      <c r="AF19" s="216"/>
      <c r="AG19" s="216"/>
      <c r="AH19" s="216"/>
      <c r="AI19" s="216"/>
      <c r="AJ19" s="216"/>
      <c r="AK19" s="216"/>
      <c r="AL19" s="216"/>
      <c r="AM19" s="216"/>
      <c r="AN19" s="216"/>
      <c r="AO19" s="216"/>
      <c r="AP19" s="216"/>
      <c r="AQ19" s="216"/>
      <c r="AR19" s="216"/>
      <c r="AS19" s="216"/>
      <c r="AT19" s="216"/>
      <c r="AU19" s="216"/>
      <c r="AV19" s="216"/>
      <c r="AW19" s="239"/>
    </row>
    <row r="20" spans="1:49" ht="15" thickBot="1">
      <c r="A20" s="234"/>
      <c r="B20" s="235" t="s">
        <v>12</v>
      </c>
      <c r="C20" s="135"/>
      <c r="D20" s="135"/>
      <c r="E20" s="4" t="s">
        <v>63</v>
      </c>
      <c r="F20" s="1">
        <f>7/100</f>
        <v>7.0000000000000007E-2</v>
      </c>
      <c r="G20" s="1"/>
      <c r="H20" s="36"/>
      <c r="J20" s="49">
        <v>2021</v>
      </c>
      <c r="K20" s="49">
        <v>73.294111111111107</v>
      </c>
      <c r="L20" s="53">
        <v>-1.1689282626837289E-2</v>
      </c>
      <c r="M20" s="49"/>
      <c r="N20" s="2"/>
      <c r="U20" s="215"/>
      <c r="V20" s="216"/>
      <c r="W20" s="216"/>
      <c r="X20" s="216"/>
      <c r="Y20" s="216"/>
      <c r="Z20" s="216"/>
      <c r="AA20" s="216"/>
      <c r="AB20" s="215"/>
      <c r="AC20" s="216"/>
      <c r="AD20" s="216"/>
      <c r="AE20" s="216"/>
      <c r="AF20" s="216"/>
      <c r="AG20" s="216"/>
      <c r="AH20" s="216"/>
      <c r="AI20" s="216"/>
      <c r="AJ20" s="216"/>
      <c r="AK20" s="216"/>
      <c r="AL20" s="216"/>
      <c r="AM20" s="216"/>
      <c r="AN20" s="216"/>
      <c r="AO20" s="216"/>
      <c r="AP20" s="216"/>
      <c r="AQ20" s="216"/>
      <c r="AR20" s="216"/>
      <c r="AS20" s="216"/>
      <c r="AT20" s="216"/>
      <c r="AU20" s="216"/>
      <c r="AV20" s="216"/>
      <c r="AW20" s="239"/>
    </row>
    <row r="21" spans="1:49">
      <c r="B21" s="167"/>
      <c r="C21" s="167"/>
      <c r="D21" s="167"/>
      <c r="E21" s="1"/>
      <c r="F21" s="1"/>
      <c r="G21" s="1"/>
      <c r="H21" s="36"/>
      <c r="J21" s="49">
        <v>2022</v>
      </c>
      <c r="K21" s="49">
        <v>88.808555555555557</v>
      </c>
      <c r="L21" s="53">
        <v>0.2116738194822381</v>
      </c>
      <c r="M21" s="49"/>
      <c r="N21" s="2"/>
      <c r="U21" s="215"/>
      <c r="V21" s="216"/>
      <c r="W21" s="216"/>
      <c r="X21" s="216"/>
      <c r="Y21" s="216"/>
      <c r="Z21" s="216"/>
      <c r="AA21" s="216"/>
      <c r="AB21" s="215"/>
      <c r="AC21" s="216"/>
      <c r="AD21" s="216"/>
      <c r="AE21" s="216"/>
      <c r="AF21" s="216"/>
      <c r="AG21" s="216"/>
      <c r="AH21" s="216"/>
      <c r="AI21" s="216"/>
      <c r="AJ21" s="216"/>
      <c r="AK21" s="216"/>
      <c r="AL21" s="216"/>
      <c r="AM21" s="216"/>
      <c r="AN21" s="216"/>
      <c r="AO21" s="216"/>
      <c r="AP21" s="216"/>
      <c r="AQ21" s="216"/>
      <c r="AR21" s="216"/>
      <c r="AS21" s="216"/>
      <c r="AT21" s="216"/>
      <c r="AU21" s="216"/>
      <c r="AV21" s="216"/>
      <c r="AW21" s="239"/>
    </row>
    <row r="22" spans="1:49">
      <c r="J22" s="49">
        <v>2023</v>
      </c>
      <c r="K22" s="49">
        <v>103.3201111111111</v>
      </c>
      <c r="L22" s="53">
        <v>0.16340267516768267</v>
      </c>
      <c r="M22" s="49"/>
      <c r="N22" s="2"/>
      <c r="U22" s="215"/>
      <c r="V22" s="216"/>
      <c r="W22" s="216"/>
      <c r="X22" s="216"/>
      <c r="Y22" s="216"/>
      <c r="Z22" s="216"/>
      <c r="AA22" s="216"/>
      <c r="AB22" s="215"/>
      <c r="AC22" s="216"/>
      <c r="AD22" s="216"/>
      <c r="AE22" s="216"/>
      <c r="AF22" s="216"/>
      <c r="AG22" s="216"/>
      <c r="AH22" s="216"/>
      <c r="AI22" s="216"/>
      <c r="AJ22" s="216"/>
      <c r="AK22" s="216"/>
      <c r="AL22" s="216"/>
      <c r="AM22" s="216"/>
      <c r="AN22" s="216"/>
      <c r="AO22" s="216"/>
      <c r="AP22" s="216"/>
      <c r="AQ22" s="216"/>
      <c r="AR22" s="216"/>
      <c r="AS22" s="216"/>
      <c r="AT22" s="216"/>
      <c r="AU22" s="216"/>
      <c r="AV22" s="216"/>
      <c r="AW22" s="239"/>
    </row>
    <row r="23" spans="1:49">
      <c r="J23" s="49">
        <v>2024</v>
      </c>
      <c r="K23" s="49">
        <v>103.42449999999999</v>
      </c>
      <c r="L23" s="53">
        <v>1.0103443343825972E-3</v>
      </c>
      <c r="M23" s="49"/>
      <c r="N23" s="2"/>
      <c r="U23" s="215"/>
      <c r="V23" s="216"/>
      <c r="W23" s="216"/>
      <c r="X23" s="216"/>
      <c r="Y23" s="216"/>
      <c r="Z23" s="216"/>
      <c r="AA23" s="216"/>
      <c r="AB23" s="215"/>
      <c r="AC23" s="216"/>
      <c r="AD23" s="216"/>
      <c r="AE23" s="216"/>
      <c r="AF23" s="216"/>
      <c r="AG23" s="216"/>
      <c r="AH23" s="216"/>
      <c r="AI23" s="216"/>
      <c r="AJ23" s="216"/>
      <c r="AK23" s="216"/>
      <c r="AL23" s="216"/>
      <c r="AM23" s="216"/>
      <c r="AN23" s="216"/>
      <c r="AO23" s="216"/>
      <c r="AP23" s="216"/>
      <c r="AQ23" s="216"/>
      <c r="AR23" s="216"/>
      <c r="AS23" s="216"/>
      <c r="AT23" s="216"/>
      <c r="AU23" s="216"/>
      <c r="AV23" s="216"/>
      <c r="AW23" s="239"/>
    </row>
    <row r="24" spans="1:49">
      <c r="J24" s="55">
        <v>2025</v>
      </c>
      <c r="K24" s="49">
        <v>112.006226232458</v>
      </c>
      <c r="L24" s="53">
        <v>8.2975757508698011E-2</v>
      </c>
      <c r="M24" s="49"/>
      <c r="N24" s="1">
        <v>112</v>
      </c>
      <c r="U24" s="215"/>
      <c r="V24" s="216"/>
      <c r="W24" s="216"/>
      <c r="X24" s="216"/>
      <c r="Y24" s="216"/>
      <c r="Z24" s="216"/>
      <c r="AA24" s="216"/>
      <c r="AB24" s="215"/>
      <c r="AC24" s="216"/>
      <c r="AD24" s="216"/>
      <c r="AE24" s="216"/>
      <c r="AF24" s="216"/>
      <c r="AG24" s="216"/>
      <c r="AH24" s="216"/>
      <c r="AI24" s="216"/>
      <c r="AJ24" s="216"/>
      <c r="AK24" s="216"/>
      <c r="AL24" s="216"/>
      <c r="AM24" s="216"/>
      <c r="AN24" s="216"/>
      <c r="AO24" s="216"/>
      <c r="AP24" s="216"/>
      <c r="AQ24" s="216"/>
      <c r="AR24" s="216"/>
      <c r="AS24" s="216"/>
      <c r="AT24" s="216"/>
      <c r="AU24" s="216"/>
      <c r="AV24" s="216"/>
      <c r="AW24" s="239"/>
    </row>
    <row r="25" spans="1:49" ht="14.4" customHeight="1">
      <c r="J25" s="55">
        <v>2026</v>
      </c>
      <c r="K25" s="49">
        <v>121.30002769978717</v>
      </c>
      <c r="L25" s="53">
        <v>8.2975757508698025E-2</v>
      </c>
      <c r="M25" s="49"/>
      <c r="N25" s="1">
        <v>121</v>
      </c>
      <c r="P25" s="197" t="s">
        <v>111</v>
      </c>
      <c r="Q25" s="197"/>
      <c r="R25" s="197"/>
      <c r="S25" s="197"/>
      <c r="U25" s="215"/>
      <c r="V25" s="216"/>
      <c r="W25" s="216"/>
      <c r="X25" s="216"/>
      <c r="Y25" s="216"/>
      <c r="Z25" s="216"/>
      <c r="AA25" s="216"/>
      <c r="AB25" s="215"/>
      <c r="AC25" s="216"/>
      <c r="AD25" s="216"/>
      <c r="AE25" s="216"/>
      <c r="AF25" s="216"/>
      <c r="AG25" s="216"/>
      <c r="AH25" s="216"/>
      <c r="AI25" s="216"/>
      <c r="AJ25" s="216"/>
      <c r="AK25" s="216"/>
      <c r="AL25" s="216"/>
      <c r="AM25" s="216"/>
      <c r="AN25" s="216"/>
      <c r="AO25" s="216"/>
      <c r="AP25" s="216"/>
      <c r="AQ25" s="216"/>
      <c r="AR25" s="216"/>
      <c r="AS25" s="216"/>
      <c r="AT25" s="216"/>
      <c r="AU25" s="216"/>
      <c r="AV25" s="216"/>
      <c r="AW25" s="239"/>
    </row>
    <row r="26" spans="1:49" ht="14.4" customHeight="1" thickBot="1">
      <c r="J26" s="55">
        <v>2027</v>
      </c>
      <c r="K26" s="49">
        <v>131.36498938400305</v>
      </c>
      <c r="L26" s="53">
        <v>8.2975757508697984E-2</v>
      </c>
      <c r="M26" s="49"/>
      <c r="N26" s="1">
        <v>131</v>
      </c>
      <c r="P26" s="197"/>
      <c r="Q26" s="197"/>
      <c r="R26" s="197"/>
      <c r="S26" s="197"/>
      <c r="U26" s="217"/>
      <c r="V26" s="218"/>
      <c r="W26" s="218"/>
      <c r="X26" s="218"/>
      <c r="Y26" s="218"/>
      <c r="Z26" s="218"/>
      <c r="AA26" s="218"/>
      <c r="AB26" s="215"/>
      <c r="AC26" s="216"/>
      <c r="AD26" s="216"/>
      <c r="AE26" s="216"/>
      <c r="AF26" s="216"/>
      <c r="AG26" s="216"/>
      <c r="AH26" s="216"/>
      <c r="AI26" s="216"/>
      <c r="AJ26" s="216"/>
      <c r="AK26" s="216"/>
      <c r="AL26" s="216"/>
      <c r="AM26" s="216"/>
      <c r="AN26" s="216"/>
      <c r="AO26" s="216"/>
      <c r="AP26" s="216"/>
      <c r="AQ26" s="216"/>
      <c r="AR26" s="216"/>
      <c r="AS26" s="216"/>
      <c r="AT26" s="216"/>
      <c r="AU26" s="216"/>
      <c r="AV26" s="216"/>
      <c r="AW26" s="239"/>
    </row>
    <row r="27" spans="1:49">
      <c r="J27" s="55">
        <v>2028</v>
      </c>
      <c r="K27" s="49">
        <v>142.26509888826277</v>
      </c>
      <c r="L27" s="53">
        <v>8.2975757508697942E-2</v>
      </c>
      <c r="M27" s="49"/>
      <c r="N27" s="1">
        <v>142</v>
      </c>
      <c r="P27" s="197"/>
      <c r="Q27" s="197"/>
      <c r="R27" s="197"/>
      <c r="S27" s="197"/>
      <c r="AB27" s="215"/>
      <c r="AC27" s="216"/>
      <c r="AD27" s="216"/>
      <c r="AE27" s="216"/>
      <c r="AF27" s="216"/>
      <c r="AG27" s="216"/>
      <c r="AH27" s="216"/>
      <c r="AI27" s="216"/>
      <c r="AJ27" s="216"/>
      <c r="AK27" s="216"/>
      <c r="AL27" s="216"/>
      <c r="AM27" s="216"/>
      <c r="AN27" s="216"/>
      <c r="AO27" s="216"/>
      <c r="AP27" s="216"/>
      <c r="AQ27" s="216"/>
      <c r="AR27" s="216"/>
      <c r="AS27" s="216"/>
      <c r="AT27" s="216"/>
      <c r="AU27" s="216"/>
      <c r="AV27" s="216"/>
      <c r="AW27" s="239"/>
    </row>
    <row r="28" spans="1:49">
      <c r="J28" s="55">
        <v>2029</v>
      </c>
      <c r="K28" s="49">
        <v>154.06965323556619</v>
      </c>
      <c r="L28" s="53">
        <v>8.2975757508697928E-2</v>
      </c>
      <c r="M28" s="49"/>
      <c r="N28" s="1">
        <v>154</v>
      </c>
      <c r="AB28" s="215"/>
      <c r="AC28" s="216"/>
      <c r="AD28" s="216"/>
      <c r="AE28" s="216"/>
      <c r="AF28" s="216"/>
      <c r="AG28" s="216"/>
      <c r="AH28" s="216"/>
      <c r="AI28" s="216"/>
      <c r="AJ28" s="216"/>
      <c r="AK28" s="216"/>
      <c r="AL28" s="216"/>
      <c r="AM28" s="216"/>
      <c r="AN28" s="216"/>
      <c r="AO28" s="216"/>
      <c r="AP28" s="216"/>
      <c r="AQ28" s="216"/>
      <c r="AR28" s="216"/>
      <c r="AS28" s="216"/>
      <c r="AT28" s="216"/>
      <c r="AU28" s="216"/>
      <c r="AV28" s="216"/>
      <c r="AW28" s="239"/>
    </row>
    <row r="29" spans="1:49">
      <c r="J29" s="55">
        <v>2030</v>
      </c>
      <c r="K29" s="49">
        <v>166.85369942188973</v>
      </c>
      <c r="L29" s="53">
        <v>8.2975757508698053E-2</v>
      </c>
      <c r="M29" s="49"/>
      <c r="N29" s="1">
        <v>167</v>
      </c>
      <c r="AB29" s="215"/>
      <c r="AC29" s="216"/>
      <c r="AD29" s="216"/>
      <c r="AE29" s="216"/>
      <c r="AF29" s="216"/>
      <c r="AG29" s="216"/>
      <c r="AH29" s="216"/>
      <c r="AI29" s="216"/>
      <c r="AJ29" s="216"/>
      <c r="AK29" s="216"/>
      <c r="AL29" s="216"/>
      <c r="AM29" s="216"/>
      <c r="AN29" s="216"/>
      <c r="AO29" s="216"/>
      <c r="AP29" s="216"/>
      <c r="AQ29" s="216"/>
      <c r="AR29" s="216"/>
      <c r="AS29" s="216"/>
      <c r="AT29" s="216"/>
      <c r="AU29" s="216"/>
      <c r="AV29" s="216"/>
      <c r="AW29" s="239"/>
    </row>
    <row r="30" spans="1:49">
      <c r="J30" s="55">
        <v>2031</v>
      </c>
      <c r="K30" s="49">
        <v>180.69851152454964</v>
      </c>
      <c r="L30" s="53">
        <v>8.2975757508698053E-2</v>
      </c>
      <c r="M30" s="49"/>
      <c r="N30" s="1">
        <v>181</v>
      </c>
      <c r="AB30" s="215"/>
      <c r="AC30" s="216"/>
      <c r="AD30" s="216"/>
      <c r="AE30" s="216"/>
      <c r="AF30" s="216"/>
      <c r="AG30" s="216"/>
      <c r="AH30" s="216"/>
      <c r="AI30" s="216"/>
      <c r="AJ30" s="216"/>
      <c r="AK30" s="216"/>
      <c r="AL30" s="216"/>
      <c r="AM30" s="216"/>
      <c r="AN30" s="216"/>
      <c r="AO30" s="216"/>
      <c r="AP30" s="216"/>
      <c r="AQ30" s="216"/>
      <c r="AR30" s="216"/>
      <c r="AS30" s="216"/>
      <c r="AT30" s="216"/>
      <c r="AU30" s="216"/>
      <c r="AV30" s="216"/>
      <c r="AW30" s="239"/>
    </row>
    <row r="31" spans="1:49">
      <c r="J31" s="55">
        <v>2032</v>
      </c>
      <c r="K31" s="49">
        <v>195.69210739899336</v>
      </c>
      <c r="L31" s="53">
        <v>8.2975757508698053E-2</v>
      </c>
      <c r="M31" s="49"/>
      <c r="N31" s="1">
        <v>196</v>
      </c>
      <c r="AB31" s="215"/>
      <c r="AC31" s="216"/>
      <c r="AD31" s="216"/>
      <c r="AE31" s="216"/>
      <c r="AF31" s="216"/>
      <c r="AG31" s="216"/>
      <c r="AH31" s="216"/>
      <c r="AI31" s="216"/>
      <c r="AJ31" s="216"/>
      <c r="AK31" s="216"/>
      <c r="AL31" s="216"/>
      <c r="AM31" s="216"/>
      <c r="AN31" s="216"/>
      <c r="AO31" s="216"/>
      <c r="AP31" s="216"/>
      <c r="AQ31" s="216"/>
      <c r="AR31" s="216"/>
      <c r="AS31" s="216"/>
      <c r="AT31" s="216"/>
      <c r="AU31" s="216"/>
      <c r="AV31" s="216"/>
      <c r="AW31" s="239"/>
    </row>
    <row r="32" spans="1:49">
      <c r="J32" s="55">
        <v>2033</v>
      </c>
      <c r="K32" s="49">
        <v>211.92980824889833</v>
      </c>
      <c r="L32" s="53">
        <v>8.2975757508698053E-2</v>
      </c>
      <c r="M32" s="49"/>
      <c r="N32" s="1">
        <v>212</v>
      </c>
      <c r="AB32" s="215"/>
      <c r="AC32" s="216"/>
      <c r="AD32" s="216"/>
      <c r="AE32" s="216"/>
      <c r="AF32" s="216"/>
      <c r="AG32" s="216"/>
      <c r="AH32" s="216"/>
      <c r="AI32" s="216"/>
      <c r="AJ32" s="216"/>
      <c r="AK32" s="216"/>
      <c r="AL32" s="216"/>
      <c r="AM32" s="216"/>
      <c r="AN32" s="216"/>
      <c r="AO32" s="216"/>
      <c r="AP32" s="216"/>
      <c r="AQ32" s="216"/>
      <c r="AR32" s="216"/>
      <c r="AS32" s="216"/>
      <c r="AT32" s="216"/>
      <c r="AU32" s="216"/>
      <c r="AV32" s="216"/>
      <c r="AW32" s="239"/>
    </row>
    <row r="33" spans="1:49">
      <c r="J33" s="55">
        <v>2034</v>
      </c>
      <c r="K33" s="49">
        <v>229.51484462702379</v>
      </c>
      <c r="L33" s="53">
        <v>8.2975757508698067E-2</v>
      </c>
      <c r="M33" s="49"/>
      <c r="N33" s="1">
        <v>230</v>
      </c>
      <c r="AB33" s="215"/>
      <c r="AC33" s="216"/>
      <c r="AD33" s="216"/>
      <c r="AE33" s="216"/>
      <c r="AF33" s="216"/>
      <c r="AG33" s="216"/>
      <c r="AH33" s="216"/>
      <c r="AI33" s="216"/>
      <c r="AJ33" s="216"/>
      <c r="AK33" s="216"/>
      <c r="AL33" s="216"/>
      <c r="AM33" s="216"/>
      <c r="AN33" s="216"/>
      <c r="AO33" s="216"/>
      <c r="AP33" s="216"/>
      <c r="AQ33" s="216"/>
      <c r="AR33" s="216"/>
      <c r="AS33" s="216"/>
      <c r="AT33" s="216"/>
      <c r="AU33" s="216"/>
      <c r="AV33" s="216"/>
      <c r="AW33" s="239"/>
    </row>
    <row r="34" spans="1:49" ht="15" thickBot="1">
      <c r="J34" s="55">
        <v>2035</v>
      </c>
      <c r="K34" s="49">
        <v>248.55901271944222</v>
      </c>
      <c r="L34" s="53">
        <v>8.2975757508698025E-2</v>
      </c>
      <c r="M34" s="49"/>
      <c r="N34" s="1">
        <v>249</v>
      </c>
      <c r="AB34" s="217"/>
      <c r="AC34" s="218"/>
      <c r="AD34" s="218"/>
      <c r="AE34" s="218"/>
      <c r="AF34" s="218"/>
      <c r="AG34" s="218"/>
      <c r="AH34" s="218"/>
      <c r="AI34" s="218"/>
      <c r="AJ34" s="218"/>
      <c r="AK34" s="218"/>
      <c r="AL34" s="218"/>
      <c r="AM34" s="218"/>
      <c r="AN34" s="218"/>
      <c r="AO34" s="218"/>
      <c r="AP34" s="218"/>
      <c r="AQ34" s="218"/>
      <c r="AR34" s="218"/>
      <c r="AS34" s="218"/>
      <c r="AT34" s="218"/>
      <c r="AU34" s="218"/>
      <c r="AV34" s="218"/>
      <c r="AW34" s="240"/>
    </row>
    <row r="35" spans="1:49">
      <c r="J35" s="55">
        <v>2036</v>
      </c>
      <c r="K35" s="49">
        <v>269.18338508545202</v>
      </c>
      <c r="L35" s="53">
        <v>8.29757575086979E-2</v>
      </c>
      <c r="M35" s="49"/>
      <c r="N35" s="1">
        <v>269</v>
      </c>
      <c r="AB35" s="44"/>
      <c r="AC35" s="44"/>
      <c r="AD35" s="44"/>
      <c r="AE35" s="44"/>
      <c r="AF35" s="44"/>
      <c r="AG35" s="44"/>
      <c r="AH35" s="44"/>
      <c r="AI35" s="44"/>
      <c r="AJ35" s="44"/>
      <c r="AK35" s="44"/>
      <c r="AL35" s="44"/>
      <c r="AM35" s="44"/>
      <c r="AN35" s="44"/>
      <c r="AO35" s="44"/>
      <c r="AP35" s="44"/>
      <c r="AQ35" s="44"/>
      <c r="AR35" s="44"/>
      <c r="AS35" s="44"/>
      <c r="AT35" s="44"/>
      <c r="AU35" s="44"/>
      <c r="AV35" s="44"/>
      <c r="AW35" s="44"/>
    </row>
    <row r="36" spans="1:49">
      <c r="J36" s="55">
        <v>2037</v>
      </c>
      <c r="K36" s="49">
        <v>291.51908037167294</v>
      </c>
      <c r="L36" s="53">
        <v>8.2975757508697942E-2</v>
      </c>
      <c r="M36" s="49"/>
      <c r="N36" s="1">
        <v>292</v>
      </c>
      <c r="AB36" s="44"/>
      <c r="AC36" s="44"/>
      <c r="AD36" s="44"/>
      <c r="AE36" s="44"/>
      <c r="AF36" s="44"/>
      <c r="AG36" s="44"/>
      <c r="AH36" s="44"/>
      <c r="AI36" s="44"/>
      <c r="AJ36" s="44"/>
      <c r="AK36" s="44"/>
      <c r="AL36" s="44"/>
      <c r="AM36" s="44"/>
      <c r="AN36" s="44"/>
      <c r="AO36" s="44"/>
      <c r="AP36" s="44"/>
      <c r="AQ36" s="44"/>
      <c r="AR36" s="44"/>
      <c r="AS36" s="44"/>
      <c r="AT36" s="44"/>
      <c r="AU36" s="44"/>
      <c r="AV36" s="44"/>
      <c r="AW36" s="44"/>
    </row>
    <row r="37" spans="1:49">
      <c r="J37" s="55">
        <v>2038</v>
      </c>
      <c r="K37" s="49">
        <v>315.70809689375153</v>
      </c>
      <c r="L37" s="53">
        <v>8.2975757508698039E-2</v>
      </c>
      <c r="M37" s="49"/>
      <c r="N37" s="1">
        <v>316</v>
      </c>
    </row>
    <row r="38" spans="1:49">
      <c r="J38" s="55">
        <v>2039</v>
      </c>
      <c r="K38" s="49">
        <v>341.90421538513999</v>
      </c>
      <c r="L38" s="53">
        <v>8.2975757508698011E-2</v>
      </c>
      <c r="M38" s="49"/>
      <c r="N38" s="1">
        <v>342</v>
      </c>
    </row>
    <row r="39" spans="1:49">
      <c r="N39" s="36"/>
    </row>
    <row r="40" spans="1:49" ht="15" thickBot="1"/>
    <row r="41" spans="1:49" ht="15" thickBot="1">
      <c r="B41" s="241" t="s">
        <v>113</v>
      </c>
      <c r="C41" s="242"/>
      <c r="D41" s="242"/>
      <c r="E41" s="242"/>
      <c r="F41" s="242"/>
      <c r="G41" s="243"/>
      <c r="J41" s="263" t="s">
        <v>114</v>
      </c>
      <c r="K41" s="264"/>
      <c r="L41" s="264"/>
      <c r="M41" s="264"/>
      <c r="N41" s="264"/>
      <c r="O41" s="265"/>
      <c r="R41" s="198" t="s">
        <v>115</v>
      </c>
      <c r="S41" s="199"/>
      <c r="T41" s="199"/>
      <c r="U41" s="199"/>
      <c r="V41" s="199"/>
      <c r="W41" s="200"/>
    </row>
    <row r="42" spans="1:49" ht="15" thickBot="1">
      <c r="B42" s="244" t="s">
        <v>74</v>
      </c>
      <c r="C42" s="245"/>
      <c r="D42" s="245"/>
      <c r="E42" s="245"/>
      <c r="F42" s="245"/>
      <c r="G42" s="246"/>
      <c r="J42" s="221" t="s">
        <v>95</v>
      </c>
      <c r="K42" s="221"/>
      <c r="L42" s="221"/>
      <c r="M42" s="221"/>
      <c r="N42" s="221"/>
      <c r="O42" s="68">
        <f>S11</f>
        <v>1803112.6757605795</v>
      </c>
      <c r="R42" s="175" t="s">
        <v>8</v>
      </c>
      <c r="S42" s="175"/>
      <c r="T42" s="175"/>
      <c r="U42" s="175"/>
      <c r="V42" s="175"/>
      <c r="W42" s="68">
        <f>F16*F7</f>
        <v>2800000</v>
      </c>
    </row>
    <row r="43" spans="1:49" ht="15" thickBot="1">
      <c r="B43" s="247" t="s">
        <v>76</v>
      </c>
      <c r="C43" s="248"/>
      <c r="D43" s="248"/>
      <c r="E43" s="248"/>
      <c r="F43" s="248"/>
      <c r="G43" s="249"/>
      <c r="J43" s="167" t="s">
        <v>8</v>
      </c>
      <c r="K43" s="167"/>
      <c r="L43" s="167"/>
      <c r="M43" s="167"/>
      <c r="N43" s="167"/>
      <c r="O43" s="76">
        <f>F16*F7</f>
        <v>2800000</v>
      </c>
      <c r="P43" s="36" t="s">
        <v>184</v>
      </c>
      <c r="R43" s="266" t="s">
        <v>95</v>
      </c>
      <c r="S43" s="266"/>
      <c r="T43" s="266"/>
      <c r="U43" s="266"/>
      <c r="V43" s="266"/>
      <c r="W43" s="39">
        <f>S11</f>
        <v>1803112.6757605795</v>
      </c>
    </row>
    <row r="44" spans="1:49" ht="15" thickBot="1">
      <c r="B44" s="268" t="s">
        <v>77</v>
      </c>
      <c r="C44" s="269"/>
      <c r="D44" s="269"/>
      <c r="E44" s="269"/>
      <c r="F44" s="269"/>
      <c r="G44" s="270"/>
      <c r="J44" s="176" t="s">
        <v>121</v>
      </c>
      <c r="K44" s="177"/>
      <c r="L44" s="30">
        <f>$F$5*$F$13*N24</f>
        <v>430080</v>
      </c>
      <c r="M44" s="178" t="s">
        <v>120</v>
      </c>
      <c r="N44" s="179"/>
      <c r="O44" s="43">
        <f>$O$42+($O$43/(1+$F$18))-L44</f>
        <v>4039699.3424272463</v>
      </c>
      <c r="P44" s="43">
        <f>$O$42+($O$43/(1+$F$18))-L44</f>
        <v>4039699.3424272463</v>
      </c>
      <c r="R44" s="167" t="s">
        <v>118</v>
      </c>
      <c r="S44" s="167"/>
      <c r="T44" s="167"/>
      <c r="U44" s="167"/>
      <c r="V44" s="167"/>
      <c r="W44" s="76">
        <f>(W42*F19)/(1+F18)</f>
        <v>2533333.333333333</v>
      </c>
      <c r="X44" s="36" t="s">
        <v>184</v>
      </c>
    </row>
    <row r="45" spans="1:49">
      <c r="B45" s="18" t="s">
        <v>79</v>
      </c>
      <c r="C45" s="219" t="s">
        <v>84</v>
      </c>
      <c r="D45" s="220"/>
      <c r="E45" s="220"/>
      <c r="F45" s="220"/>
      <c r="G45" s="68">
        <f>-(F14*(MAX(F16*F7*F19-S7,0))+F15*(MAX(F16*F7*F19,0)))</f>
        <v>-1330000</v>
      </c>
      <c r="J45" s="176" t="s">
        <v>122</v>
      </c>
      <c r="K45" s="177"/>
      <c r="L45" s="30">
        <f>$F$5*$F$13*N25</f>
        <v>464640</v>
      </c>
      <c r="M45" s="178" t="s">
        <v>120</v>
      </c>
      <c r="N45" s="179"/>
      <c r="O45" s="30">
        <f>-L45</f>
        <v>-464640</v>
      </c>
      <c r="P45" s="39">
        <f>O45/(1+$F$18)^A49</f>
        <v>-442514.28571428568</v>
      </c>
      <c r="R45" s="184" t="s">
        <v>121</v>
      </c>
      <c r="S45" s="184"/>
      <c r="T45" s="30">
        <f t="shared" ref="T45:T59" si="0">$F$5*$F$13*N24</f>
        <v>430080</v>
      </c>
      <c r="U45" s="178" t="s">
        <v>119</v>
      </c>
      <c r="V45" s="179"/>
      <c r="W45" s="43">
        <f>$W$42+($W$43/(1+$F$18))-T45</f>
        <v>4087170.1673910283</v>
      </c>
      <c r="X45" s="39">
        <f>$W$42+($W$43/(1+$F$18))-T45</f>
        <v>4087170.1673910283</v>
      </c>
    </row>
    <row r="46" spans="1:49">
      <c r="B46" s="7" t="s">
        <v>80</v>
      </c>
      <c r="C46" s="120" t="s">
        <v>155</v>
      </c>
      <c r="D46" s="121"/>
      <c r="E46" s="121"/>
      <c r="F46" s="121"/>
      <c r="G46" s="39">
        <f>S11</f>
        <v>1803112.6757605795</v>
      </c>
      <c r="H46" s="15"/>
      <c r="J46" s="176" t="s">
        <v>123</v>
      </c>
      <c r="K46" s="177"/>
      <c r="L46" s="30">
        <f t="shared" ref="L46:L58" si="1">$F$5*$F$13*N26</f>
        <v>503040</v>
      </c>
      <c r="M46" s="178" t="s">
        <v>120</v>
      </c>
      <c r="N46" s="179"/>
      <c r="O46" s="30">
        <f>-L46</f>
        <v>-503040</v>
      </c>
      <c r="P46" s="39">
        <f>O46/(1+$F$18)^A50</f>
        <v>-456272.1088435374</v>
      </c>
      <c r="R46" s="184" t="s">
        <v>122</v>
      </c>
      <c r="S46" s="184"/>
      <c r="T46" s="30">
        <f t="shared" si="0"/>
        <v>464640</v>
      </c>
      <c r="U46" s="178" t="s">
        <v>119</v>
      </c>
      <c r="V46" s="179"/>
      <c r="W46" s="30">
        <f>-T46</f>
        <v>-464640</v>
      </c>
      <c r="X46" s="39">
        <f>W46/(1+$F$18)^A49</f>
        <v>-442514.28571428568</v>
      </c>
    </row>
    <row r="47" spans="1:49">
      <c r="B47" s="160" t="s">
        <v>112</v>
      </c>
      <c r="C47" s="161"/>
      <c r="D47" s="167" t="s">
        <v>82</v>
      </c>
      <c r="E47" s="167"/>
      <c r="F47" s="167"/>
      <c r="G47" s="39">
        <f>G45+G46</f>
        <v>473112.67576057953</v>
      </c>
      <c r="H47" s="15" t="s">
        <v>184</v>
      </c>
      <c r="J47" s="176" t="s">
        <v>124</v>
      </c>
      <c r="K47" s="177"/>
      <c r="L47" s="30">
        <f t="shared" si="1"/>
        <v>545280</v>
      </c>
      <c r="M47" s="178" t="s">
        <v>120</v>
      </c>
      <c r="N47" s="179"/>
      <c r="O47" s="30">
        <f t="shared" ref="O47:O58" si="2">-L47</f>
        <v>-545280</v>
      </c>
      <c r="P47" s="39">
        <f t="shared" ref="P47:P58" si="3">O47/(1+$F$18)^A51</f>
        <v>-471033.36572724325</v>
      </c>
      <c r="R47" s="184" t="s">
        <v>123</v>
      </c>
      <c r="S47" s="184"/>
      <c r="T47" s="30">
        <f t="shared" si="0"/>
        <v>503040</v>
      </c>
      <c r="U47" s="178" t="s">
        <v>119</v>
      </c>
      <c r="V47" s="179"/>
      <c r="W47" s="30">
        <f t="shared" ref="W47:W59" si="4">-T47</f>
        <v>-503040</v>
      </c>
      <c r="X47" s="39">
        <f t="shared" ref="X47:X59" si="5">W47/(1+$F$18)^A50</f>
        <v>-456272.1088435374</v>
      </c>
    </row>
    <row r="48" spans="1:49">
      <c r="A48">
        <v>0</v>
      </c>
      <c r="B48" s="192" t="s">
        <v>140</v>
      </c>
      <c r="C48" s="192"/>
      <c r="D48" s="192"/>
      <c r="E48" s="192"/>
      <c r="F48" s="192"/>
      <c r="G48" s="72">
        <f>2*$S$11-($F$5*$F$13*N24)</f>
        <v>3176145.3515211591</v>
      </c>
      <c r="H48" s="39">
        <f>G48</f>
        <v>3176145.3515211591</v>
      </c>
      <c r="J48" s="176" t="s">
        <v>125</v>
      </c>
      <c r="K48" s="177"/>
      <c r="L48" s="30">
        <f t="shared" si="1"/>
        <v>591360</v>
      </c>
      <c r="M48" s="178" t="s">
        <v>120</v>
      </c>
      <c r="N48" s="179"/>
      <c r="O48" s="30">
        <f t="shared" si="2"/>
        <v>-591360</v>
      </c>
      <c r="P48" s="39">
        <f t="shared" si="3"/>
        <v>-486513.33549292735</v>
      </c>
      <c r="R48" s="184" t="s">
        <v>124</v>
      </c>
      <c r="S48" s="184"/>
      <c r="T48" s="30">
        <f t="shared" si="0"/>
        <v>545280</v>
      </c>
      <c r="U48" s="178" t="s">
        <v>119</v>
      </c>
      <c r="V48" s="179"/>
      <c r="W48" s="30">
        <f t="shared" si="4"/>
        <v>-545280</v>
      </c>
      <c r="X48" s="39">
        <f t="shared" si="5"/>
        <v>-471033.36572724325</v>
      </c>
    </row>
    <row r="49" spans="1:24">
      <c r="A49">
        <v>1</v>
      </c>
      <c r="B49" s="192" t="s">
        <v>141</v>
      </c>
      <c r="C49" s="192"/>
      <c r="D49" s="192"/>
      <c r="E49" s="192"/>
      <c r="F49" s="192"/>
      <c r="G49" s="33">
        <f>-($F$5*$F$13*N25)</f>
        <v>-464640</v>
      </c>
      <c r="H49" s="39">
        <f>G49/(1+$F$18)^A49</f>
        <v>-442514.28571428568</v>
      </c>
      <c r="J49" s="176" t="s">
        <v>126</v>
      </c>
      <c r="K49" s="177"/>
      <c r="L49" s="30">
        <f t="shared" si="1"/>
        <v>641280</v>
      </c>
      <c r="M49" s="178" t="s">
        <v>120</v>
      </c>
      <c r="N49" s="179"/>
      <c r="O49" s="30">
        <f t="shared" si="2"/>
        <v>-641280</v>
      </c>
      <c r="P49" s="39">
        <f t="shared" si="3"/>
        <v>-502459.66003289336</v>
      </c>
      <c r="R49" s="184" t="s">
        <v>125</v>
      </c>
      <c r="S49" s="184"/>
      <c r="T49" s="30">
        <f t="shared" si="0"/>
        <v>591360</v>
      </c>
      <c r="U49" s="178" t="s">
        <v>119</v>
      </c>
      <c r="V49" s="179"/>
      <c r="W49" s="30">
        <f t="shared" si="4"/>
        <v>-591360</v>
      </c>
      <c r="X49" s="39">
        <f t="shared" si="5"/>
        <v>-486513.33549292735</v>
      </c>
    </row>
    <row r="50" spans="1:24">
      <c r="A50">
        <v>2</v>
      </c>
      <c r="B50" s="192" t="s">
        <v>142</v>
      </c>
      <c r="C50" s="192"/>
      <c r="D50" s="192"/>
      <c r="E50" s="192"/>
      <c r="F50" s="192"/>
      <c r="G50" s="33">
        <f t="shared" ref="G50:G62" si="6">-($F$5*$F$13*N26)</f>
        <v>-503040</v>
      </c>
      <c r="H50" s="39">
        <f>G50/(1+$F$18)^A50</f>
        <v>-456272.1088435374</v>
      </c>
      <c r="J50" s="176" t="s">
        <v>127</v>
      </c>
      <c r="K50" s="177"/>
      <c r="L50" s="30">
        <f t="shared" si="1"/>
        <v>695040</v>
      </c>
      <c r="M50" s="178" t="s">
        <v>120</v>
      </c>
      <c r="N50" s="179"/>
      <c r="O50" s="30">
        <f t="shared" si="2"/>
        <v>-695040</v>
      </c>
      <c r="P50" s="39">
        <f t="shared" si="3"/>
        <v>-518649.54927832168</v>
      </c>
      <c r="R50" s="184" t="s">
        <v>126</v>
      </c>
      <c r="S50" s="184"/>
      <c r="T50" s="30">
        <f t="shared" si="0"/>
        <v>641280</v>
      </c>
      <c r="U50" s="178" t="s">
        <v>119</v>
      </c>
      <c r="V50" s="179"/>
      <c r="W50" s="30">
        <f t="shared" si="4"/>
        <v>-641280</v>
      </c>
      <c r="X50" s="39">
        <f t="shared" si="5"/>
        <v>-502459.66003289336</v>
      </c>
    </row>
    <row r="51" spans="1:24">
      <c r="A51">
        <v>3</v>
      </c>
      <c r="B51" s="192" t="s">
        <v>143</v>
      </c>
      <c r="C51" s="192"/>
      <c r="D51" s="192"/>
      <c r="E51" s="192"/>
      <c r="F51" s="192"/>
      <c r="G51" s="33">
        <f t="shared" si="6"/>
        <v>-545280</v>
      </c>
      <c r="H51" s="39">
        <f t="shared" ref="H51:H62" si="7">G51/(1+$F$18)^A51</f>
        <v>-471033.36572724325</v>
      </c>
      <c r="J51" s="176" t="s">
        <v>128</v>
      </c>
      <c r="K51" s="177"/>
      <c r="L51" s="30">
        <f t="shared" si="1"/>
        <v>752640</v>
      </c>
      <c r="M51" s="178" t="s">
        <v>120</v>
      </c>
      <c r="N51" s="179"/>
      <c r="O51" s="30">
        <f t="shared" si="2"/>
        <v>-752640</v>
      </c>
      <c r="P51" s="39">
        <f t="shared" si="3"/>
        <v>-534887.1963091346</v>
      </c>
      <c r="R51" s="184" t="s">
        <v>127</v>
      </c>
      <c r="S51" s="184"/>
      <c r="T51" s="30">
        <f t="shared" si="0"/>
        <v>695040</v>
      </c>
      <c r="U51" s="178" t="s">
        <v>119</v>
      </c>
      <c r="V51" s="179"/>
      <c r="W51" s="30">
        <f t="shared" si="4"/>
        <v>-695040</v>
      </c>
      <c r="X51" s="39">
        <f t="shared" si="5"/>
        <v>-518649.54927832168</v>
      </c>
    </row>
    <row r="52" spans="1:24">
      <c r="A52">
        <v>4</v>
      </c>
      <c r="B52" s="192" t="s">
        <v>144</v>
      </c>
      <c r="C52" s="192"/>
      <c r="D52" s="192"/>
      <c r="E52" s="192"/>
      <c r="F52" s="192"/>
      <c r="G52" s="33">
        <f t="shared" si="6"/>
        <v>-591360</v>
      </c>
      <c r="H52" s="39">
        <f t="shared" si="7"/>
        <v>-486513.33549292735</v>
      </c>
      <c r="J52" s="176" t="s">
        <v>129</v>
      </c>
      <c r="K52" s="177"/>
      <c r="L52" s="30">
        <f t="shared" si="1"/>
        <v>814080</v>
      </c>
      <c r="M52" s="178" t="s">
        <v>120</v>
      </c>
      <c r="N52" s="179"/>
      <c r="O52" s="30">
        <f t="shared" si="2"/>
        <v>-814080</v>
      </c>
      <c r="P52" s="39">
        <f t="shared" si="3"/>
        <v>-551001.3878403136</v>
      </c>
      <c r="R52" s="184" t="s">
        <v>128</v>
      </c>
      <c r="S52" s="184"/>
      <c r="T52" s="30">
        <f t="shared" si="0"/>
        <v>752640</v>
      </c>
      <c r="U52" s="178" t="s">
        <v>119</v>
      </c>
      <c r="V52" s="179"/>
      <c r="W52" s="30">
        <f t="shared" si="4"/>
        <v>-752640</v>
      </c>
      <c r="X52" s="39">
        <f t="shared" si="5"/>
        <v>-534887.1963091346</v>
      </c>
    </row>
    <row r="53" spans="1:24">
      <c r="A53">
        <v>5</v>
      </c>
      <c r="B53" s="192" t="s">
        <v>145</v>
      </c>
      <c r="C53" s="192"/>
      <c r="D53" s="192"/>
      <c r="E53" s="192"/>
      <c r="F53" s="192"/>
      <c r="G53" s="33">
        <f t="shared" si="6"/>
        <v>-641280</v>
      </c>
      <c r="H53" s="39">
        <f>G53/(1+$F$18)^A53</f>
        <v>-502459.66003289336</v>
      </c>
      <c r="J53" s="176" t="s">
        <v>130</v>
      </c>
      <c r="K53" s="177"/>
      <c r="L53" s="30">
        <f t="shared" si="1"/>
        <v>883200</v>
      </c>
      <c r="M53" s="178" t="s">
        <v>120</v>
      </c>
      <c r="N53" s="179"/>
      <c r="O53" s="30">
        <f t="shared" si="2"/>
        <v>-883200</v>
      </c>
      <c r="P53" s="39">
        <f t="shared" si="3"/>
        <v>-569318.59480355855</v>
      </c>
      <c r="R53" s="184" t="s">
        <v>129</v>
      </c>
      <c r="S53" s="184"/>
      <c r="T53" s="30">
        <f t="shared" si="0"/>
        <v>814080</v>
      </c>
      <c r="U53" s="178" t="s">
        <v>119</v>
      </c>
      <c r="V53" s="179"/>
      <c r="W53" s="30">
        <f t="shared" si="4"/>
        <v>-814080</v>
      </c>
      <c r="X53" s="39">
        <f t="shared" si="5"/>
        <v>-551001.3878403136</v>
      </c>
    </row>
    <row r="54" spans="1:24">
      <c r="A54">
        <v>6</v>
      </c>
      <c r="B54" s="192" t="s">
        <v>146</v>
      </c>
      <c r="C54" s="192"/>
      <c r="D54" s="192"/>
      <c r="E54" s="192"/>
      <c r="F54" s="192"/>
      <c r="G54" s="33">
        <f t="shared" si="6"/>
        <v>-695040</v>
      </c>
      <c r="H54" s="39">
        <f t="shared" si="7"/>
        <v>-518649.54927832168</v>
      </c>
      <c r="J54" s="176" t="s">
        <v>131</v>
      </c>
      <c r="K54" s="177"/>
      <c r="L54" s="30">
        <f t="shared" si="1"/>
        <v>956160</v>
      </c>
      <c r="M54" s="178" t="s">
        <v>120</v>
      </c>
      <c r="N54" s="179"/>
      <c r="O54" s="30">
        <f t="shared" si="2"/>
        <v>-956160</v>
      </c>
      <c r="P54" s="39">
        <f t="shared" si="3"/>
        <v>-586999.29650553246</v>
      </c>
      <c r="R54" s="184" t="s">
        <v>130</v>
      </c>
      <c r="S54" s="184"/>
      <c r="T54" s="30">
        <f t="shared" si="0"/>
        <v>883200</v>
      </c>
      <c r="U54" s="178" t="s">
        <v>119</v>
      </c>
      <c r="V54" s="179"/>
      <c r="W54" s="30">
        <f t="shared" si="4"/>
        <v>-883200</v>
      </c>
      <c r="X54" s="39">
        <f t="shared" si="5"/>
        <v>-569318.59480355855</v>
      </c>
    </row>
    <row r="55" spans="1:24">
      <c r="A55">
        <v>7</v>
      </c>
      <c r="B55" s="192" t="s">
        <v>147</v>
      </c>
      <c r="C55" s="192"/>
      <c r="D55" s="192"/>
      <c r="E55" s="192"/>
      <c r="F55" s="192"/>
      <c r="G55" s="33">
        <f t="shared" si="6"/>
        <v>-752640</v>
      </c>
      <c r="H55" s="39">
        <f t="shared" si="7"/>
        <v>-534887.1963091346</v>
      </c>
      <c r="J55" s="176" t="s">
        <v>132</v>
      </c>
      <c r="K55" s="177"/>
      <c r="L55" s="30">
        <f t="shared" si="1"/>
        <v>1032960</v>
      </c>
      <c r="M55" s="178" t="s">
        <v>120</v>
      </c>
      <c r="N55" s="179"/>
      <c r="O55" s="30">
        <f t="shared" si="2"/>
        <v>-1032960</v>
      </c>
      <c r="P55" s="39">
        <f t="shared" si="3"/>
        <v>-603950.31845472637</v>
      </c>
      <c r="R55" s="184" t="s">
        <v>131</v>
      </c>
      <c r="S55" s="184"/>
      <c r="T55" s="30">
        <f t="shared" si="0"/>
        <v>956160</v>
      </c>
      <c r="U55" s="178" t="s">
        <v>119</v>
      </c>
      <c r="V55" s="179"/>
      <c r="W55" s="30">
        <f t="shared" si="4"/>
        <v>-956160</v>
      </c>
      <c r="X55" s="39">
        <f t="shared" si="5"/>
        <v>-586999.29650553246</v>
      </c>
    </row>
    <row r="56" spans="1:24">
      <c r="A56">
        <v>8</v>
      </c>
      <c r="B56" s="192" t="s">
        <v>148</v>
      </c>
      <c r="C56" s="192"/>
      <c r="D56" s="192"/>
      <c r="E56" s="192"/>
      <c r="F56" s="192"/>
      <c r="G56" s="33">
        <f t="shared" si="6"/>
        <v>-814080</v>
      </c>
      <c r="H56" s="39">
        <f t="shared" si="7"/>
        <v>-551001.3878403136</v>
      </c>
      <c r="J56" s="176" t="s">
        <v>133</v>
      </c>
      <c r="K56" s="177"/>
      <c r="L56" s="30">
        <f t="shared" si="1"/>
        <v>1121280</v>
      </c>
      <c r="M56" s="178" t="s">
        <v>120</v>
      </c>
      <c r="N56" s="179"/>
      <c r="O56" s="30">
        <f t="shared" si="2"/>
        <v>-1121280</v>
      </c>
      <c r="P56" s="39">
        <f t="shared" si="3"/>
        <v>-624370.66025413398</v>
      </c>
      <c r="R56" s="184" t="s">
        <v>132</v>
      </c>
      <c r="S56" s="184"/>
      <c r="T56" s="30">
        <f t="shared" si="0"/>
        <v>1032960</v>
      </c>
      <c r="U56" s="178" t="s">
        <v>119</v>
      </c>
      <c r="V56" s="179"/>
      <c r="W56" s="30">
        <f t="shared" si="4"/>
        <v>-1032960</v>
      </c>
      <c r="X56" s="39">
        <f t="shared" si="5"/>
        <v>-603950.31845472637</v>
      </c>
    </row>
    <row r="57" spans="1:24">
      <c r="A57">
        <v>9</v>
      </c>
      <c r="B57" s="192" t="s">
        <v>149</v>
      </c>
      <c r="C57" s="192"/>
      <c r="D57" s="192"/>
      <c r="E57" s="192"/>
      <c r="F57" s="192"/>
      <c r="G57" s="33">
        <f t="shared" si="6"/>
        <v>-883200</v>
      </c>
      <c r="H57" s="39">
        <f t="shared" si="7"/>
        <v>-569318.59480355855</v>
      </c>
      <c r="J57" s="176" t="s">
        <v>134</v>
      </c>
      <c r="K57" s="177"/>
      <c r="L57" s="30">
        <f t="shared" si="1"/>
        <v>1213440</v>
      </c>
      <c r="M57" s="178" t="s">
        <v>120</v>
      </c>
      <c r="N57" s="179"/>
      <c r="O57" s="30">
        <f t="shared" si="2"/>
        <v>-1213440</v>
      </c>
      <c r="P57" s="39">
        <f t="shared" si="3"/>
        <v>-643513.13972702634</v>
      </c>
      <c r="R57" s="184" t="s">
        <v>133</v>
      </c>
      <c r="S57" s="184"/>
      <c r="T57" s="30">
        <f t="shared" si="0"/>
        <v>1121280</v>
      </c>
      <c r="U57" s="178" t="s">
        <v>119</v>
      </c>
      <c r="V57" s="179"/>
      <c r="W57" s="30">
        <f t="shared" si="4"/>
        <v>-1121280</v>
      </c>
      <c r="X57" s="39">
        <f t="shared" si="5"/>
        <v>-624370.66025413398</v>
      </c>
    </row>
    <row r="58" spans="1:24">
      <c r="A58">
        <v>10</v>
      </c>
      <c r="B58" s="192" t="s">
        <v>150</v>
      </c>
      <c r="C58" s="192"/>
      <c r="D58" s="192"/>
      <c r="E58" s="192"/>
      <c r="F58" s="192"/>
      <c r="G58" s="33">
        <f t="shared" si="6"/>
        <v>-956160</v>
      </c>
      <c r="H58" s="39">
        <f t="shared" si="7"/>
        <v>-586999.29650553246</v>
      </c>
      <c r="J58" s="176" t="s">
        <v>135</v>
      </c>
      <c r="K58" s="177"/>
      <c r="L58" s="30">
        <f t="shared" si="1"/>
        <v>1313280</v>
      </c>
      <c r="M58" s="178" t="s">
        <v>120</v>
      </c>
      <c r="N58" s="179"/>
      <c r="O58" s="30">
        <f t="shared" si="2"/>
        <v>-1313280</v>
      </c>
      <c r="P58" s="39">
        <f t="shared" si="3"/>
        <v>-663295.64130995504</v>
      </c>
      <c r="R58" s="184" t="s">
        <v>134</v>
      </c>
      <c r="S58" s="184"/>
      <c r="T58" s="30">
        <f t="shared" si="0"/>
        <v>1213440</v>
      </c>
      <c r="U58" s="178" t="s">
        <v>119</v>
      </c>
      <c r="V58" s="179"/>
      <c r="W58" s="30">
        <f t="shared" si="4"/>
        <v>-1213440</v>
      </c>
      <c r="X58" s="39">
        <f t="shared" si="5"/>
        <v>-643513.13972702634</v>
      </c>
    </row>
    <row r="59" spans="1:24">
      <c r="A59">
        <v>11</v>
      </c>
      <c r="B59" s="192" t="s">
        <v>151</v>
      </c>
      <c r="C59" s="192"/>
      <c r="D59" s="192"/>
      <c r="E59" s="192"/>
      <c r="F59" s="192"/>
      <c r="G59" s="33">
        <f t="shared" si="6"/>
        <v>-1032960</v>
      </c>
      <c r="H59" s="39">
        <f t="shared" si="7"/>
        <v>-603950.31845472637</v>
      </c>
      <c r="L59" s="41"/>
      <c r="M59" s="41"/>
      <c r="N59" s="41"/>
      <c r="O59" s="77" t="s">
        <v>178</v>
      </c>
      <c r="P59" s="78">
        <f>SUM(P44:P58)</f>
        <v>-3615079.1978663439</v>
      </c>
      <c r="R59" s="184" t="s">
        <v>135</v>
      </c>
      <c r="S59" s="184"/>
      <c r="T59" s="30">
        <f t="shared" si="0"/>
        <v>1313280</v>
      </c>
      <c r="U59" s="178" t="s">
        <v>119</v>
      </c>
      <c r="V59" s="179"/>
      <c r="W59" s="30">
        <f t="shared" si="4"/>
        <v>-1313280</v>
      </c>
      <c r="X59" s="39">
        <f t="shared" si="5"/>
        <v>-663295.64130995504</v>
      </c>
    </row>
    <row r="60" spans="1:24" ht="14.4" customHeight="1">
      <c r="A60">
        <v>12</v>
      </c>
      <c r="B60" s="192" t="s">
        <v>152</v>
      </c>
      <c r="C60" s="192"/>
      <c r="D60" s="192"/>
      <c r="E60" s="192"/>
      <c r="F60" s="192"/>
      <c r="G60" s="33">
        <f t="shared" si="6"/>
        <v>-1121280</v>
      </c>
      <c r="H60" s="39">
        <f t="shared" si="7"/>
        <v>-624370.66025413398</v>
      </c>
      <c r="W60" s="77" t="s">
        <v>178</v>
      </c>
      <c r="X60" s="78">
        <f>SUM(X45:X59)</f>
        <v>-3567608.3729025614</v>
      </c>
    </row>
    <row r="61" spans="1:24">
      <c r="A61">
        <v>13</v>
      </c>
      <c r="B61" s="192" t="s">
        <v>153</v>
      </c>
      <c r="C61" s="192"/>
      <c r="D61" s="192"/>
      <c r="E61" s="192"/>
      <c r="F61" s="192"/>
      <c r="G61" s="33">
        <f t="shared" si="6"/>
        <v>-1213440</v>
      </c>
      <c r="H61" s="39">
        <f t="shared" si="7"/>
        <v>-643513.13972702634</v>
      </c>
      <c r="Q61" s="47"/>
      <c r="R61" s="167" t="s">
        <v>183</v>
      </c>
      <c r="S61" s="167"/>
      <c r="T61" s="167"/>
      <c r="U61" s="167"/>
      <c r="V61" s="167"/>
    </row>
    <row r="62" spans="1:24" ht="15" thickBot="1">
      <c r="A62">
        <v>14</v>
      </c>
      <c r="B62" s="196" t="s">
        <v>154</v>
      </c>
      <c r="C62" s="196"/>
      <c r="D62" s="196"/>
      <c r="E62" s="196"/>
      <c r="F62" s="196"/>
      <c r="G62" s="73">
        <f t="shared" si="6"/>
        <v>-1313280</v>
      </c>
      <c r="H62" s="39">
        <f t="shared" si="7"/>
        <v>-663295.64130995504</v>
      </c>
      <c r="R62" s="191" t="s">
        <v>182</v>
      </c>
      <c r="S62" s="191"/>
      <c r="T62" s="191"/>
      <c r="U62" s="191"/>
      <c r="V62" s="191"/>
      <c r="W62" s="43">
        <f>MIN(W44,X60)</f>
        <v>-3567608.3729025614</v>
      </c>
    </row>
    <row r="63" spans="1:24" ht="15" thickBot="1">
      <c r="B63" s="185" t="s">
        <v>117</v>
      </c>
      <c r="C63" s="186"/>
      <c r="D63" s="186"/>
      <c r="E63" s="186"/>
      <c r="F63" s="187"/>
      <c r="G63" s="74" t="s">
        <v>178</v>
      </c>
      <c r="H63" s="75">
        <f>SUM(H48:H62)</f>
        <v>-4478633.1887724306</v>
      </c>
      <c r="I63" s="38"/>
    </row>
    <row r="64" spans="1:24" ht="15" thickBot="1">
      <c r="B64" s="175" t="s">
        <v>116</v>
      </c>
      <c r="C64" s="175"/>
      <c r="D64" s="175"/>
      <c r="E64" s="175"/>
      <c r="F64" s="175"/>
      <c r="G64" s="69">
        <f>F14*MIN((F16*F7)+(F11*F12*F13)*(1+F20),S7)</f>
        <v>2067680</v>
      </c>
      <c r="H64" s="15"/>
      <c r="S64" s="48"/>
    </row>
    <row r="65" spans="2:24">
      <c r="B65" s="250" t="s">
        <v>87</v>
      </c>
      <c r="C65" s="251"/>
      <c r="D65" s="252" t="s">
        <v>107</v>
      </c>
      <c r="E65" s="253"/>
      <c r="F65" s="254"/>
      <c r="G65" s="45">
        <f>(F14*MIN(G45,G46,G47,H63)+F15*MIN(G45,G46,G47,H63))/(1+F18)</f>
        <v>-4265364.9416880291</v>
      </c>
      <c r="H65" s="59"/>
      <c r="J65" s="188" t="s">
        <v>181</v>
      </c>
      <c r="K65" s="189"/>
      <c r="L65" s="189"/>
      <c r="M65" s="189"/>
      <c r="N65" s="189"/>
      <c r="O65" s="190"/>
      <c r="Q65" s="46"/>
      <c r="V65" s="42"/>
      <c r="W65" s="42"/>
      <c r="X65" s="42"/>
    </row>
    <row r="66" spans="2:24">
      <c r="B66" s="120"/>
      <c r="C66" s="122"/>
      <c r="D66" s="255"/>
      <c r="E66" s="256"/>
      <c r="F66" s="257"/>
      <c r="G66" s="3"/>
      <c r="H66" s="15"/>
      <c r="J66" s="134" t="s">
        <v>180</v>
      </c>
      <c r="K66" s="134"/>
      <c r="L66" s="134"/>
      <c r="M66" s="134"/>
      <c r="N66" s="134"/>
      <c r="O66" s="82">
        <f>G68*F14+W62*F15</f>
        <v>-2516486.657295295</v>
      </c>
    </row>
    <row r="67" spans="2:24" ht="15" thickBot="1">
      <c r="B67" s="258" t="s">
        <v>88</v>
      </c>
      <c r="C67" s="259"/>
      <c r="D67" s="260" t="s">
        <v>90</v>
      </c>
      <c r="E67" s="261"/>
      <c r="F67" s="262"/>
      <c r="G67" s="45">
        <f>G64/(1+F18)</f>
        <v>1969219.0476190476</v>
      </c>
      <c r="H67" s="15"/>
      <c r="J67" s="134" t="s">
        <v>179</v>
      </c>
      <c r="K67" s="134"/>
      <c r="L67" s="134"/>
      <c r="M67" s="134"/>
      <c r="N67" s="134"/>
      <c r="O67" s="82">
        <f>F14*G72+F15*P59/(1+F18)</f>
        <v>-1218488.8154841037</v>
      </c>
    </row>
    <row r="68" spans="2:24" ht="15" thickBot="1">
      <c r="B68" s="193" t="s">
        <v>91</v>
      </c>
      <c r="C68" s="194"/>
      <c r="D68" s="194"/>
      <c r="E68" s="194"/>
      <c r="F68" s="195"/>
      <c r="G68" s="80">
        <f>MIN(F16*F7+G65,G67)</f>
        <v>-1465364.9416880291</v>
      </c>
      <c r="H68" s="15"/>
    </row>
    <row r="69" spans="2:24" ht="15" thickBot="1">
      <c r="H69" s="15"/>
      <c r="J69" s="167" t="s">
        <v>185</v>
      </c>
      <c r="K69" s="167"/>
      <c r="L69" s="167"/>
      <c r="M69" s="167"/>
      <c r="N69" s="167"/>
      <c r="O69" s="16">
        <v>802100.7</v>
      </c>
    </row>
    <row r="70" spans="2:24" ht="15" thickBot="1">
      <c r="B70" s="180" t="s">
        <v>92</v>
      </c>
      <c r="C70" s="181"/>
      <c r="D70" s="181"/>
      <c r="E70" s="181"/>
      <c r="F70" s="181"/>
      <c r="G70" s="182"/>
      <c r="H70" s="15"/>
      <c r="J70" s="167" t="s">
        <v>186</v>
      </c>
      <c r="K70" s="167"/>
      <c r="L70" s="167"/>
      <c r="M70" s="167"/>
      <c r="N70" s="167"/>
      <c r="O70" s="16">
        <v>517854.98</v>
      </c>
    </row>
    <row r="71" spans="2:24" ht="15" thickBot="1">
      <c r="B71" s="183" t="s">
        <v>93</v>
      </c>
      <c r="C71" s="183"/>
      <c r="D71" s="183"/>
      <c r="E71" s="183"/>
      <c r="F71" s="183"/>
      <c r="G71" s="175"/>
      <c r="H71" s="15"/>
    </row>
    <row r="72" spans="2:24" ht="15" thickBot="1">
      <c r="B72" s="193" t="s">
        <v>94</v>
      </c>
      <c r="C72" s="194"/>
      <c r="D72" s="194"/>
      <c r="E72" s="194"/>
      <c r="F72" s="195"/>
      <c r="G72" s="81">
        <f>F14*S11+F15*S12</f>
        <v>1005954.9384283102</v>
      </c>
      <c r="H72" s="15"/>
    </row>
  </sheetData>
  <mergeCells count="140">
    <mergeCell ref="AB1:AW34"/>
    <mergeCell ref="B68:F68"/>
    <mergeCell ref="B16:D16"/>
    <mergeCell ref="B17:D17"/>
    <mergeCell ref="B64:F64"/>
    <mergeCell ref="B18:D18"/>
    <mergeCell ref="B19:D19"/>
    <mergeCell ref="B20:D20"/>
    <mergeCell ref="C46:F46"/>
    <mergeCell ref="B47:C47"/>
    <mergeCell ref="D47:F47"/>
    <mergeCell ref="B48:F48"/>
    <mergeCell ref="B41:G41"/>
    <mergeCell ref="B42:G42"/>
    <mergeCell ref="B43:G43"/>
    <mergeCell ref="B65:C65"/>
    <mergeCell ref="D65:F66"/>
    <mergeCell ref="B67:C67"/>
    <mergeCell ref="D67:F67"/>
    <mergeCell ref="J41:O41"/>
    <mergeCell ref="R43:V43"/>
    <mergeCell ref="P16:R16"/>
    <mergeCell ref="J44:K44"/>
    <mergeCell ref="B44:G44"/>
    <mergeCell ref="C45:F45"/>
    <mergeCell ref="J42:N42"/>
    <mergeCell ref="J43:N43"/>
    <mergeCell ref="A1:O3"/>
    <mergeCell ref="A5:A20"/>
    <mergeCell ref="B5:D5"/>
    <mergeCell ref="B6:D6"/>
    <mergeCell ref="B7:D7"/>
    <mergeCell ref="B8:D8"/>
    <mergeCell ref="B9:D9"/>
    <mergeCell ref="B10:D10"/>
    <mergeCell ref="B11:D11"/>
    <mergeCell ref="B12:D12"/>
    <mergeCell ref="B13:D13"/>
    <mergeCell ref="B14:D14"/>
    <mergeCell ref="B15:D15"/>
    <mergeCell ref="J45:K45"/>
    <mergeCell ref="B21:D21"/>
    <mergeCell ref="P5:R5"/>
    <mergeCell ref="P25:S27"/>
    <mergeCell ref="R41:W41"/>
    <mergeCell ref="P9:R9"/>
    <mergeCell ref="P10:R10"/>
    <mergeCell ref="P11:R11"/>
    <mergeCell ref="P7:R8"/>
    <mergeCell ref="P12:R12"/>
    <mergeCell ref="P13:R13"/>
    <mergeCell ref="P14:S14"/>
    <mergeCell ref="U6:AA26"/>
    <mergeCell ref="U1:AA5"/>
    <mergeCell ref="R42:V42"/>
    <mergeCell ref="U45:V45"/>
    <mergeCell ref="M57:N57"/>
    <mergeCell ref="M44:N44"/>
    <mergeCell ref="M55:N55"/>
    <mergeCell ref="M56:N56"/>
    <mergeCell ref="R45:S45"/>
    <mergeCell ref="R46:S46"/>
    <mergeCell ref="R47:S47"/>
    <mergeCell ref="R48:S48"/>
    <mergeCell ref="R49:S49"/>
    <mergeCell ref="R50:S50"/>
    <mergeCell ref="R51:S51"/>
    <mergeCell ref="R52:S52"/>
    <mergeCell ref="M45:N45"/>
    <mergeCell ref="M50:N50"/>
    <mergeCell ref="M49:N49"/>
    <mergeCell ref="M48:N48"/>
    <mergeCell ref="M47:N47"/>
    <mergeCell ref="M46:N46"/>
    <mergeCell ref="R44:V44"/>
    <mergeCell ref="U47:V47"/>
    <mergeCell ref="U48:V48"/>
    <mergeCell ref="U49:V49"/>
    <mergeCell ref="B49:F49"/>
    <mergeCell ref="B50:F50"/>
    <mergeCell ref="U46:V46"/>
    <mergeCell ref="B72:F72"/>
    <mergeCell ref="B60:F60"/>
    <mergeCell ref="B61:F61"/>
    <mergeCell ref="B62:F62"/>
    <mergeCell ref="J56:K56"/>
    <mergeCell ref="J57:K57"/>
    <mergeCell ref="J58:K58"/>
    <mergeCell ref="J51:K51"/>
    <mergeCell ref="J52:K52"/>
    <mergeCell ref="J53:K53"/>
    <mergeCell ref="J54:K54"/>
    <mergeCell ref="J55:K55"/>
    <mergeCell ref="B58:F58"/>
    <mergeCell ref="B59:F59"/>
    <mergeCell ref="B51:F51"/>
    <mergeCell ref="B52:F52"/>
    <mergeCell ref="B53:F53"/>
    <mergeCell ref="B54:F54"/>
    <mergeCell ref="B55:F55"/>
    <mergeCell ref="B56:F56"/>
    <mergeCell ref="B57:F57"/>
    <mergeCell ref="B70:G70"/>
    <mergeCell ref="B71:G71"/>
    <mergeCell ref="B66:C66"/>
    <mergeCell ref="M54:N54"/>
    <mergeCell ref="M53:N53"/>
    <mergeCell ref="M52:N52"/>
    <mergeCell ref="M51:N51"/>
    <mergeCell ref="R58:S58"/>
    <mergeCell ref="R59:S59"/>
    <mergeCell ref="M58:N58"/>
    <mergeCell ref="B63:F63"/>
    <mergeCell ref="J67:N67"/>
    <mergeCell ref="R53:S53"/>
    <mergeCell ref="R54:S54"/>
    <mergeCell ref="R55:S55"/>
    <mergeCell ref="R56:S56"/>
    <mergeCell ref="R57:S57"/>
    <mergeCell ref="J66:N66"/>
    <mergeCell ref="J65:O65"/>
    <mergeCell ref="R61:V61"/>
    <mergeCell ref="R62:V62"/>
    <mergeCell ref="U58:V58"/>
    <mergeCell ref="U59:V59"/>
    <mergeCell ref="J69:N69"/>
    <mergeCell ref="J46:K46"/>
    <mergeCell ref="J47:K47"/>
    <mergeCell ref="J48:K48"/>
    <mergeCell ref="J49:K49"/>
    <mergeCell ref="J50:K50"/>
    <mergeCell ref="U54:V54"/>
    <mergeCell ref="U55:V55"/>
    <mergeCell ref="U56:V56"/>
    <mergeCell ref="U57:V57"/>
    <mergeCell ref="U50:V50"/>
    <mergeCell ref="U51:V51"/>
    <mergeCell ref="U52:V52"/>
    <mergeCell ref="U53:V53"/>
    <mergeCell ref="J70:N70"/>
  </mergeCells>
  <phoneticPr fontId="1"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2FD30C-0CA8-4270-B686-A8125907F0B5}">
  <dimension ref="A1:AW81"/>
  <sheetViews>
    <sheetView tabSelected="1" topLeftCell="A42" zoomScale="85" zoomScaleNormal="85" workbookViewId="0">
      <selection activeCell="I82" sqref="I82"/>
    </sheetView>
  </sheetViews>
  <sheetFormatPr baseColWidth="10" defaultRowHeight="14.4"/>
  <cols>
    <col min="1" max="1" width="6.44140625" customWidth="1"/>
  </cols>
  <sheetData>
    <row r="1" spans="1:49" ht="14.4" customHeight="1">
      <c r="A1" s="222" t="s">
        <v>136</v>
      </c>
      <c r="B1" s="223"/>
      <c r="C1" s="223"/>
      <c r="D1" s="223"/>
      <c r="E1" s="223"/>
      <c r="F1" s="223"/>
      <c r="G1" s="223"/>
      <c r="H1" s="223"/>
      <c r="I1" s="223"/>
      <c r="J1" s="223"/>
      <c r="K1" s="223"/>
      <c r="L1" s="223"/>
      <c r="M1" s="223"/>
      <c r="N1" s="223"/>
      <c r="O1" s="224"/>
      <c r="U1" s="213" t="s">
        <v>137</v>
      </c>
      <c r="V1" s="214"/>
      <c r="W1" s="214"/>
      <c r="X1" s="214"/>
      <c r="Y1" s="214"/>
      <c r="Z1" s="214"/>
      <c r="AA1" s="214"/>
      <c r="AB1" s="213" t="s">
        <v>139</v>
      </c>
      <c r="AC1" s="214"/>
      <c r="AD1" s="214"/>
      <c r="AE1" s="214"/>
      <c r="AF1" s="214"/>
      <c r="AG1" s="214"/>
      <c r="AH1" s="214"/>
      <c r="AI1" s="214"/>
      <c r="AJ1" s="214"/>
      <c r="AK1" s="214"/>
      <c r="AL1" s="214"/>
      <c r="AM1" s="214"/>
      <c r="AN1" s="214"/>
      <c r="AO1" s="214"/>
      <c r="AP1" s="214"/>
      <c r="AQ1" s="214"/>
      <c r="AR1" s="214"/>
      <c r="AS1" s="214"/>
      <c r="AT1" s="214"/>
      <c r="AU1" s="214"/>
      <c r="AV1" s="214"/>
      <c r="AW1" s="238"/>
    </row>
    <row r="2" spans="1:49">
      <c r="A2" s="225"/>
      <c r="B2" s="226"/>
      <c r="C2" s="226"/>
      <c r="D2" s="226"/>
      <c r="E2" s="226"/>
      <c r="F2" s="226"/>
      <c r="G2" s="226"/>
      <c r="H2" s="226"/>
      <c r="I2" s="226"/>
      <c r="J2" s="226"/>
      <c r="K2" s="226"/>
      <c r="L2" s="226"/>
      <c r="M2" s="226"/>
      <c r="N2" s="226"/>
      <c r="O2" s="227"/>
      <c r="U2" s="215"/>
      <c r="V2" s="216"/>
      <c r="W2" s="216"/>
      <c r="X2" s="216"/>
      <c r="Y2" s="216"/>
      <c r="Z2" s="216"/>
      <c r="AA2" s="216"/>
      <c r="AB2" s="215"/>
      <c r="AC2" s="216"/>
      <c r="AD2" s="216"/>
      <c r="AE2" s="216"/>
      <c r="AF2" s="216"/>
      <c r="AG2" s="216"/>
      <c r="AH2" s="216"/>
      <c r="AI2" s="216"/>
      <c r="AJ2" s="216"/>
      <c r="AK2" s="216"/>
      <c r="AL2" s="216"/>
      <c r="AM2" s="216"/>
      <c r="AN2" s="216"/>
      <c r="AO2" s="216"/>
      <c r="AP2" s="216"/>
      <c r="AQ2" s="216"/>
      <c r="AR2" s="216"/>
      <c r="AS2" s="216"/>
      <c r="AT2" s="216"/>
      <c r="AU2" s="216"/>
      <c r="AV2" s="216"/>
      <c r="AW2" s="239"/>
    </row>
    <row r="3" spans="1:49" ht="15" thickBot="1">
      <c r="A3" s="228"/>
      <c r="B3" s="229"/>
      <c r="C3" s="229"/>
      <c r="D3" s="229"/>
      <c r="E3" s="229"/>
      <c r="F3" s="229"/>
      <c r="G3" s="229"/>
      <c r="H3" s="229"/>
      <c r="I3" s="229"/>
      <c r="J3" s="230"/>
      <c r="K3" s="230"/>
      <c r="L3" s="230"/>
      <c r="M3" s="230"/>
      <c r="N3" s="230"/>
      <c r="O3" s="231"/>
      <c r="U3" s="215"/>
      <c r="V3" s="216"/>
      <c r="W3" s="216"/>
      <c r="X3" s="216"/>
      <c r="Y3" s="216"/>
      <c r="Z3" s="216"/>
      <c r="AA3" s="216"/>
      <c r="AB3" s="215"/>
      <c r="AC3" s="216"/>
      <c r="AD3" s="216"/>
      <c r="AE3" s="216"/>
      <c r="AF3" s="216"/>
      <c r="AG3" s="216"/>
      <c r="AH3" s="216"/>
      <c r="AI3" s="216"/>
      <c r="AJ3" s="216"/>
      <c r="AK3" s="216"/>
      <c r="AL3" s="216"/>
      <c r="AM3" s="216"/>
      <c r="AN3" s="216"/>
      <c r="AO3" s="216"/>
      <c r="AP3" s="216"/>
      <c r="AQ3" s="216"/>
      <c r="AR3" s="216"/>
      <c r="AS3" s="216"/>
      <c r="AT3" s="216"/>
      <c r="AU3" s="216"/>
      <c r="AV3" s="216"/>
      <c r="AW3" s="239"/>
    </row>
    <row r="4" spans="1:49" ht="15" thickBot="1">
      <c r="J4" s="64"/>
      <c r="K4" s="65" t="s">
        <v>109</v>
      </c>
      <c r="L4" s="66"/>
      <c r="M4" s="66"/>
      <c r="N4" s="67" t="s">
        <v>29</v>
      </c>
      <c r="U4" s="215"/>
      <c r="V4" s="216"/>
      <c r="W4" s="216"/>
      <c r="X4" s="216"/>
      <c r="Y4" s="216"/>
      <c r="Z4" s="216"/>
      <c r="AA4" s="216"/>
      <c r="AB4" s="215"/>
      <c r="AC4" s="216"/>
      <c r="AD4" s="216"/>
      <c r="AE4" s="216"/>
      <c r="AF4" s="216"/>
      <c r="AG4" s="216"/>
      <c r="AH4" s="216"/>
      <c r="AI4" s="216"/>
      <c r="AJ4" s="216"/>
      <c r="AK4" s="216"/>
      <c r="AL4" s="216"/>
      <c r="AM4" s="216"/>
      <c r="AN4" s="216"/>
      <c r="AO4" s="216"/>
      <c r="AP4" s="216"/>
      <c r="AQ4" s="216"/>
      <c r="AR4" s="216"/>
      <c r="AS4" s="216"/>
      <c r="AT4" s="216"/>
      <c r="AU4" s="216"/>
      <c r="AV4" s="216"/>
      <c r="AW4" s="239"/>
    </row>
    <row r="5" spans="1:49" ht="15" thickBot="1">
      <c r="A5" s="232" t="s">
        <v>0</v>
      </c>
      <c r="B5" s="235" t="s">
        <v>13</v>
      </c>
      <c r="C5" s="135"/>
      <c r="D5" s="135"/>
      <c r="E5" s="5" t="s">
        <v>17</v>
      </c>
      <c r="F5" s="1">
        <v>2</v>
      </c>
      <c r="G5" s="1" t="s">
        <v>28</v>
      </c>
      <c r="H5" s="36"/>
      <c r="J5" s="61">
        <v>2006</v>
      </c>
      <c r="K5" s="50">
        <v>27.7836</v>
      </c>
      <c r="L5" s="61"/>
      <c r="M5" s="62"/>
      <c r="N5" s="63"/>
      <c r="P5" s="138" t="s">
        <v>97</v>
      </c>
      <c r="Q5" s="138"/>
      <c r="R5" s="138"/>
      <c r="U5" s="217"/>
      <c r="V5" s="218"/>
      <c r="W5" s="218"/>
      <c r="X5" s="218"/>
      <c r="Y5" s="218"/>
      <c r="Z5" s="218"/>
      <c r="AA5" s="218"/>
      <c r="AB5" s="215"/>
      <c r="AC5" s="216"/>
      <c r="AD5" s="216"/>
      <c r="AE5" s="216"/>
      <c r="AF5" s="216"/>
      <c r="AG5" s="216"/>
      <c r="AH5" s="216"/>
      <c r="AI5" s="216"/>
      <c r="AJ5" s="216"/>
      <c r="AK5" s="216"/>
      <c r="AL5" s="216"/>
      <c r="AM5" s="216"/>
      <c r="AN5" s="216"/>
      <c r="AO5" s="216"/>
      <c r="AP5" s="216"/>
      <c r="AQ5" s="216"/>
      <c r="AR5" s="216"/>
      <c r="AS5" s="216"/>
      <c r="AT5" s="216"/>
      <c r="AU5" s="216"/>
      <c r="AV5" s="216"/>
      <c r="AW5" s="239"/>
    </row>
    <row r="6" spans="1:49" ht="14.4" customHeight="1">
      <c r="A6" s="233"/>
      <c r="B6" s="235" t="s">
        <v>14</v>
      </c>
      <c r="C6" s="135"/>
      <c r="D6" s="135"/>
      <c r="E6" s="5" t="s">
        <v>18</v>
      </c>
      <c r="F6" s="1">
        <v>40</v>
      </c>
      <c r="G6" s="1" t="s">
        <v>29</v>
      </c>
      <c r="J6" s="49">
        <v>2007</v>
      </c>
      <c r="K6" s="52">
        <v>40.917333333333332</v>
      </c>
      <c r="L6" s="53">
        <v>0.47271531886916496</v>
      </c>
      <c r="M6" s="54">
        <v>8.2975757508697998E-2</v>
      </c>
      <c r="N6" s="2"/>
      <c r="U6" s="213" t="s">
        <v>138</v>
      </c>
      <c r="V6" s="214"/>
      <c r="W6" s="214"/>
      <c r="X6" s="214"/>
      <c r="Y6" s="214"/>
      <c r="Z6" s="214"/>
      <c r="AA6" s="214"/>
      <c r="AB6" s="215"/>
      <c r="AC6" s="216"/>
      <c r="AD6" s="216"/>
      <c r="AE6" s="216"/>
      <c r="AF6" s="216"/>
      <c r="AG6" s="216"/>
      <c r="AH6" s="216"/>
      <c r="AI6" s="216"/>
      <c r="AJ6" s="216"/>
      <c r="AK6" s="216"/>
      <c r="AL6" s="216"/>
      <c r="AM6" s="216"/>
      <c r="AN6" s="216"/>
      <c r="AO6" s="216"/>
      <c r="AP6" s="216"/>
      <c r="AQ6" s="216"/>
      <c r="AR6" s="216"/>
      <c r="AS6" s="216"/>
      <c r="AT6" s="216"/>
      <c r="AU6" s="216"/>
      <c r="AV6" s="216"/>
      <c r="AW6" s="239"/>
    </row>
    <row r="7" spans="1:49">
      <c r="A7" s="233"/>
      <c r="B7" s="235" t="s">
        <v>1</v>
      </c>
      <c r="C7" s="135"/>
      <c r="D7" s="135"/>
      <c r="E7" s="5" t="s">
        <v>19</v>
      </c>
      <c r="F7" s="1">
        <v>2</v>
      </c>
      <c r="G7" s="1" t="s">
        <v>30</v>
      </c>
      <c r="J7" s="49">
        <v>2008</v>
      </c>
      <c r="K7" s="52">
        <v>53.259888888888888</v>
      </c>
      <c r="L7" s="53">
        <v>0.30164613746958641</v>
      </c>
      <c r="M7" s="49"/>
      <c r="N7" s="2"/>
      <c r="P7" s="204" t="s">
        <v>101</v>
      </c>
      <c r="Q7" s="205"/>
      <c r="R7" s="206"/>
      <c r="S7" s="3">
        <f>((F11*F12*F13)/(1+F18))+((F11*F12*F13)/(1+F18)^2)+((F11*F12*F13)/(1+F18)^3)+((F11*F12*F13)/(1+F18)^4)+((F11*F12*F13)/(1+F18)^5)+((F11*F12*F13)/(1+F18)^6)+((F11*F12*F13)/(1+F18)^7)+((F11*F12*F13)/(1+F18)^8)+((F11*F12*F13)/(1+F18)^9)+((F11*F12*F13)/(1+F18)^10)+((F11*F12*F13)/(1+F18)^11)+((F11*F12*F13)/(1+F18)^12)+((F11*F12*F13)/(1+F18)^13)+((F11*F12*F13)/(1+F18)^14)+((F11*F12*F13)/(1+F18)^15)</f>
        <v>12953813.231649376</v>
      </c>
      <c r="U7" s="215"/>
      <c r="V7" s="216"/>
      <c r="W7" s="216"/>
      <c r="X7" s="216"/>
      <c r="Y7" s="216"/>
      <c r="Z7" s="216"/>
      <c r="AA7" s="216"/>
      <c r="AB7" s="215"/>
      <c r="AC7" s="216"/>
      <c r="AD7" s="216"/>
      <c r="AE7" s="216"/>
      <c r="AF7" s="216"/>
      <c r="AG7" s="216"/>
      <c r="AH7" s="216"/>
      <c r="AI7" s="216"/>
      <c r="AJ7" s="216"/>
      <c r="AK7" s="216"/>
      <c r="AL7" s="216"/>
      <c r="AM7" s="216"/>
      <c r="AN7" s="216"/>
      <c r="AO7" s="216"/>
      <c r="AP7" s="216"/>
      <c r="AQ7" s="216"/>
      <c r="AR7" s="216"/>
      <c r="AS7" s="216"/>
      <c r="AT7" s="216"/>
      <c r="AU7" s="216"/>
      <c r="AV7" s="216"/>
      <c r="AW7" s="239"/>
    </row>
    <row r="8" spans="1:49" ht="16.2" customHeight="1">
      <c r="A8" s="233"/>
      <c r="B8" s="235" t="s">
        <v>2</v>
      </c>
      <c r="C8" s="135"/>
      <c r="D8" s="135"/>
      <c r="E8" s="5" t="s">
        <v>20</v>
      </c>
      <c r="F8" s="1">
        <v>10</v>
      </c>
      <c r="G8" s="1" t="s">
        <v>31</v>
      </c>
      <c r="J8" s="49">
        <v>2009</v>
      </c>
      <c r="K8" s="52">
        <v>49.279888888888891</v>
      </c>
      <c r="L8" s="53">
        <v>-7.4727906554651238E-2</v>
      </c>
      <c r="M8" s="49"/>
      <c r="N8" s="2"/>
      <c r="P8" s="207"/>
      <c r="Q8" s="208"/>
      <c r="R8" s="209"/>
      <c r="S8" s="3"/>
      <c r="U8" s="215"/>
      <c r="V8" s="216"/>
      <c r="W8" s="216"/>
      <c r="X8" s="216"/>
      <c r="Y8" s="216"/>
      <c r="Z8" s="216"/>
      <c r="AA8" s="216"/>
      <c r="AB8" s="215"/>
      <c r="AC8" s="216"/>
      <c r="AD8" s="216"/>
      <c r="AE8" s="216"/>
      <c r="AF8" s="216"/>
      <c r="AG8" s="216"/>
      <c r="AH8" s="216"/>
      <c r="AI8" s="216"/>
      <c r="AJ8" s="216"/>
      <c r="AK8" s="216"/>
      <c r="AL8" s="216"/>
      <c r="AM8" s="216"/>
      <c r="AN8" s="216"/>
      <c r="AO8" s="216"/>
      <c r="AP8" s="216"/>
      <c r="AQ8" s="216"/>
      <c r="AR8" s="216"/>
      <c r="AS8" s="216"/>
      <c r="AT8" s="216"/>
      <c r="AU8" s="216"/>
      <c r="AV8" s="216"/>
      <c r="AW8" s="239"/>
    </row>
    <row r="9" spans="1:49">
      <c r="A9" s="233"/>
      <c r="B9" s="236" t="s">
        <v>15</v>
      </c>
      <c r="C9" s="237"/>
      <c r="D9" s="237"/>
      <c r="E9" s="5" t="s">
        <v>21</v>
      </c>
      <c r="F9" s="37">
        <v>48</v>
      </c>
      <c r="G9" s="37" t="s">
        <v>32</v>
      </c>
      <c r="H9" s="36"/>
      <c r="J9" s="49">
        <v>2010</v>
      </c>
      <c r="K9" s="52">
        <v>54.176111111111098</v>
      </c>
      <c r="L9" s="53">
        <v>9.9355382745722254E-2</v>
      </c>
      <c r="M9" s="49"/>
      <c r="N9" s="2"/>
      <c r="P9" s="120" t="s">
        <v>102</v>
      </c>
      <c r="Q9" s="121"/>
      <c r="R9" s="122"/>
      <c r="S9" s="3">
        <v>0</v>
      </c>
      <c r="U9" s="215"/>
      <c r="V9" s="216"/>
      <c r="W9" s="216"/>
      <c r="X9" s="216"/>
      <c r="Y9" s="216"/>
      <c r="Z9" s="216"/>
      <c r="AA9" s="216"/>
      <c r="AB9" s="215"/>
      <c r="AC9" s="216"/>
      <c r="AD9" s="216"/>
      <c r="AE9" s="216"/>
      <c r="AF9" s="216"/>
      <c r="AG9" s="216"/>
      <c r="AH9" s="216"/>
      <c r="AI9" s="216"/>
      <c r="AJ9" s="216"/>
      <c r="AK9" s="216"/>
      <c r="AL9" s="216"/>
      <c r="AM9" s="216"/>
      <c r="AN9" s="216"/>
      <c r="AO9" s="216"/>
      <c r="AP9" s="216"/>
      <c r="AQ9" s="216"/>
      <c r="AR9" s="216"/>
      <c r="AS9" s="216"/>
      <c r="AT9" s="216"/>
      <c r="AU9" s="216"/>
      <c r="AV9" s="216"/>
      <c r="AW9" s="239"/>
    </row>
    <row r="10" spans="1:49">
      <c r="A10" s="233"/>
      <c r="B10" s="236" t="s">
        <v>16</v>
      </c>
      <c r="C10" s="237"/>
      <c r="D10" s="237"/>
      <c r="E10" s="5" t="s">
        <v>22</v>
      </c>
      <c r="F10" s="40">
        <v>1000</v>
      </c>
      <c r="G10" s="37" t="s">
        <v>32</v>
      </c>
      <c r="H10" s="36"/>
      <c r="J10" s="49">
        <v>2011</v>
      </c>
      <c r="K10" s="52">
        <v>55.930333333333323</v>
      </c>
      <c r="L10" s="53">
        <v>3.2379995282873546E-2</v>
      </c>
      <c r="M10" s="49"/>
      <c r="N10" s="2"/>
      <c r="P10" s="201" t="s">
        <v>55</v>
      </c>
      <c r="Q10" s="202"/>
      <c r="R10" s="203"/>
      <c r="S10" s="30">
        <f>S7*F14</f>
        <v>1295381.3231649378</v>
      </c>
      <c r="U10" s="215"/>
      <c r="V10" s="216"/>
      <c r="W10" s="216"/>
      <c r="X10" s="216"/>
      <c r="Y10" s="216"/>
      <c r="Z10" s="216"/>
      <c r="AA10" s="216"/>
      <c r="AB10" s="215"/>
      <c r="AC10" s="216"/>
      <c r="AD10" s="216"/>
      <c r="AE10" s="216"/>
      <c r="AF10" s="216"/>
      <c r="AG10" s="216"/>
      <c r="AH10" s="216"/>
      <c r="AI10" s="216"/>
      <c r="AJ10" s="216"/>
      <c r="AK10" s="216"/>
      <c r="AL10" s="216"/>
      <c r="AM10" s="216"/>
      <c r="AN10" s="216"/>
      <c r="AO10" s="216"/>
      <c r="AP10" s="216"/>
      <c r="AQ10" s="216"/>
      <c r="AR10" s="216"/>
      <c r="AS10" s="216"/>
      <c r="AT10" s="216"/>
      <c r="AU10" s="216"/>
      <c r="AV10" s="216"/>
      <c r="AW10" s="239"/>
    </row>
    <row r="11" spans="1:49" ht="16.2" customHeight="1">
      <c r="A11" s="233"/>
      <c r="B11" s="236" t="s">
        <v>3</v>
      </c>
      <c r="C11" s="237"/>
      <c r="D11" s="237"/>
      <c r="E11" s="5" t="s">
        <v>23</v>
      </c>
      <c r="F11" s="37">
        <v>325</v>
      </c>
      <c r="G11" s="37" t="s">
        <v>29</v>
      </c>
      <c r="H11" s="36"/>
      <c r="J11" s="49">
        <v>2012</v>
      </c>
      <c r="K11" s="52">
        <v>54.575888888888898</v>
      </c>
      <c r="L11" s="53">
        <v>-2.4216634583102054E-2</v>
      </c>
      <c r="M11" s="49"/>
      <c r="N11" s="2"/>
      <c r="P11" s="201" t="s">
        <v>95</v>
      </c>
      <c r="Q11" s="202"/>
      <c r="R11" s="203"/>
      <c r="S11" s="3">
        <f>(((F10*F7*F17)+(F9*F7)+(F5*F6*F13)+(F7*F8))/(1+F18))+(((F10*F7*F17)+(F9*F7)+(F5*F6*F13)+(F7*F8))/(1+F18)^2)+(((F10*F7*F17)+(F9*F7)+(F5*F6*F13)+(F7*F8))/(1+F18)^3)+(((F10*F7*F17)+(F9*F7)+(F5*F6*F13)+(F7*F8))/(1+F18)^4)+(((F10*F7*F17)+(F9*F7)+(F5*F6*F13)+(F7*F8))/(1+F18)^5)+(((F10*F7*F17)+(F9*F7)+(F5*F6*F13)+(F7*F8))/(1+F18)^6)+(((F10*F7*F17)+(F9*F7)+(F5*F6*F13)+(F7*F8))/(1+F18)^7)+(((F10*F7*F17)+(F9*F7)+(F5*F6*F13)+(F7*F8))/(1+F18)^8)+(((F10*F7*F17)+(F9*F7)+(F5*F6*F13)+(F7*F8))/(1+F18)^9)+(((F10*F7*F17)+(F9*F7)+(F5*F6*F13)+(F7*F8))/(1+F18)^10)+(((F10*F7*F17)+(F9*F7)+(F5*F6*F13)+(F7*F8))/(1+F18)^11)+(((F10*F7*F17)+(F9*F7)+(F5*F6*F13)+(F7*F8))/(1+F18)^12)+(((F10*F7*F17)+(F9*F7)+(F5*F6*F13)+(F7*F8))/(1+F18)^13)+(((F10*F7*F17)+(F9*F7)+(F5*F6*F13)+(F7*F8))/(1+F18)^14)+(((F10*F7*F17)+(F9*F7)+(F5*F6*F13)+(F7*F8))/(1+F18)^15)</f>
        <v>1803112.6757605795</v>
      </c>
      <c r="U11" s="215"/>
      <c r="V11" s="216"/>
      <c r="W11" s="216"/>
      <c r="X11" s="216"/>
      <c r="Y11" s="216"/>
      <c r="Z11" s="216"/>
      <c r="AA11" s="216"/>
      <c r="AB11" s="215"/>
      <c r="AC11" s="216"/>
      <c r="AD11" s="216"/>
      <c r="AE11" s="216"/>
      <c r="AF11" s="216"/>
      <c r="AG11" s="216"/>
      <c r="AH11" s="216"/>
      <c r="AI11" s="216"/>
      <c r="AJ11" s="216"/>
      <c r="AK11" s="216"/>
      <c r="AL11" s="216"/>
      <c r="AM11" s="216"/>
      <c r="AN11" s="216"/>
      <c r="AO11" s="216"/>
      <c r="AP11" s="216"/>
      <c r="AQ11" s="216"/>
      <c r="AR11" s="216"/>
      <c r="AS11" s="216"/>
      <c r="AT11" s="216"/>
      <c r="AU11" s="216"/>
      <c r="AV11" s="216"/>
      <c r="AW11" s="239"/>
    </row>
    <row r="12" spans="1:49" ht="14.4" customHeight="1">
      <c r="A12" s="233"/>
      <c r="B12" s="235" t="s">
        <v>4</v>
      </c>
      <c r="C12" s="135"/>
      <c r="D12" s="135"/>
      <c r="E12" s="5" t="s">
        <v>24</v>
      </c>
      <c r="F12" s="1">
        <v>2</v>
      </c>
      <c r="G12" s="1" t="s">
        <v>28</v>
      </c>
      <c r="H12" s="36"/>
      <c r="J12" s="49">
        <v>2013</v>
      </c>
      <c r="K12" s="52">
        <v>52.64155555555557</v>
      </c>
      <c r="L12" s="53">
        <v>-3.5443001895423799E-2</v>
      </c>
      <c r="M12" s="49"/>
      <c r="N12" s="2"/>
      <c r="P12" s="210" t="s">
        <v>98</v>
      </c>
      <c r="Q12" s="211"/>
      <c r="R12" s="212"/>
      <c r="S12" s="3">
        <f>(((F10*F7*F17)+(F9*F7)+(F7*F8))/(1+F18))+(((F10*F7*F17)+(F9*F7)+(F7*F8))/(1+F18)^2)+(((F10*F7*F17)+(F9*F7)+(F7*F8))/(1+F18)^3)+(((F10*F7*F17)+(F9*F7)+(F7*F8))/(1+F18)^4)+(((F10*F7*F17)+(F9*F7)+(F7*F8))/(1+F18)^5)+(((F10*F7*F17)+(F9*F7)+(F7*F8))/(1+F18)^6)+(((F10*F7*F17)+(F9*F7)+(F7*F8))/(1+F18)^7)+(((F10*F7*F17)+(F9*F7)+(F7*F8))/(1+F18)^8)+(((F10*F7*F17)+(F9*F7)+(F7*F8))/(1+F18)^9)+(((F10*F7*F17)+(F9*F7)+(F7*F8))/(1+F18)^10)+(((F10*F7*F17)+(F9*F7)+(F7*F8))/(1+F18)^11)+(((F10*F7*F17)+(F9*F7)+(F7*F8))/(1+F18)^12)+(((F10*F7*F17)+(F9*F7)+(F7*F8))/(1+F18)^13)+(((F10*F7*F17)+(F9*F7)+(F7*F8))/(1+F18)^14)+(((F10*F7*F17)+(F9*F7)+(F7*F8))/(1+F18)^15)</f>
        <v>208797.20109604084</v>
      </c>
      <c r="U12" s="215"/>
      <c r="V12" s="216"/>
      <c r="W12" s="216"/>
      <c r="X12" s="216"/>
      <c r="Y12" s="216"/>
      <c r="Z12" s="216"/>
      <c r="AA12" s="216"/>
      <c r="AB12" s="215"/>
      <c r="AC12" s="216"/>
      <c r="AD12" s="216"/>
      <c r="AE12" s="216"/>
      <c r="AF12" s="216"/>
      <c r="AG12" s="216"/>
      <c r="AH12" s="216"/>
      <c r="AI12" s="216"/>
      <c r="AJ12" s="216"/>
      <c r="AK12" s="216"/>
      <c r="AL12" s="216"/>
      <c r="AM12" s="216"/>
      <c r="AN12" s="216"/>
      <c r="AO12" s="216"/>
      <c r="AP12" s="216"/>
      <c r="AQ12" s="216"/>
      <c r="AR12" s="216"/>
      <c r="AS12" s="216"/>
      <c r="AT12" s="216"/>
      <c r="AU12" s="216"/>
      <c r="AV12" s="216"/>
      <c r="AW12" s="239"/>
    </row>
    <row r="13" spans="1:49">
      <c r="A13" s="233"/>
      <c r="B13" s="235" t="s">
        <v>5</v>
      </c>
      <c r="C13" s="135"/>
      <c r="D13" s="135"/>
      <c r="E13" s="5" t="s">
        <v>66</v>
      </c>
      <c r="F13" s="3">
        <v>1920</v>
      </c>
      <c r="G13" s="1" t="s">
        <v>33</v>
      </c>
      <c r="H13" s="36"/>
      <c r="J13" s="49">
        <v>2014</v>
      </c>
      <c r="K13" s="52">
        <v>58.406666666666666</v>
      </c>
      <c r="L13" s="53">
        <v>0.10951635167822601</v>
      </c>
      <c r="M13" s="49"/>
      <c r="N13" s="2"/>
      <c r="P13" s="201" t="s">
        <v>54</v>
      </c>
      <c r="Q13" s="202"/>
      <c r="R13" s="203"/>
      <c r="S13" s="3">
        <f>F14*S11+F15*S12</f>
        <v>368228.74856249476</v>
      </c>
      <c r="U13" s="215"/>
      <c r="V13" s="216"/>
      <c r="W13" s="216"/>
      <c r="X13" s="216"/>
      <c r="Y13" s="216"/>
      <c r="Z13" s="216"/>
      <c r="AA13" s="216"/>
      <c r="AB13" s="215"/>
      <c r="AC13" s="216"/>
      <c r="AD13" s="216"/>
      <c r="AE13" s="216"/>
      <c r="AF13" s="216"/>
      <c r="AG13" s="216"/>
      <c r="AH13" s="216"/>
      <c r="AI13" s="216"/>
      <c r="AJ13" s="216"/>
      <c r="AK13" s="216"/>
      <c r="AL13" s="216"/>
      <c r="AM13" s="216"/>
      <c r="AN13" s="216"/>
      <c r="AO13" s="216"/>
      <c r="AP13" s="216"/>
      <c r="AQ13" s="216"/>
      <c r="AR13" s="216"/>
      <c r="AS13" s="216"/>
      <c r="AT13" s="216"/>
      <c r="AU13" s="216"/>
      <c r="AV13" s="216"/>
      <c r="AW13" s="239"/>
    </row>
    <row r="14" spans="1:49" ht="14.4" customHeight="1">
      <c r="A14" s="233"/>
      <c r="B14" s="235" t="s">
        <v>6</v>
      </c>
      <c r="C14" s="135"/>
      <c r="D14" s="135"/>
      <c r="E14" s="5" t="s">
        <v>25</v>
      </c>
      <c r="F14" s="1">
        <v>0.1</v>
      </c>
      <c r="G14" s="1"/>
      <c r="H14" s="36"/>
      <c r="J14" s="49">
        <v>2015</v>
      </c>
      <c r="K14" s="52">
        <v>61.843444444444444</v>
      </c>
      <c r="L14" s="53">
        <v>5.8842217402883992E-2</v>
      </c>
      <c r="M14" s="49"/>
      <c r="N14" s="2"/>
      <c r="P14" s="142" t="s">
        <v>96</v>
      </c>
      <c r="Q14" s="143"/>
      <c r="R14" s="143"/>
      <c r="S14" s="144"/>
      <c r="U14" s="215"/>
      <c r="V14" s="216"/>
      <c r="W14" s="216"/>
      <c r="X14" s="216"/>
      <c r="Y14" s="216"/>
      <c r="Z14" s="216"/>
      <c r="AA14" s="216"/>
      <c r="AB14" s="215"/>
      <c r="AC14" s="216"/>
      <c r="AD14" s="216"/>
      <c r="AE14" s="216"/>
      <c r="AF14" s="216"/>
      <c r="AG14" s="216"/>
      <c r="AH14" s="216"/>
      <c r="AI14" s="216"/>
      <c r="AJ14" s="216"/>
      <c r="AK14" s="216"/>
      <c r="AL14" s="216"/>
      <c r="AM14" s="216"/>
      <c r="AN14" s="216"/>
      <c r="AO14" s="216"/>
      <c r="AP14" s="216"/>
      <c r="AQ14" s="216"/>
      <c r="AR14" s="216"/>
      <c r="AS14" s="216"/>
      <c r="AT14" s="216"/>
      <c r="AU14" s="216"/>
      <c r="AV14" s="216"/>
      <c r="AW14" s="239"/>
    </row>
    <row r="15" spans="1:49">
      <c r="A15" s="233"/>
      <c r="B15" s="235" t="s">
        <v>7</v>
      </c>
      <c r="C15" s="135"/>
      <c r="D15" s="135"/>
      <c r="E15" s="6" t="s">
        <v>26</v>
      </c>
      <c r="F15" s="1">
        <f>1-F14</f>
        <v>0.9</v>
      </c>
      <c r="G15" s="1"/>
      <c r="H15" s="36"/>
      <c r="J15" s="49">
        <v>2016</v>
      </c>
      <c r="K15" s="52">
        <v>62.84716900669585</v>
      </c>
      <c r="L15" s="53">
        <v>1.6230088269955242E-2</v>
      </c>
      <c r="M15" s="49"/>
      <c r="N15" s="2"/>
      <c r="U15" s="215"/>
      <c r="V15" s="216"/>
      <c r="W15" s="216"/>
      <c r="X15" s="216"/>
      <c r="Y15" s="216"/>
      <c r="Z15" s="216"/>
      <c r="AA15" s="216"/>
      <c r="AB15" s="215"/>
      <c r="AC15" s="216"/>
      <c r="AD15" s="216"/>
      <c r="AE15" s="216"/>
      <c r="AF15" s="216"/>
      <c r="AG15" s="216"/>
      <c r="AH15" s="216"/>
      <c r="AI15" s="216"/>
      <c r="AJ15" s="216"/>
      <c r="AK15" s="216"/>
      <c r="AL15" s="216"/>
      <c r="AM15" s="216"/>
      <c r="AN15" s="216"/>
      <c r="AO15" s="216"/>
      <c r="AP15" s="216"/>
      <c r="AQ15" s="216"/>
      <c r="AR15" s="216"/>
      <c r="AS15" s="216"/>
      <c r="AT15" s="216"/>
      <c r="AU15" s="216"/>
      <c r="AV15" s="216"/>
      <c r="AW15" s="239"/>
    </row>
    <row r="16" spans="1:49" ht="16.2" customHeight="1">
      <c r="A16" s="233"/>
      <c r="B16" s="235" t="s">
        <v>8</v>
      </c>
      <c r="C16" s="135"/>
      <c r="D16" s="135"/>
      <c r="E16" s="5" t="s">
        <v>27</v>
      </c>
      <c r="F16" s="3">
        <f>2*700000</f>
        <v>1400000</v>
      </c>
      <c r="G16" s="1" t="s">
        <v>31</v>
      </c>
      <c r="H16" s="36"/>
      <c r="J16" s="49">
        <v>2017</v>
      </c>
      <c r="K16" s="52">
        <v>63.684555555555498</v>
      </c>
      <c r="L16" s="53">
        <v>1.3324172943581293E-2</v>
      </c>
      <c r="M16" s="49"/>
      <c r="N16" s="2"/>
      <c r="P16" s="267" t="s">
        <v>110</v>
      </c>
      <c r="Q16" s="267"/>
      <c r="R16" s="267"/>
      <c r="U16" s="215"/>
      <c r="V16" s="216"/>
      <c r="W16" s="216"/>
      <c r="X16" s="216"/>
      <c r="Y16" s="216"/>
      <c r="Z16" s="216"/>
      <c r="AA16" s="216"/>
      <c r="AB16" s="215"/>
      <c r="AC16" s="216"/>
      <c r="AD16" s="216"/>
      <c r="AE16" s="216"/>
      <c r="AF16" s="216"/>
      <c r="AG16" s="216"/>
      <c r="AH16" s="216"/>
      <c r="AI16" s="216"/>
      <c r="AJ16" s="216"/>
      <c r="AK16" s="216"/>
      <c r="AL16" s="216"/>
      <c r="AM16" s="216"/>
      <c r="AN16" s="216"/>
      <c r="AO16" s="216"/>
      <c r="AP16" s="216"/>
      <c r="AQ16" s="216"/>
      <c r="AR16" s="216"/>
      <c r="AS16" s="216"/>
      <c r="AT16" s="216"/>
      <c r="AU16" s="216"/>
      <c r="AV16" s="216"/>
      <c r="AW16" s="239"/>
    </row>
    <row r="17" spans="1:49">
      <c r="A17" s="233"/>
      <c r="B17" s="235" t="s">
        <v>9</v>
      </c>
      <c r="C17" s="135"/>
      <c r="D17" s="135"/>
      <c r="E17" s="4" t="s">
        <v>61</v>
      </c>
      <c r="F17" s="1">
        <v>10</v>
      </c>
      <c r="G17" s="1" t="s">
        <v>34</v>
      </c>
      <c r="H17" s="36"/>
      <c r="J17" s="49">
        <v>2018</v>
      </c>
      <c r="K17" s="52">
        <v>62.810666666666698</v>
      </c>
      <c r="L17" s="53">
        <v>-1.3722147878170301E-2</v>
      </c>
      <c r="M17" s="49"/>
      <c r="N17" s="2"/>
      <c r="U17" s="215"/>
      <c r="V17" s="216"/>
      <c r="W17" s="216"/>
      <c r="X17" s="216"/>
      <c r="Y17" s="216"/>
      <c r="Z17" s="216"/>
      <c r="AA17" s="216"/>
      <c r="AB17" s="215"/>
      <c r="AC17" s="216"/>
      <c r="AD17" s="216"/>
      <c r="AE17" s="216"/>
      <c r="AF17" s="216"/>
      <c r="AG17" s="216"/>
      <c r="AH17" s="216"/>
      <c r="AI17" s="216"/>
      <c r="AJ17" s="216"/>
      <c r="AK17" s="216"/>
      <c r="AL17" s="216"/>
      <c r="AM17" s="216"/>
      <c r="AN17" s="216"/>
      <c r="AO17" s="216"/>
      <c r="AP17" s="216"/>
      <c r="AQ17" s="216"/>
      <c r="AR17" s="216"/>
      <c r="AS17" s="216"/>
      <c r="AT17" s="216"/>
      <c r="AU17" s="216"/>
      <c r="AV17" s="216"/>
      <c r="AW17" s="239"/>
    </row>
    <row r="18" spans="1:49" ht="14.4" customHeight="1">
      <c r="A18" s="233"/>
      <c r="B18" s="235" t="s">
        <v>10</v>
      </c>
      <c r="C18" s="135"/>
      <c r="D18" s="135"/>
      <c r="E18" s="4" t="s">
        <v>60</v>
      </c>
      <c r="F18" s="1">
        <f>5/100</f>
        <v>0.05</v>
      </c>
      <c r="G18" s="1"/>
      <c r="H18" s="36"/>
      <c r="J18" s="49">
        <v>2019</v>
      </c>
      <c r="K18" s="49">
        <v>68.75577777777778</v>
      </c>
      <c r="L18" s="53">
        <v>9.4651297727208511E-2</v>
      </c>
      <c r="M18" s="49"/>
      <c r="N18" s="2"/>
      <c r="U18" s="215"/>
      <c r="V18" s="216"/>
      <c r="W18" s="216"/>
      <c r="X18" s="216"/>
      <c r="Y18" s="216"/>
      <c r="Z18" s="216"/>
      <c r="AA18" s="216"/>
      <c r="AB18" s="215"/>
      <c r="AC18" s="216"/>
      <c r="AD18" s="216"/>
      <c r="AE18" s="216"/>
      <c r="AF18" s="216"/>
      <c r="AG18" s="216"/>
      <c r="AH18" s="216"/>
      <c r="AI18" s="216"/>
      <c r="AJ18" s="216"/>
      <c r="AK18" s="216"/>
      <c r="AL18" s="216"/>
      <c r="AM18" s="216"/>
      <c r="AN18" s="216"/>
      <c r="AO18" s="216"/>
      <c r="AP18" s="216"/>
      <c r="AQ18" s="216"/>
      <c r="AR18" s="216"/>
      <c r="AS18" s="216"/>
      <c r="AT18" s="216"/>
      <c r="AU18" s="216"/>
      <c r="AV18" s="216"/>
      <c r="AW18" s="239"/>
    </row>
    <row r="19" spans="1:49">
      <c r="A19" s="233"/>
      <c r="B19" s="235" t="s">
        <v>11</v>
      </c>
      <c r="C19" s="135"/>
      <c r="D19" s="135"/>
      <c r="E19" s="4" t="s">
        <v>62</v>
      </c>
      <c r="F19" s="1">
        <f>95/100</f>
        <v>0.95</v>
      </c>
      <c r="G19" s="1"/>
      <c r="H19" s="36"/>
      <c r="J19" s="49">
        <v>2020</v>
      </c>
      <c r="K19" s="49">
        <v>74.161000000000001</v>
      </c>
      <c r="L19" s="53">
        <v>7.8614807321243291E-2</v>
      </c>
      <c r="M19" s="49"/>
      <c r="N19" s="2"/>
      <c r="U19" s="215"/>
      <c r="V19" s="216"/>
      <c r="W19" s="216"/>
      <c r="X19" s="216"/>
      <c r="Y19" s="216"/>
      <c r="Z19" s="216"/>
      <c r="AA19" s="216"/>
      <c r="AB19" s="215"/>
      <c r="AC19" s="216"/>
      <c r="AD19" s="216"/>
      <c r="AE19" s="216"/>
      <c r="AF19" s="216"/>
      <c r="AG19" s="216"/>
      <c r="AH19" s="216"/>
      <c r="AI19" s="216"/>
      <c r="AJ19" s="216"/>
      <c r="AK19" s="216"/>
      <c r="AL19" s="216"/>
      <c r="AM19" s="216"/>
      <c r="AN19" s="216"/>
      <c r="AO19" s="216"/>
      <c r="AP19" s="216"/>
      <c r="AQ19" s="216"/>
      <c r="AR19" s="216"/>
      <c r="AS19" s="216"/>
      <c r="AT19" s="216"/>
      <c r="AU19" s="216"/>
      <c r="AV19" s="216"/>
      <c r="AW19" s="239"/>
    </row>
    <row r="20" spans="1:49" ht="15" thickBot="1">
      <c r="A20" s="234"/>
      <c r="B20" s="235" t="s">
        <v>12</v>
      </c>
      <c r="C20" s="135"/>
      <c r="D20" s="135"/>
      <c r="E20" s="4" t="s">
        <v>63</v>
      </c>
      <c r="F20" s="1">
        <f>7/100</f>
        <v>7.0000000000000007E-2</v>
      </c>
      <c r="G20" s="1"/>
      <c r="H20" s="36"/>
      <c r="J20" s="49">
        <v>2021</v>
      </c>
      <c r="K20" s="49">
        <v>73.294111111111107</v>
      </c>
      <c r="L20" s="53">
        <v>-1.1689282626837289E-2</v>
      </c>
      <c r="M20" s="49"/>
      <c r="N20" s="2"/>
      <c r="U20" s="215"/>
      <c r="V20" s="216"/>
      <c r="W20" s="216"/>
      <c r="X20" s="216"/>
      <c r="Y20" s="216"/>
      <c r="Z20" s="216"/>
      <c r="AA20" s="216"/>
      <c r="AB20" s="215"/>
      <c r="AC20" s="216"/>
      <c r="AD20" s="216"/>
      <c r="AE20" s="216"/>
      <c r="AF20" s="216"/>
      <c r="AG20" s="216"/>
      <c r="AH20" s="216"/>
      <c r="AI20" s="216"/>
      <c r="AJ20" s="216"/>
      <c r="AK20" s="216"/>
      <c r="AL20" s="216"/>
      <c r="AM20" s="216"/>
      <c r="AN20" s="216"/>
      <c r="AO20" s="216"/>
      <c r="AP20" s="216"/>
      <c r="AQ20" s="216"/>
      <c r="AR20" s="216"/>
      <c r="AS20" s="216"/>
      <c r="AT20" s="216"/>
      <c r="AU20" s="216"/>
      <c r="AV20" s="216"/>
      <c r="AW20" s="239"/>
    </row>
    <row r="21" spans="1:49">
      <c r="B21" s="167"/>
      <c r="C21" s="167"/>
      <c r="D21" s="167"/>
      <c r="E21" s="1"/>
      <c r="F21" s="1"/>
      <c r="G21" s="1"/>
      <c r="H21" s="36"/>
      <c r="J21" s="49">
        <v>2022</v>
      </c>
      <c r="K21" s="49">
        <v>88.808555555555557</v>
      </c>
      <c r="L21" s="53">
        <v>0.2116738194822381</v>
      </c>
      <c r="M21" s="49"/>
      <c r="N21" s="2"/>
      <c r="U21" s="215"/>
      <c r="V21" s="216"/>
      <c r="W21" s="216"/>
      <c r="X21" s="216"/>
      <c r="Y21" s="216"/>
      <c r="Z21" s="216"/>
      <c r="AA21" s="216"/>
      <c r="AB21" s="215"/>
      <c r="AC21" s="216"/>
      <c r="AD21" s="216"/>
      <c r="AE21" s="216"/>
      <c r="AF21" s="216"/>
      <c r="AG21" s="216"/>
      <c r="AH21" s="216"/>
      <c r="AI21" s="216"/>
      <c r="AJ21" s="216"/>
      <c r="AK21" s="216"/>
      <c r="AL21" s="216"/>
      <c r="AM21" s="216"/>
      <c r="AN21" s="216"/>
      <c r="AO21" s="216"/>
      <c r="AP21" s="216"/>
      <c r="AQ21" s="216"/>
      <c r="AR21" s="216"/>
      <c r="AS21" s="216"/>
      <c r="AT21" s="216"/>
      <c r="AU21" s="216"/>
      <c r="AV21" s="216"/>
      <c r="AW21" s="239"/>
    </row>
    <row r="22" spans="1:49">
      <c r="J22" s="49">
        <v>2023</v>
      </c>
      <c r="K22" s="49">
        <v>103.3201111111111</v>
      </c>
      <c r="L22" s="53">
        <v>0.16340267516768267</v>
      </c>
      <c r="M22" s="49"/>
      <c r="N22" s="2"/>
      <c r="U22" s="215"/>
      <c r="V22" s="216"/>
      <c r="W22" s="216"/>
      <c r="X22" s="216"/>
      <c r="Y22" s="216"/>
      <c r="Z22" s="216"/>
      <c r="AA22" s="216"/>
      <c r="AB22" s="215"/>
      <c r="AC22" s="216"/>
      <c r="AD22" s="216"/>
      <c r="AE22" s="216"/>
      <c r="AF22" s="216"/>
      <c r="AG22" s="216"/>
      <c r="AH22" s="216"/>
      <c r="AI22" s="216"/>
      <c r="AJ22" s="216"/>
      <c r="AK22" s="216"/>
      <c r="AL22" s="216"/>
      <c r="AM22" s="216"/>
      <c r="AN22" s="216"/>
      <c r="AO22" s="216"/>
      <c r="AP22" s="216"/>
      <c r="AQ22" s="216"/>
      <c r="AR22" s="216"/>
      <c r="AS22" s="216"/>
      <c r="AT22" s="216"/>
      <c r="AU22" s="216"/>
      <c r="AV22" s="216"/>
      <c r="AW22" s="239"/>
    </row>
    <row r="23" spans="1:49">
      <c r="J23" s="49">
        <v>2024</v>
      </c>
      <c r="K23" s="49">
        <v>103.42449999999999</v>
      </c>
      <c r="L23" s="53">
        <v>1.0103443343825972E-3</v>
      </c>
      <c r="M23" s="49"/>
      <c r="N23" s="2"/>
      <c r="U23" s="215"/>
      <c r="V23" s="216"/>
      <c r="W23" s="216"/>
      <c r="X23" s="216"/>
      <c r="Y23" s="216"/>
      <c r="Z23" s="216"/>
      <c r="AA23" s="216"/>
      <c r="AB23" s="215"/>
      <c r="AC23" s="216"/>
      <c r="AD23" s="216"/>
      <c r="AE23" s="216"/>
      <c r="AF23" s="216"/>
      <c r="AG23" s="216"/>
      <c r="AH23" s="216"/>
      <c r="AI23" s="216"/>
      <c r="AJ23" s="216"/>
      <c r="AK23" s="216"/>
      <c r="AL23" s="216"/>
      <c r="AM23" s="216"/>
      <c r="AN23" s="216"/>
      <c r="AO23" s="216"/>
      <c r="AP23" s="216"/>
      <c r="AQ23" s="216"/>
      <c r="AR23" s="216"/>
      <c r="AS23" s="216"/>
      <c r="AT23" s="216"/>
      <c r="AU23" s="216"/>
      <c r="AV23" s="216"/>
      <c r="AW23" s="239"/>
    </row>
    <row r="24" spans="1:49">
      <c r="J24" s="55">
        <v>2025</v>
      </c>
      <c r="K24" s="49">
        <v>112.006226232458</v>
      </c>
      <c r="L24" s="53">
        <v>8.2975757508698011E-2</v>
      </c>
      <c r="M24" s="49"/>
      <c r="N24" s="1">
        <v>150</v>
      </c>
      <c r="U24" s="215"/>
      <c r="V24" s="216"/>
      <c r="W24" s="216"/>
      <c r="X24" s="216"/>
      <c r="Y24" s="216"/>
      <c r="Z24" s="216"/>
      <c r="AA24" s="216"/>
      <c r="AB24" s="215"/>
      <c r="AC24" s="216"/>
      <c r="AD24" s="216"/>
      <c r="AE24" s="216"/>
      <c r="AF24" s="216"/>
      <c r="AG24" s="216"/>
      <c r="AH24" s="216"/>
      <c r="AI24" s="216"/>
      <c r="AJ24" s="216"/>
      <c r="AK24" s="216"/>
      <c r="AL24" s="216"/>
      <c r="AM24" s="216"/>
      <c r="AN24" s="216"/>
      <c r="AO24" s="216"/>
      <c r="AP24" s="216"/>
      <c r="AQ24" s="216"/>
      <c r="AR24" s="216"/>
      <c r="AS24" s="216"/>
      <c r="AT24" s="216"/>
      <c r="AU24" s="216"/>
      <c r="AV24" s="216"/>
      <c r="AW24" s="239"/>
    </row>
    <row r="25" spans="1:49" ht="14.4" customHeight="1">
      <c r="J25" s="55">
        <v>2026</v>
      </c>
      <c r="K25" s="49">
        <v>121.30002769978717</v>
      </c>
      <c r="L25" s="53">
        <v>8.2975757508698025E-2</v>
      </c>
      <c r="M25" s="49"/>
      <c r="N25" s="1">
        <f>N24</f>
        <v>150</v>
      </c>
      <c r="P25" s="197" t="s">
        <v>111</v>
      </c>
      <c r="Q25" s="197"/>
      <c r="R25" s="197"/>
      <c r="S25" s="197"/>
      <c r="U25" s="215"/>
      <c r="V25" s="216"/>
      <c r="W25" s="216"/>
      <c r="X25" s="216"/>
      <c r="Y25" s="216"/>
      <c r="Z25" s="216"/>
      <c r="AA25" s="216"/>
      <c r="AB25" s="215"/>
      <c r="AC25" s="216"/>
      <c r="AD25" s="216"/>
      <c r="AE25" s="216"/>
      <c r="AF25" s="216"/>
      <c r="AG25" s="216"/>
      <c r="AH25" s="216"/>
      <c r="AI25" s="216"/>
      <c r="AJ25" s="216"/>
      <c r="AK25" s="216"/>
      <c r="AL25" s="216"/>
      <c r="AM25" s="216"/>
      <c r="AN25" s="216"/>
      <c r="AO25" s="216"/>
      <c r="AP25" s="216"/>
      <c r="AQ25" s="216"/>
      <c r="AR25" s="216"/>
      <c r="AS25" s="216"/>
      <c r="AT25" s="216"/>
      <c r="AU25" s="216"/>
      <c r="AV25" s="216"/>
      <c r="AW25" s="239"/>
    </row>
    <row r="26" spans="1:49" ht="14.4" customHeight="1" thickBot="1">
      <c r="J26" s="55">
        <v>2027</v>
      </c>
      <c r="K26" s="49">
        <v>131.36498938400305</v>
      </c>
      <c r="L26" s="53">
        <v>8.2975757508697984E-2</v>
      </c>
      <c r="M26" s="49"/>
      <c r="N26" s="1">
        <f>N24</f>
        <v>150</v>
      </c>
      <c r="P26" s="197"/>
      <c r="Q26" s="197"/>
      <c r="R26" s="197"/>
      <c r="S26" s="197"/>
      <c r="U26" s="217"/>
      <c r="V26" s="218"/>
      <c r="W26" s="218"/>
      <c r="X26" s="218"/>
      <c r="Y26" s="218"/>
      <c r="Z26" s="218"/>
      <c r="AA26" s="218"/>
      <c r="AB26" s="215"/>
      <c r="AC26" s="216"/>
      <c r="AD26" s="216"/>
      <c r="AE26" s="216"/>
      <c r="AF26" s="216"/>
      <c r="AG26" s="216"/>
      <c r="AH26" s="216"/>
      <c r="AI26" s="216"/>
      <c r="AJ26" s="216"/>
      <c r="AK26" s="216"/>
      <c r="AL26" s="216"/>
      <c r="AM26" s="216"/>
      <c r="AN26" s="216"/>
      <c r="AO26" s="216"/>
      <c r="AP26" s="216"/>
      <c r="AQ26" s="216"/>
      <c r="AR26" s="216"/>
      <c r="AS26" s="216"/>
      <c r="AT26" s="216"/>
      <c r="AU26" s="216"/>
      <c r="AV26" s="216"/>
      <c r="AW26" s="239"/>
    </row>
    <row r="27" spans="1:49">
      <c r="J27" s="55">
        <v>2028</v>
      </c>
      <c r="K27" s="49">
        <v>142.26509888826277</v>
      </c>
      <c r="L27" s="53">
        <v>8.2975757508697942E-2</v>
      </c>
      <c r="M27" s="49"/>
      <c r="N27" s="1">
        <f>N24</f>
        <v>150</v>
      </c>
      <c r="P27" s="197"/>
      <c r="Q27" s="197"/>
      <c r="R27" s="197"/>
      <c r="S27" s="197"/>
      <c r="AB27" s="215"/>
      <c r="AC27" s="216"/>
      <c r="AD27" s="216"/>
      <c r="AE27" s="216"/>
      <c r="AF27" s="216"/>
      <c r="AG27" s="216"/>
      <c r="AH27" s="216"/>
      <c r="AI27" s="216"/>
      <c r="AJ27" s="216"/>
      <c r="AK27" s="216"/>
      <c r="AL27" s="216"/>
      <c r="AM27" s="216"/>
      <c r="AN27" s="216"/>
      <c r="AO27" s="216"/>
      <c r="AP27" s="216"/>
      <c r="AQ27" s="216"/>
      <c r="AR27" s="216"/>
      <c r="AS27" s="216"/>
      <c r="AT27" s="216"/>
      <c r="AU27" s="216"/>
      <c r="AV27" s="216"/>
      <c r="AW27" s="239"/>
    </row>
    <row r="28" spans="1:49">
      <c r="J28" s="55">
        <v>2029</v>
      </c>
      <c r="K28" s="49">
        <v>154.06965323556619</v>
      </c>
      <c r="L28" s="53">
        <v>8.2975757508697928E-2</v>
      </c>
      <c r="M28" s="49"/>
      <c r="N28" s="1">
        <f>N24</f>
        <v>150</v>
      </c>
      <c r="AB28" s="215"/>
      <c r="AC28" s="216"/>
      <c r="AD28" s="216"/>
      <c r="AE28" s="216"/>
      <c r="AF28" s="216"/>
      <c r="AG28" s="216"/>
      <c r="AH28" s="216"/>
      <c r="AI28" s="216"/>
      <c r="AJ28" s="216"/>
      <c r="AK28" s="216"/>
      <c r="AL28" s="216"/>
      <c r="AM28" s="216"/>
      <c r="AN28" s="216"/>
      <c r="AO28" s="216"/>
      <c r="AP28" s="216"/>
      <c r="AQ28" s="216"/>
      <c r="AR28" s="216"/>
      <c r="AS28" s="216"/>
      <c r="AT28" s="216"/>
      <c r="AU28" s="216"/>
      <c r="AV28" s="216"/>
      <c r="AW28" s="239"/>
    </row>
    <row r="29" spans="1:49">
      <c r="J29" s="55">
        <v>2030</v>
      </c>
      <c r="K29" s="49">
        <v>166.85369942188973</v>
      </c>
      <c r="L29" s="53">
        <v>8.2975757508698053E-2</v>
      </c>
      <c r="M29" s="49"/>
      <c r="N29" s="1">
        <f>N24</f>
        <v>150</v>
      </c>
      <c r="AB29" s="215"/>
      <c r="AC29" s="216"/>
      <c r="AD29" s="216"/>
      <c r="AE29" s="216"/>
      <c r="AF29" s="216"/>
      <c r="AG29" s="216"/>
      <c r="AH29" s="216"/>
      <c r="AI29" s="216"/>
      <c r="AJ29" s="216"/>
      <c r="AK29" s="216"/>
      <c r="AL29" s="216"/>
      <c r="AM29" s="216"/>
      <c r="AN29" s="216"/>
      <c r="AO29" s="216"/>
      <c r="AP29" s="216"/>
      <c r="AQ29" s="216"/>
      <c r="AR29" s="216"/>
      <c r="AS29" s="216"/>
      <c r="AT29" s="216"/>
      <c r="AU29" s="216"/>
      <c r="AV29" s="216"/>
      <c r="AW29" s="239"/>
    </row>
    <row r="30" spans="1:49">
      <c r="J30" s="55">
        <v>2031</v>
      </c>
      <c r="K30" s="49">
        <v>180.69851152454964</v>
      </c>
      <c r="L30" s="53">
        <v>8.2975757508698053E-2</v>
      </c>
      <c r="M30" s="49"/>
      <c r="N30" s="1">
        <f>N24</f>
        <v>150</v>
      </c>
      <c r="AB30" s="215"/>
      <c r="AC30" s="216"/>
      <c r="AD30" s="216"/>
      <c r="AE30" s="216"/>
      <c r="AF30" s="216"/>
      <c r="AG30" s="216"/>
      <c r="AH30" s="216"/>
      <c r="AI30" s="216"/>
      <c r="AJ30" s="216"/>
      <c r="AK30" s="216"/>
      <c r="AL30" s="216"/>
      <c r="AM30" s="216"/>
      <c r="AN30" s="216"/>
      <c r="AO30" s="216"/>
      <c r="AP30" s="216"/>
      <c r="AQ30" s="216"/>
      <c r="AR30" s="216"/>
      <c r="AS30" s="216"/>
      <c r="AT30" s="216"/>
      <c r="AU30" s="216"/>
      <c r="AV30" s="216"/>
      <c r="AW30" s="239"/>
    </row>
    <row r="31" spans="1:49">
      <c r="J31" s="55">
        <v>2032</v>
      </c>
      <c r="K31" s="49">
        <v>195.69210739899336</v>
      </c>
      <c r="L31" s="53">
        <v>8.2975757508698053E-2</v>
      </c>
      <c r="M31" s="49"/>
      <c r="N31" s="1">
        <f>N24</f>
        <v>150</v>
      </c>
      <c r="AB31" s="215"/>
      <c r="AC31" s="216"/>
      <c r="AD31" s="216"/>
      <c r="AE31" s="216"/>
      <c r="AF31" s="216"/>
      <c r="AG31" s="216"/>
      <c r="AH31" s="216"/>
      <c r="AI31" s="216"/>
      <c r="AJ31" s="216"/>
      <c r="AK31" s="216"/>
      <c r="AL31" s="216"/>
      <c r="AM31" s="216"/>
      <c r="AN31" s="216"/>
      <c r="AO31" s="216"/>
      <c r="AP31" s="216"/>
      <c r="AQ31" s="216"/>
      <c r="AR31" s="216"/>
      <c r="AS31" s="216"/>
      <c r="AT31" s="216"/>
      <c r="AU31" s="216"/>
      <c r="AV31" s="216"/>
      <c r="AW31" s="239"/>
    </row>
    <row r="32" spans="1:49">
      <c r="J32" s="55">
        <v>2033</v>
      </c>
      <c r="K32" s="49">
        <v>211.92980824889833</v>
      </c>
      <c r="L32" s="53">
        <v>8.2975757508698053E-2</v>
      </c>
      <c r="M32" s="49"/>
      <c r="N32" s="1">
        <f>N24</f>
        <v>150</v>
      </c>
      <c r="AB32" s="215"/>
      <c r="AC32" s="216"/>
      <c r="AD32" s="216"/>
      <c r="AE32" s="216"/>
      <c r="AF32" s="216"/>
      <c r="AG32" s="216"/>
      <c r="AH32" s="216"/>
      <c r="AI32" s="216"/>
      <c r="AJ32" s="216"/>
      <c r="AK32" s="216"/>
      <c r="AL32" s="216"/>
      <c r="AM32" s="216"/>
      <c r="AN32" s="216"/>
      <c r="AO32" s="216"/>
      <c r="AP32" s="216"/>
      <c r="AQ32" s="216"/>
      <c r="AR32" s="216"/>
      <c r="AS32" s="216"/>
      <c r="AT32" s="216"/>
      <c r="AU32" s="216"/>
      <c r="AV32" s="216"/>
      <c r="AW32" s="239"/>
    </row>
    <row r="33" spans="1:49">
      <c r="J33" s="55">
        <v>2034</v>
      </c>
      <c r="K33" s="49">
        <v>229.51484462702379</v>
      </c>
      <c r="L33" s="53">
        <v>8.2975757508698067E-2</v>
      </c>
      <c r="M33" s="49"/>
      <c r="N33" s="1">
        <f>N24</f>
        <v>150</v>
      </c>
      <c r="AB33" s="215"/>
      <c r="AC33" s="216"/>
      <c r="AD33" s="216"/>
      <c r="AE33" s="216"/>
      <c r="AF33" s="216"/>
      <c r="AG33" s="216"/>
      <c r="AH33" s="216"/>
      <c r="AI33" s="216"/>
      <c r="AJ33" s="216"/>
      <c r="AK33" s="216"/>
      <c r="AL33" s="216"/>
      <c r="AM33" s="216"/>
      <c r="AN33" s="216"/>
      <c r="AO33" s="216"/>
      <c r="AP33" s="216"/>
      <c r="AQ33" s="216"/>
      <c r="AR33" s="216"/>
      <c r="AS33" s="216"/>
      <c r="AT33" s="216"/>
      <c r="AU33" s="216"/>
      <c r="AV33" s="216"/>
      <c r="AW33" s="239"/>
    </row>
    <row r="34" spans="1:49" ht="15" thickBot="1">
      <c r="J34" s="55">
        <v>2035</v>
      </c>
      <c r="K34" s="49">
        <v>248.55901271944222</v>
      </c>
      <c r="L34" s="53">
        <v>8.2975757508698025E-2</v>
      </c>
      <c r="M34" s="49"/>
      <c r="N34" s="1">
        <f>N24</f>
        <v>150</v>
      </c>
      <c r="AB34" s="217"/>
      <c r="AC34" s="218"/>
      <c r="AD34" s="218"/>
      <c r="AE34" s="218"/>
      <c r="AF34" s="218"/>
      <c r="AG34" s="218"/>
      <c r="AH34" s="218"/>
      <c r="AI34" s="218"/>
      <c r="AJ34" s="218"/>
      <c r="AK34" s="218"/>
      <c r="AL34" s="218"/>
      <c r="AM34" s="218"/>
      <c r="AN34" s="218"/>
      <c r="AO34" s="218"/>
      <c r="AP34" s="218"/>
      <c r="AQ34" s="218"/>
      <c r="AR34" s="218"/>
      <c r="AS34" s="218"/>
      <c r="AT34" s="218"/>
      <c r="AU34" s="218"/>
      <c r="AV34" s="218"/>
      <c r="AW34" s="240"/>
    </row>
    <row r="35" spans="1:49">
      <c r="J35" s="55">
        <v>2036</v>
      </c>
      <c r="K35" s="49">
        <v>269.18338508545202</v>
      </c>
      <c r="L35" s="53">
        <v>8.29757575086979E-2</v>
      </c>
      <c r="M35" s="49"/>
      <c r="N35" s="1">
        <f>N24</f>
        <v>150</v>
      </c>
      <c r="AB35" s="44"/>
      <c r="AC35" s="44"/>
      <c r="AD35" s="44"/>
      <c r="AE35" s="44"/>
      <c r="AF35" s="44"/>
      <c r="AG35" s="44"/>
      <c r="AH35" s="44"/>
      <c r="AI35" s="44"/>
      <c r="AJ35" s="44"/>
      <c r="AK35" s="44"/>
      <c r="AL35" s="44"/>
      <c r="AM35" s="44"/>
      <c r="AN35" s="44"/>
      <c r="AO35" s="44"/>
      <c r="AP35" s="44"/>
      <c r="AQ35" s="44"/>
      <c r="AR35" s="44"/>
      <c r="AS35" s="44"/>
      <c r="AT35" s="44"/>
      <c r="AU35" s="44"/>
      <c r="AV35" s="44"/>
      <c r="AW35" s="44"/>
    </row>
    <row r="36" spans="1:49">
      <c r="J36" s="55">
        <v>2037</v>
      </c>
      <c r="K36" s="49">
        <v>291.51908037167294</v>
      </c>
      <c r="L36" s="53">
        <v>8.2975757508697942E-2</v>
      </c>
      <c r="M36" s="49"/>
      <c r="N36" s="1">
        <f>N24</f>
        <v>150</v>
      </c>
      <c r="AB36" s="44"/>
      <c r="AC36" s="44"/>
      <c r="AD36" s="44"/>
      <c r="AE36" s="44"/>
      <c r="AF36" s="44"/>
      <c r="AG36" s="44"/>
      <c r="AH36" s="44"/>
      <c r="AI36" s="44"/>
      <c r="AJ36" s="44"/>
      <c r="AK36" s="44"/>
      <c r="AL36" s="44"/>
      <c r="AM36" s="44"/>
      <c r="AN36" s="44"/>
      <c r="AO36" s="44"/>
      <c r="AP36" s="44"/>
      <c r="AQ36" s="44"/>
      <c r="AR36" s="44"/>
      <c r="AS36" s="44"/>
      <c r="AT36" s="44"/>
      <c r="AU36" s="44"/>
      <c r="AV36" s="44"/>
      <c r="AW36" s="44"/>
    </row>
    <row r="37" spans="1:49">
      <c r="J37" s="55">
        <v>2038</v>
      </c>
      <c r="K37" s="49">
        <v>315.70809689375153</v>
      </c>
      <c r="L37" s="53">
        <v>8.2975757508698039E-2</v>
      </c>
      <c r="M37" s="49"/>
      <c r="N37" s="1">
        <f>N24</f>
        <v>150</v>
      </c>
    </row>
    <row r="38" spans="1:49">
      <c r="J38" s="55">
        <v>2039</v>
      </c>
      <c r="K38" s="49">
        <v>341.90421538513999</v>
      </c>
      <c r="L38" s="53">
        <v>8.2975757508698011E-2</v>
      </c>
      <c r="M38" s="49"/>
      <c r="N38" s="1">
        <f>N24</f>
        <v>150</v>
      </c>
    </row>
    <row r="39" spans="1:49">
      <c r="N39" s="36"/>
    </row>
    <row r="40" spans="1:49" ht="15" thickBot="1"/>
    <row r="41" spans="1:49" ht="15" thickBot="1">
      <c r="B41" s="241" t="s">
        <v>113</v>
      </c>
      <c r="C41" s="242"/>
      <c r="D41" s="242"/>
      <c r="E41" s="242"/>
      <c r="F41" s="242"/>
      <c r="G41" s="243"/>
      <c r="J41" s="263" t="s">
        <v>114</v>
      </c>
      <c r="K41" s="264"/>
      <c r="L41" s="264"/>
      <c r="M41" s="264"/>
      <c r="N41" s="264"/>
      <c r="O41" s="265"/>
      <c r="R41" s="198" t="s">
        <v>115</v>
      </c>
      <c r="S41" s="199"/>
      <c r="T41" s="199"/>
      <c r="U41" s="199"/>
      <c r="V41" s="199"/>
      <c r="W41" s="200"/>
    </row>
    <row r="42" spans="1:49" ht="15" thickBot="1">
      <c r="B42" s="244" t="s">
        <v>74</v>
      </c>
      <c r="C42" s="245"/>
      <c r="D42" s="245"/>
      <c r="E42" s="245"/>
      <c r="F42" s="245"/>
      <c r="G42" s="246"/>
      <c r="J42" s="221" t="s">
        <v>95</v>
      </c>
      <c r="K42" s="221"/>
      <c r="L42" s="221"/>
      <c r="M42" s="221"/>
      <c r="N42" s="221"/>
      <c r="O42" s="68">
        <f>S11</f>
        <v>1803112.6757605795</v>
      </c>
      <c r="R42" s="175" t="s">
        <v>8</v>
      </c>
      <c r="S42" s="175"/>
      <c r="T42" s="175"/>
      <c r="U42" s="175"/>
      <c r="V42" s="175"/>
      <c r="W42" s="68">
        <f>F16*F7</f>
        <v>2800000</v>
      </c>
    </row>
    <row r="43" spans="1:49" ht="15" thickBot="1">
      <c r="B43" s="247" t="s">
        <v>76</v>
      </c>
      <c r="C43" s="248"/>
      <c r="D43" s="248"/>
      <c r="E43" s="248"/>
      <c r="F43" s="248"/>
      <c r="G43" s="249"/>
      <c r="J43" s="167" t="s">
        <v>8</v>
      </c>
      <c r="K43" s="167"/>
      <c r="L43" s="167"/>
      <c r="M43" s="167"/>
      <c r="N43" s="167"/>
      <c r="O43" s="76">
        <f>F16*F7</f>
        <v>2800000</v>
      </c>
      <c r="R43" s="266" t="s">
        <v>95</v>
      </c>
      <c r="S43" s="266"/>
      <c r="T43" s="266"/>
      <c r="U43" s="266"/>
      <c r="V43" s="266"/>
      <c r="W43" s="39">
        <f>S11</f>
        <v>1803112.6757605795</v>
      </c>
    </row>
    <row r="44" spans="1:49" ht="15" thickBot="1">
      <c r="B44" s="268" t="s">
        <v>77</v>
      </c>
      <c r="C44" s="269"/>
      <c r="D44" s="269"/>
      <c r="E44" s="269"/>
      <c r="F44" s="269"/>
      <c r="G44" s="270"/>
      <c r="J44" s="176" t="s">
        <v>121</v>
      </c>
      <c r="K44" s="177"/>
      <c r="L44" s="30">
        <f>$F$5*$F$13*N24</f>
        <v>576000</v>
      </c>
      <c r="M44" s="178" t="s">
        <v>120</v>
      </c>
      <c r="N44" s="179"/>
      <c r="O44" s="43">
        <f>$O$42+($O$43/(1+$F$18))-L44</f>
        <v>3893779.3424272463</v>
      </c>
      <c r="P44" s="43">
        <f>$O$42+($O$43/(1+$F$18))-L44</f>
        <v>3893779.3424272463</v>
      </c>
      <c r="R44" s="167" t="s">
        <v>118</v>
      </c>
      <c r="S44" s="167"/>
      <c r="T44" s="167"/>
      <c r="U44" s="167"/>
      <c r="V44" s="167"/>
      <c r="W44" s="76">
        <f>(W42*F19)/(1+F18)</f>
        <v>2533333.333333333</v>
      </c>
    </row>
    <row r="45" spans="1:49">
      <c r="B45" s="18" t="s">
        <v>79</v>
      </c>
      <c r="C45" s="219" t="s">
        <v>84</v>
      </c>
      <c r="D45" s="220"/>
      <c r="E45" s="220"/>
      <c r="F45" s="220"/>
      <c r="G45" s="68">
        <f>-(F14*(MAX(F16*F7*F19-S7,0))+F15*(MAX(F16*F7*F19,0)))</f>
        <v>-2394000</v>
      </c>
      <c r="J45" s="176" t="s">
        <v>122</v>
      </c>
      <c r="K45" s="177"/>
      <c r="L45" s="30">
        <f>$F$5*$F$13*N25</f>
        <v>576000</v>
      </c>
      <c r="M45" s="178" t="s">
        <v>120</v>
      </c>
      <c r="N45" s="179"/>
      <c r="O45" s="30">
        <f>-L45</f>
        <v>-576000</v>
      </c>
      <c r="P45" s="39">
        <f>O45/(1+$F$18)^A49</f>
        <v>-548571.42857142852</v>
      </c>
      <c r="R45" s="184" t="s">
        <v>121</v>
      </c>
      <c r="S45" s="184"/>
      <c r="T45" s="30">
        <f t="shared" ref="T45:T59" si="0">$F$5*$F$13*N24</f>
        <v>576000</v>
      </c>
      <c r="U45" s="178" t="s">
        <v>119</v>
      </c>
      <c r="V45" s="179"/>
      <c r="W45" s="43">
        <f>$W$42+($W$43/(1+$F$18))-T45</f>
        <v>3941250.1673910283</v>
      </c>
      <c r="X45" s="39">
        <f>$W$42+($W$43/(1+$F$18))-T45</f>
        <v>3941250.1673910283</v>
      </c>
    </row>
    <row r="46" spans="1:49">
      <c r="B46" s="7" t="s">
        <v>80</v>
      </c>
      <c r="C46" s="120" t="s">
        <v>155</v>
      </c>
      <c r="D46" s="121"/>
      <c r="E46" s="121"/>
      <c r="F46" s="121"/>
      <c r="G46" s="39">
        <f>S11</f>
        <v>1803112.6757605795</v>
      </c>
      <c r="H46" s="15"/>
      <c r="J46" s="176" t="s">
        <v>123</v>
      </c>
      <c r="K46" s="177"/>
      <c r="L46" s="30">
        <f t="shared" ref="L46:L58" si="1">$F$5*$F$13*N26</f>
        <v>576000</v>
      </c>
      <c r="M46" s="178" t="s">
        <v>120</v>
      </c>
      <c r="N46" s="179"/>
      <c r="O46" s="30">
        <f>-L46</f>
        <v>-576000</v>
      </c>
      <c r="P46" s="39">
        <f>O46/(1+$F$18)^A50</f>
        <v>-522448.97959183675</v>
      </c>
      <c r="R46" s="184" t="s">
        <v>122</v>
      </c>
      <c r="S46" s="184"/>
      <c r="T46" s="30">
        <f t="shared" si="0"/>
        <v>576000</v>
      </c>
      <c r="U46" s="178" t="s">
        <v>119</v>
      </c>
      <c r="V46" s="179"/>
      <c r="W46" s="30">
        <f>-T46</f>
        <v>-576000</v>
      </c>
      <c r="X46" s="39">
        <f>W46/(1+$F$18)^A49</f>
        <v>-548571.42857142852</v>
      </c>
    </row>
    <row r="47" spans="1:49">
      <c r="B47" s="160" t="s">
        <v>112</v>
      </c>
      <c r="C47" s="161"/>
      <c r="D47" s="167" t="s">
        <v>82</v>
      </c>
      <c r="E47" s="167"/>
      <c r="F47" s="167"/>
      <c r="G47" s="39">
        <f>G45+G46</f>
        <v>-590887.32423942047</v>
      </c>
      <c r="H47" s="15"/>
      <c r="J47" s="176" t="s">
        <v>124</v>
      </c>
      <c r="K47" s="177"/>
      <c r="L47" s="30">
        <f t="shared" si="1"/>
        <v>576000</v>
      </c>
      <c r="M47" s="178" t="s">
        <v>120</v>
      </c>
      <c r="N47" s="179"/>
      <c r="O47" s="30">
        <f t="shared" ref="O47:O58" si="2">-L47</f>
        <v>-576000</v>
      </c>
      <c r="P47" s="39">
        <f t="shared" ref="P47:P58" si="3">O47/(1+$F$18)^A51</f>
        <v>-497570.45675413019</v>
      </c>
      <c r="R47" s="184" t="s">
        <v>123</v>
      </c>
      <c r="S47" s="184"/>
      <c r="T47" s="30">
        <f t="shared" si="0"/>
        <v>576000</v>
      </c>
      <c r="U47" s="178" t="s">
        <v>119</v>
      </c>
      <c r="V47" s="179"/>
      <c r="W47" s="30">
        <f t="shared" ref="W47:W59" si="4">-T47</f>
        <v>-576000</v>
      </c>
      <c r="X47" s="39">
        <f t="shared" ref="X47:X59" si="5">W47/(1+$F$18)^A50</f>
        <v>-522448.97959183675</v>
      </c>
    </row>
    <row r="48" spans="1:49">
      <c r="A48">
        <v>0</v>
      </c>
      <c r="B48" s="192" t="s">
        <v>140</v>
      </c>
      <c r="C48" s="192"/>
      <c r="D48" s="192"/>
      <c r="E48" s="192"/>
      <c r="F48" s="192"/>
      <c r="G48" s="72">
        <f>2*$S$11-($F$5*$F$13*N24)</f>
        <v>3030225.3515211591</v>
      </c>
      <c r="H48" s="39">
        <f>G48</f>
        <v>3030225.3515211591</v>
      </c>
      <c r="J48" s="176" t="s">
        <v>125</v>
      </c>
      <c r="K48" s="177"/>
      <c r="L48" s="30">
        <f t="shared" si="1"/>
        <v>576000</v>
      </c>
      <c r="M48" s="178" t="s">
        <v>120</v>
      </c>
      <c r="N48" s="179"/>
      <c r="O48" s="30">
        <f t="shared" si="2"/>
        <v>-576000</v>
      </c>
      <c r="P48" s="39">
        <f t="shared" si="3"/>
        <v>-473876.62548012403</v>
      </c>
      <c r="R48" s="184" t="s">
        <v>124</v>
      </c>
      <c r="S48" s="184"/>
      <c r="T48" s="30">
        <f t="shared" si="0"/>
        <v>576000</v>
      </c>
      <c r="U48" s="178" t="s">
        <v>119</v>
      </c>
      <c r="V48" s="179"/>
      <c r="W48" s="30">
        <f t="shared" si="4"/>
        <v>-576000</v>
      </c>
      <c r="X48" s="39">
        <f t="shared" si="5"/>
        <v>-497570.45675413019</v>
      </c>
    </row>
    <row r="49" spans="1:24">
      <c r="A49">
        <v>1</v>
      </c>
      <c r="B49" s="192" t="s">
        <v>141</v>
      </c>
      <c r="C49" s="192"/>
      <c r="D49" s="192"/>
      <c r="E49" s="192"/>
      <c r="F49" s="192"/>
      <c r="G49" s="33">
        <f>-($F$5*$F$13*N25)</f>
        <v>-576000</v>
      </c>
      <c r="H49" s="39">
        <f>G49/(1+$F$18)^A49</f>
        <v>-548571.42857142852</v>
      </c>
      <c r="J49" s="176" t="s">
        <v>126</v>
      </c>
      <c r="K49" s="177"/>
      <c r="L49" s="30">
        <f t="shared" si="1"/>
        <v>576000</v>
      </c>
      <c r="M49" s="178" t="s">
        <v>120</v>
      </c>
      <c r="N49" s="179"/>
      <c r="O49" s="30">
        <f t="shared" si="2"/>
        <v>-576000</v>
      </c>
      <c r="P49" s="39">
        <f t="shared" si="3"/>
        <v>-451311.07188583235</v>
      </c>
      <c r="R49" s="184" t="s">
        <v>125</v>
      </c>
      <c r="S49" s="184"/>
      <c r="T49" s="30">
        <f t="shared" si="0"/>
        <v>576000</v>
      </c>
      <c r="U49" s="178" t="s">
        <v>119</v>
      </c>
      <c r="V49" s="179"/>
      <c r="W49" s="30">
        <f t="shared" si="4"/>
        <v>-576000</v>
      </c>
      <c r="X49" s="39">
        <f t="shared" si="5"/>
        <v>-473876.62548012403</v>
      </c>
    </row>
    <row r="50" spans="1:24">
      <c r="A50">
        <v>2</v>
      </c>
      <c r="B50" s="192" t="s">
        <v>142</v>
      </c>
      <c r="C50" s="192"/>
      <c r="D50" s="192"/>
      <c r="E50" s="192"/>
      <c r="F50" s="192"/>
      <c r="G50" s="33">
        <f t="shared" ref="G50:G62" si="6">-($F$5*$F$13*N26)</f>
        <v>-576000</v>
      </c>
      <c r="H50" s="39">
        <f>G50/(1+$F$18)^A50</f>
        <v>-522448.97959183675</v>
      </c>
      <c r="J50" s="176" t="s">
        <v>127</v>
      </c>
      <c r="K50" s="177"/>
      <c r="L50" s="30">
        <f t="shared" si="1"/>
        <v>576000</v>
      </c>
      <c r="M50" s="178" t="s">
        <v>120</v>
      </c>
      <c r="N50" s="179"/>
      <c r="O50" s="30">
        <f t="shared" si="2"/>
        <v>-576000</v>
      </c>
      <c r="P50" s="39">
        <f t="shared" si="3"/>
        <v>-429820.06846269756</v>
      </c>
      <c r="R50" s="184" t="s">
        <v>126</v>
      </c>
      <c r="S50" s="184"/>
      <c r="T50" s="30">
        <f t="shared" si="0"/>
        <v>576000</v>
      </c>
      <c r="U50" s="178" t="s">
        <v>119</v>
      </c>
      <c r="V50" s="179"/>
      <c r="W50" s="30">
        <f t="shared" si="4"/>
        <v>-576000</v>
      </c>
      <c r="X50" s="39">
        <f t="shared" si="5"/>
        <v>-451311.07188583235</v>
      </c>
    </row>
    <row r="51" spans="1:24">
      <c r="A51">
        <v>3</v>
      </c>
      <c r="B51" s="192" t="s">
        <v>143</v>
      </c>
      <c r="C51" s="192"/>
      <c r="D51" s="192"/>
      <c r="E51" s="192"/>
      <c r="F51" s="192"/>
      <c r="G51" s="33">
        <f t="shared" si="6"/>
        <v>-576000</v>
      </c>
      <c r="H51" s="39">
        <f t="shared" ref="H51:H62" si="7">G51/(1+$F$18)^A51</f>
        <v>-497570.45675413019</v>
      </c>
      <c r="J51" s="176" t="s">
        <v>128</v>
      </c>
      <c r="K51" s="177"/>
      <c r="L51" s="30">
        <f t="shared" si="1"/>
        <v>576000</v>
      </c>
      <c r="M51" s="178" t="s">
        <v>120</v>
      </c>
      <c r="N51" s="179"/>
      <c r="O51" s="30">
        <f t="shared" si="2"/>
        <v>-576000</v>
      </c>
      <c r="P51" s="39">
        <f t="shared" si="3"/>
        <v>-409352.44615494995</v>
      </c>
      <c r="R51" s="184" t="s">
        <v>127</v>
      </c>
      <c r="S51" s="184"/>
      <c r="T51" s="30">
        <f t="shared" si="0"/>
        <v>576000</v>
      </c>
      <c r="U51" s="178" t="s">
        <v>119</v>
      </c>
      <c r="V51" s="179"/>
      <c r="W51" s="30">
        <f t="shared" si="4"/>
        <v>-576000</v>
      </c>
      <c r="X51" s="39">
        <f t="shared" si="5"/>
        <v>-429820.06846269756</v>
      </c>
    </row>
    <row r="52" spans="1:24">
      <c r="A52">
        <v>4</v>
      </c>
      <c r="B52" s="192" t="s">
        <v>144</v>
      </c>
      <c r="C52" s="192"/>
      <c r="D52" s="192"/>
      <c r="E52" s="192"/>
      <c r="F52" s="192"/>
      <c r="G52" s="33">
        <f t="shared" si="6"/>
        <v>-576000</v>
      </c>
      <c r="H52" s="39">
        <f t="shared" si="7"/>
        <v>-473876.62548012403</v>
      </c>
      <c r="J52" s="176" t="s">
        <v>129</v>
      </c>
      <c r="K52" s="177"/>
      <c r="L52" s="30">
        <f t="shared" si="1"/>
        <v>576000</v>
      </c>
      <c r="M52" s="178" t="s">
        <v>120</v>
      </c>
      <c r="N52" s="179"/>
      <c r="O52" s="30">
        <f t="shared" si="2"/>
        <v>-576000</v>
      </c>
      <c r="P52" s="39">
        <f t="shared" si="3"/>
        <v>-389859.47252852382</v>
      </c>
      <c r="R52" s="184" t="s">
        <v>128</v>
      </c>
      <c r="S52" s="184"/>
      <c r="T52" s="30">
        <f t="shared" si="0"/>
        <v>576000</v>
      </c>
      <c r="U52" s="178" t="s">
        <v>119</v>
      </c>
      <c r="V52" s="179"/>
      <c r="W52" s="30">
        <f t="shared" si="4"/>
        <v>-576000</v>
      </c>
      <c r="X52" s="39">
        <f t="shared" si="5"/>
        <v>-409352.44615494995</v>
      </c>
    </row>
    <row r="53" spans="1:24">
      <c r="A53">
        <v>5</v>
      </c>
      <c r="B53" s="192" t="s">
        <v>145</v>
      </c>
      <c r="C53" s="192"/>
      <c r="D53" s="192"/>
      <c r="E53" s="192"/>
      <c r="F53" s="192"/>
      <c r="G53" s="33">
        <f t="shared" si="6"/>
        <v>-576000</v>
      </c>
      <c r="H53" s="39">
        <f t="shared" si="7"/>
        <v>-451311.07188583235</v>
      </c>
      <c r="J53" s="176" t="s">
        <v>130</v>
      </c>
      <c r="K53" s="177"/>
      <c r="L53" s="30">
        <f t="shared" si="1"/>
        <v>576000</v>
      </c>
      <c r="M53" s="178" t="s">
        <v>120</v>
      </c>
      <c r="N53" s="179"/>
      <c r="O53" s="30">
        <f t="shared" si="2"/>
        <v>-576000</v>
      </c>
      <c r="P53" s="39">
        <f t="shared" si="3"/>
        <v>-371294.73574145121</v>
      </c>
      <c r="R53" s="184" t="s">
        <v>129</v>
      </c>
      <c r="S53" s="184"/>
      <c r="T53" s="30">
        <f t="shared" si="0"/>
        <v>576000</v>
      </c>
      <c r="U53" s="178" t="s">
        <v>119</v>
      </c>
      <c r="V53" s="179"/>
      <c r="W53" s="30">
        <f t="shared" si="4"/>
        <v>-576000</v>
      </c>
      <c r="X53" s="39">
        <f t="shared" si="5"/>
        <v>-389859.47252852382</v>
      </c>
    </row>
    <row r="54" spans="1:24">
      <c r="A54">
        <v>6</v>
      </c>
      <c r="B54" s="192" t="s">
        <v>146</v>
      </c>
      <c r="C54" s="192"/>
      <c r="D54" s="192"/>
      <c r="E54" s="192"/>
      <c r="F54" s="192"/>
      <c r="G54" s="33">
        <f t="shared" si="6"/>
        <v>-576000</v>
      </c>
      <c r="H54" s="39">
        <f t="shared" si="7"/>
        <v>-429820.06846269756</v>
      </c>
      <c r="J54" s="176" t="s">
        <v>131</v>
      </c>
      <c r="K54" s="177"/>
      <c r="L54" s="30">
        <f t="shared" si="1"/>
        <v>576000</v>
      </c>
      <c r="M54" s="178" t="s">
        <v>120</v>
      </c>
      <c r="N54" s="179"/>
      <c r="O54" s="30">
        <f t="shared" si="2"/>
        <v>-576000</v>
      </c>
      <c r="P54" s="39">
        <f t="shared" si="3"/>
        <v>-353614.03403947735</v>
      </c>
      <c r="R54" s="184" t="s">
        <v>130</v>
      </c>
      <c r="S54" s="184"/>
      <c r="T54" s="30">
        <f t="shared" si="0"/>
        <v>576000</v>
      </c>
      <c r="U54" s="178" t="s">
        <v>119</v>
      </c>
      <c r="V54" s="179"/>
      <c r="W54" s="30">
        <f t="shared" si="4"/>
        <v>-576000</v>
      </c>
      <c r="X54" s="39">
        <f t="shared" si="5"/>
        <v>-371294.73574145121</v>
      </c>
    </row>
    <row r="55" spans="1:24">
      <c r="A55">
        <v>7</v>
      </c>
      <c r="B55" s="192" t="s">
        <v>147</v>
      </c>
      <c r="C55" s="192"/>
      <c r="D55" s="192"/>
      <c r="E55" s="192"/>
      <c r="F55" s="192"/>
      <c r="G55" s="33">
        <f t="shared" si="6"/>
        <v>-576000</v>
      </c>
      <c r="H55" s="39">
        <f t="shared" si="7"/>
        <v>-409352.44615494995</v>
      </c>
      <c r="J55" s="176" t="s">
        <v>132</v>
      </c>
      <c r="K55" s="177"/>
      <c r="L55" s="30">
        <f t="shared" si="1"/>
        <v>576000</v>
      </c>
      <c r="M55" s="178" t="s">
        <v>120</v>
      </c>
      <c r="N55" s="179"/>
      <c r="O55" s="30">
        <f t="shared" si="2"/>
        <v>-576000</v>
      </c>
      <c r="P55" s="39">
        <f t="shared" si="3"/>
        <v>-336775.27051378792</v>
      </c>
      <c r="R55" s="184" t="s">
        <v>131</v>
      </c>
      <c r="S55" s="184"/>
      <c r="T55" s="30">
        <f t="shared" si="0"/>
        <v>576000</v>
      </c>
      <c r="U55" s="178" t="s">
        <v>119</v>
      </c>
      <c r="V55" s="179"/>
      <c r="W55" s="30">
        <f t="shared" si="4"/>
        <v>-576000</v>
      </c>
      <c r="X55" s="39">
        <f t="shared" si="5"/>
        <v>-353614.03403947735</v>
      </c>
    </row>
    <row r="56" spans="1:24">
      <c r="A56">
        <v>8</v>
      </c>
      <c r="B56" s="192" t="s">
        <v>148</v>
      </c>
      <c r="C56" s="192"/>
      <c r="D56" s="192"/>
      <c r="E56" s="192"/>
      <c r="F56" s="192"/>
      <c r="G56" s="33">
        <f t="shared" si="6"/>
        <v>-576000</v>
      </c>
      <c r="H56" s="39">
        <f t="shared" si="7"/>
        <v>-389859.47252852382</v>
      </c>
      <c r="J56" s="176" t="s">
        <v>133</v>
      </c>
      <c r="K56" s="177"/>
      <c r="L56" s="30">
        <f t="shared" si="1"/>
        <v>576000</v>
      </c>
      <c r="M56" s="178" t="s">
        <v>120</v>
      </c>
      <c r="N56" s="179"/>
      <c r="O56" s="30">
        <f t="shared" si="2"/>
        <v>-576000</v>
      </c>
      <c r="P56" s="39">
        <f t="shared" si="3"/>
        <v>-320738.35287027428</v>
      </c>
      <c r="R56" s="184" t="s">
        <v>132</v>
      </c>
      <c r="S56" s="184"/>
      <c r="T56" s="30">
        <f t="shared" si="0"/>
        <v>576000</v>
      </c>
      <c r="U56" s="178" t="s">
        <v>119</v>
      </c>
      <c r="V56" s="179"/>
      <c r="W56" s="30">
        <f t="shared" si="4"/>
        <v>-576000</v>
      </c>
      <c r="X56" s="39">
        <f t="shared" si="5"/>
        <v>-336775.27051378792</v>
      </c>
    </row>
    <row r="57" spans="1:24">
      <c r="A57">
        <v>9</v>
      </c>
      <c r="B57" s="192" t="s">
        <v>149</v>
      </c>
      <c r="C57" s="192"/>
      <c r="D57" s="192"/>
      <c r="E57" s="192"/>
      <c r="F57" s="192"/>
      <c r="G57" s="33">
        <f t="shared" si="6"/>
        <v>-576000</v>
      </c>
      <c r="H57" s="39">
        <f t="shared" si="7"/>
        <v>-371294.73574145121</v>
      </c>
      <c r="J57" s="176" t="s">
        <v>134</v>
      </c>
      <c r="K57" s="177"/>
      <c r="L57" s="30">
        <f t="shared" si="1"/>
        <v>576000</v>
      </c>
      <c r="M57" s="178" t="s">
        <v>120</v>
      </c>
      <c r="N57" s="179"/>
      <c r="O57" s="30">
        <f t="shared" si="2"/>
        <v>-576000</v>
      </c>
      <c r="P57" s="39">
        <f t="shared" si="3"/>
        <v>-305465.09797168971</v>
      </c>
      <c r="R57" s="184" t="s">
        <v>133</v>
      </c>
      <c r="S57" s="184"/>
      <c r="T57" s="30">
        <f t="shared" si="0"/>
        <v>576000</v>
      </c>
      <c r="U57" s="178" t="s">
        <v>119</v>
      </c>
      <c r="V57" s="179"/>
      <c r="W57" s="30">
        <f t="shared" si="4"/>
        <v>-576000</v>
      </c>
      <c r="X57" s="39">
        <f t="shared" si="5"/>
        <v>-320738.35287027428</v>
      </c>
    </row>
    <row r="58" spans="1:24">
      <c r="A58">
        <v>10</v>
      </c>
      <c r="B58" s="192" t="s">
        <v>150</v>
      </c>
      <c r="C58" s="192"/>
      <c r="D58" s="192"/>
      <c r="E58" s="192"/>
      <c r="F58" s="192"/>
      <c r="G58" s="33">
        <f t="shared" si="6"/>
        <v>-576000</v>
      </c>
      <c r="H58" s="39">
        <f t="shared" si="7"/>
        <v>-353614.03403947735</v>
      </c>
      <c r="J58" s="176" t="s">
        <v>135</v>
      </c>
      <c r="K58" s="177"/>
      <c r="L58" s="30">
        <f t="shared" si="1"/>
        <v>576000</v>
      </c>
      <c r="M58" s="178" t="s">
        <v>120</v>
      </c>
      <c r="N58" s="179"/>
      <c r="O58" s="30">
        <f t="shared" si="2"/>
        <v>-576000</v>
      </c>
      <c r="P58" s="39">
        <f t="shared" si="3"/>
        <v>-290919.14092541888</v>
      </c>
      <c r="R58" s="184" t="s">
        <v>134</v>
      </c>
      <c r="S58" s="184"/>
      <c r="T58" s="30">
        <f t="shared" si="0"/>
        <v>576000</v>
      </c>
      <c r="U58" s="178" t="s">
        <v>119</v>
      </c>
      <c r="V58" s="179"/>
      <c r="W58" s="30">
        <f t="shared" si="4"/>
        <v>-576000</v>
      </c>
      <c r="X58" s="39">
        <f t="shared" si="5"/>
        <v>-305465.09797168971</v>
      </c>
    </row>
    <row r="59" spans="1:24">
      <c r="A59">
        <v>11</v>
      </c>
      <c r="B59" s="192" t="s">
        <v>151</v>
      </c>
      <c r="C59" s="192"/>
      <c r="D59" s="192"/>
      <c r="E59" s="192"/>
      <c r="F59" s="192"/>
      <c r="G59" s="33">
        <f t="shared" si="6"/>
        <v>-576000</v>
      </c>
      <c r="H59" s="39">
        <f t="shared" si="7"/>
        <v>-336775.27051378792</v>
      </c>
      <c r="L59" s="41"/>
      <c r="M59" s="41"/>
      <c r="N59" s="41"/>
      <c r="O59" s="77" t="s">
        <v>178</v>
      </c>
      <c r="P59" s="78">
        <f>SUM(P44:P58)</f>
        <v>-1807837.8390643764</v>
      </c>
      <c r="R59" s="184" t="s">
        <v>135</v>
      </c>
      <c r="S59" s="184"/>
      <c r="T59" s="30">
        <f t="shared" si="0"/>
        <v>576000</v>
      </c>
      <c r="U59" s="178" t="s">
        <v>119</v>
      </c>
      <c r="V59" s="179"/>
      <c r="W59" s="30">
        <f t="shared" si="4"/>
        <v>-576000</v>
      </c>
      <c r="X59" s="39">
        <f t="shared" si="5"/>
        <v>-290919.14092541888</v>
      </c>
    </row>
    <row r="60" spans="1:24" ht="14.4" customHeight="1">
      <c r="A60">
        <v>12</v>
      </c>
      <c r="B60" s="192" t="s">
        <v>152</v>
      </c>
      <c r="C60" s="192"/>
      <c r="D60" s="192"/>
      <c r="E60" s="192"/>
      <c r="F60" s="192"/>
      <c r="G60" s="33">
        <f t="shared" si="6"/>
        <v>-576000</v>
      </c>
      <c r="H60" s="39">
        <f t="shared" si="7"/>
        <v>-320738.35287027428</v>
      </c>
      <c r="W60" s="77" t="s">
        <v>178</v>
      </c>
      <c r="X60" s="78">
        <f>SUM(X45:X59)</f>
        <v>-1760367.0141005944</v>
      </c>
    </row>
    <row r="61" spans="1:24">
      <c r="A61">
        <v>13</v>
      </c>
      <c r="B61" s="192" t="s">
        <v>153</v>
      </c>
      <c r="C61" s="192"/>
      <c r="D61" s="192"/>
      <c r="E61" s="192"/>
      <c r="F61" s="192"/>
      <c r="G61" s="33">
        <f t="shared" si="6"/>
        <v>-576000</v>
      </c>
      <c r="H61" s="39">
        <f t="shared" si="7"/>
        <v>-305465.09797168971</v>
      </c>
      <c r="Q61" s="47"/>
      <c r="R61" s="167" t="s">
        <v>183</v>
      </c>
      <c r="S61" s="167"/>
      <c r="T61" s="167"/>
      <c r="U61" s="167"/>
      <c r="V61" s="167"/>
    </row>
    <row r="62" spans="1:24" ht="15" thickBot="1">
      <c r="A62">
        <v>14</v>
      </c>
      <c r="B62" s="196" t="s">
        <v>154</v>
      </c>
      <c r="C62" s="196"/>
      <c r="D62" s="196"/>
      <c r="E62" s="196"/>
      <c r="F62" s="196"/>
      <c r="G62" s="73">
        <f t="shared" si="6"/>
        <v>-576000</v>
      </c>
      <c r="H62" s="39">
        <f t="shared" si="7"/>
        <v>-290919.14092541888</v>
      </c>
      <c r="R62" s="191" t="s">
        <v>182</v>
      </c>
      <c r="S62" s="191"/>
      <c r="T62" s="191"/>
      <c r="U62" s="191"/>
      <c r="V62" s="191"/>
      <c r="W62" s="43">
        <f>MIN(W44,X60)</f>
        <v>-1760367.0141005944</v>
      </c>
    </row>
    <row r="63" spans="1:24" ht="15" thickBot="1">
      <c r="B63" s="185" t="s">
        <v>117</v>
      </c>
      <c r="C63" s="186"/>
      <c r="D63" s="186"/>
      <c r="E63" s="186"/>
      <c r="F63" s="187"/>
      <c r="G63" s="74" t="s">
        <v>178</v>
      </c>
      <c r="H63" s="75">
        <f>SUM(H48:H62)</f>
        <v>-2671391.8299704636</v>
      </c>
      <c r="I63" s="38"/>
    </row>
    <row r="64" spans="1:24" ht="15" thickBot="1">
      <c r="B64" s="175" t="s">
        <v>116</v>
      </c>
      <c r="C64" s="175"/>
      <c r="D64" s="175"/>
      <c r="E64" s="175"/>
      <c r="F64" s="175"/>
      <c r="G64" s="69">
        <f>F14*MIN((F16*F7)+(F11*F12*F13)*(1+F20),S7)</f>
        <v>413536</v>
      </c>
      <c r="H64" s="15"/>
      <c r="S64" s="48"/>
    </row>
    <row r="65" spans="2:24" ht="15" thickBot="1">
      <c r="B65" s="250" t="s">
        <v>87</v>
      </c>
      <c r="C65" s="251"/>
      <c r="D65" s="252" t="s">
        <v>107</v>
      </c>
      <c r="E65" s="253"/>
      <c r="F65" s="254"/>
      <c r="G65" s="45">
        <f>(F14*MIN(G45,G46,G47,H63)+F15*MIN(G45,G46,G47,H63))/(1+F18)</f>
        <v>-2544182.6952099651</v>
      </c>
      <c r="H65" s="59"/>
      <c r="J65" s="274" t="s">
        <v>181</v>
      </c>
      <c r="K65" s="275"/>
      <c r="L65" s="275"/>
      <c r="M65" s="275"/>
      <c r="N65" s="275"/>
      <c r="O65" s="276"/>
      <c r="Q65" s="46"/>
      <c r="V65" s="42"/>
      <c r="W65" s="42"/>
      <c r="X65" s="42"/>
    </row>
    <row r="66" spans="2:24" ht="15" thickBot="1">
      <c r="B66" s="120"/>
      <c r="C66" s="122"/>
      <c r="D66" s="255"/>
      <c r="E66" s="256"/>
      <c r="F66" s="257"/>
      <c r="G66" s="3"/>
      <c r="H66" s="15"/>
      <c r="J66" s="277" t="s">
        <v>180</v>
      </c>
      <c r="K66" s="278"/>
      <c r="L66" s="278"/>
      <c r="M66" s="278"/>
      <c r="N66" s="279"/>
      <c r="O66" s="79">
        <f>G68*F14+W62*F15</f>
        <v>-1558748.5822115317</v>
      </c>
    </row>
    <row r="67" spans="2:24" ht="15" thickBot="1">
      <c r="B67" s="258" t="s">
        <v>88</v>
      </c>
      <c r="C67" s="259"/>
      <c r="D67" s="260" t="s">
        <v>90</v>
      </c>
      <c r="E67" s="261"/>
      <c r="F67" s="262"/>
      <c r="G67" s="45">
        <f>G64/(1+F18)</f>
        <v>393843.80952380953</v>
      </c>
      <c r="H67" s="15"/>
      <c r="J67" s="271" t="s">
        <v>179</v>
      </c>
      <c r="K67" s="272"/>
      <c r="L67" s="272"/>
      <c r="M67" s="272"/>
      <c r="N67" s="273"/>
      <c r="O67" s="79">
        <f>F14*G72+F15*P59/(1+F18)</f>
        <v>-1512752.4157703589</v>
      </c>
    </row>
    <row r="68" spans="2:24" ht="15" thickBot="1">
      <c r="B68" s="193" t="s">
        <v>91</v>
      </c>
      <c r="C68" s="194"/>
      <c r="D68" s="194"/>
      <c r="E68" s="194"/>
      <c r="F68" s="195"/>
      <c r="G68" s="70">
        <f>MIN(F16*F7+G65,G67)</f>
        <v>255817.30479003489</v>
      </c>
      <c r="H68" s="15"/>
    </row>
    <row r="69" spans="2:24" ht="15" thickBot="1">
      <c r="H69" s="15"/>
    </row>
    <row r="70" spans="2:24" ht="15" thickBot="1">
      <c r="B70" s="180" t="s">
        <v>92</v>
      </c>
      <c r="C70" s="181"/>
      <c r="D70" s="181"/>
      <c r="E70" s="181"/>
      <c r="F70" s="181"/>
      <c r="G70" s="182"/>
      <c r="H70" s="15"/>
    </row>
    <row r="71" spans="2:24" ht="15" thickBot="1">
      <c r="B71" s="183" t="s">
        <v>93</v>
      </c>
      <c r="C71" s="183"/>
      <c r="D71" s="183"/>
      <c r="E71" s="183"/>
      <c r="F71" s="183"/>
      <c r="G71" s="175"/>
      <c r="H71" s="15"/>
      <c r="J71" s="137" t="s">
        <v>187</v>
      </c>
      <c r="K71" s="137"/>
      <c r="L71" s="137"/>
      <c r="M71" s="137"/>
      <c r="N71" s="137"/>
      <c r="O71" s="137"/>
    </row>
    <row r="72" spans="2:24" ht="15" thickBot="1">
      <c r="B72" s="193" t="s">
        <v>94</v>
      </c>
      <c r="C72" s="194"/>
      <c r="D72" s="194"/>
      <c r="E72" s="194"/>
      <c r="F72" s="195"/>
      <c r="G72" s="71">
        <f>F14*S11+F15*S12</f>
        <v>368228.74856249476</v>
      </c>
      <c r="H72" s="15"/>
      <c r="J72" s="175" t="s">
        <v>185</v>
      </c>
      <c r="K72" s="175"/>
      <c r="L72" s="175"/>
      <c r="M72" s="175"/>
      <c r="N72" s="175"/>
      <c r="O72" s="16">
        <v>-962248.76</v>
      </c>
    </row>
    <row r="73" spans="2:24">
      <c r="J73" s="167" t="s">
        <v>186</v>
      </c>
      <c r="K73" s="167"/>
      <c r="L73" s="167"/>
      <c r="M73" s="167"/>
      <c r="N73" s="167"/>
      <c r="O73" s="16">
        <v>-460323.99</v>
      </c>
    </row>
    <row r="75" spans="2:24">
      <c r="J75" s="137" t="s">
        <v>193</v>
      </c>
      <c r="K75" s="137"/>
      <c r="L75" s="137"/>
      <c r="M75" s="137"/>
      <c r="N75" s="137"/>
      <c r="O75" s="137"/>
      <c r="P75" t="s">
        <v>188</v>
      </c>
      <c r="Q75" t="s">
        <v>189</v>
      </c>
      <c r="R75" s="137" t="s">
        <v>192</v>
      </c>
      <c r="S75" s="137"/>
      <c r="T75" s="137"/>
      <c r="U75" s="137"/>
      <c r="V75" s="137"/>
      <c r="W75" s="137"/>
    </row>
    <row r="76" spans="2:24">
      <c r="J76" s="175" t="s">
        <v>185</v>
      </c>
      <c r="K76" s="175"/>
      <c r="L76" s="175"/>
      <c r="M76" s="175"/>
      <c r="N76" s="175"/>
      <c r="O76" s="16">
        <v>1809514.5</v>
      </c>
      <c r="R76" s="175" t="s">
        <v>185</v>
      </c>
      <c r="S76" s="175"/>
      <c r="T76" s="175"/>
      <c r="U76" s="175"/>
      <c r="V76" s="175"/>
      <c r="W76" s="16">
        <v>-130018.86</v>
      </c>
    </row>
    <row r="77" spans="2:24">
      <c r="J77" s="167" t="s">
        <v>186</v>
      </c>
      <c r="K77" s="167"/>
      <c r="L77" s="167"/>
      <c r="M77" s="167"/>
      <c r="N77" s="167"/>
      <c r="O77" s="16">
        <v>1482366.04</v>
      </c>
      <c r="R77" s="167" t="s">
        <v>186</v>
      </c>
      <c r="S77" s="167"/>
      <c r="T77" s="167"/>
      <c r="U77" s="167"/>
      <c r="V77" s="167"/>
      <c r="W77" s="16">
        <v>1288807.8600000001</v>
      </c>
    </row>
    <row r="79" spans="2:24">
      <c r="J79" s="137" t="s">
        <v>194</v>
      </c>
      <c r="K79" s="137"/>
      <c r="L79" s="137"/>
      <c r="M79" s="137"/>
      <c r="N79" s="137"/>
      <c r="O79" s="137"/>
      <c r="P79" t="s">
        <v>190</v>
      </c>
      <c r="Q79" t="s">
        <v>191</v>
      </c>
      <c r="R79" s="137" t="s">
        <v>195</v>
      </c>
      <c r="S79" s="137"/>
      <c r="T79" s="137"/>
      <c r="U79" s="137"/>
      <c r="V79" s="137"/>
      <c r="W79" s="137"/>
    </row>
    <row r="80" spans="2:24">
      <c r="J80" s="175" t="s">
        <v>185</v>
      </c>
      <c r="K80" s="175"/>
      <c r="L80" s="175"/>
      <c r="M80" s="175"/>
      <c r="N80" s="175"/>
      <c r="O80" s="16">
        <v>100539.14</v>
      </c>
      <c r="R80" s="175" t="s">
        <v>185</v>
      </c>
      <c r="S80" s="175"/>
      <c r="T80" s="175"/>
      <c r="U80" s="175"/>
      <c r="V80" s="175"/>
      <c r="W80" s="16"/>
    </row>
    <row r="81" spans="10:23">
      <c r="J81" s="167" t="s">
        <v>186</v>
      </c>
      <c r="K81" s="167"/>
      <c r="L81" s="167"/>
      <c r="M81" s="167"/>
      <c r="N81" s="167"/>
      <c r="O81" s="16">
        <v>54376.23</v>
      </c>
      <c r="R81" s="167" t="s">
        <v>186</v>
      </c>
      <c r="S81" s="167"/>
      <c r="T81" s="167"/>
      <c r="U81" s="167"/>
      <c r="V81" s="167"/>
      <c r="W81" s="16"/>
    </row>
  </sheetData>
  <mergeCells count="153">
    <mergeCell ref="J73:N73"/>
    <mergeCell ref="J71:O71"/>
    <mergeCell ref="J75:O75"/>
    <mergeCell ref="J76:N76"/>
    <mergeCell ref="J77:N77"/>
    <mergeCell ref="J79:O79"/>
    <mergeCell ref="J80:N80"/>
    <mergeCell ref="R75:W75"/>
    <mergeCell ref="R76:V76"/>
    <mergeCell ref="R77:V77"/>
    <mergeCell ref="R79:W79"/>
    <mergeCell ref="R80:V80"/>
    <mergeCell ref="R81:V81"/>
    <mergeCell ref="J81:N81"/>
    <mergeCell ref="B72:F72"/>
    <mergeCell ref="B67:C67"/>
    <mergeCell ref="D67:F67"/>
    <mergeCell ref="J67:N67"/>
    <mergeCell ref="B68:F68"/>
    <mergeCell ref="B70:G70"/>
    <mergeCell ref="B71:G71"/>
    <mergeCell ref="B62:F62"/>
    <mergeCell ref="R62:V62"/>
    <mergeCell ref="B63:F63"/>
    <mergeCell ref="B64:F64"/>
    <mergeCell ref="B65:C65"/>
    <mergeCell ref="D65:F66"/>
    <mergeCell ref="J65:O65"/>
    <mergeCell ref="B66:C66"/>
    <mergeCell ref="J66:N66"/>
    <mergeCell ref="J72:N72"/>
    <mergeCell ref="B59:F59"/>
    <mergeCell ref="R59:S59"/>
    <mergeCell ref="U59:V59"/>
    <mergeCell ref="B60:F60"/>
    <mergeCell ref="B61:F61"/>
    <mergeCell ref="R61:V61"/>
    <mergeCell ref="B57:F57"/>
    <mergeCell ref="J57:K57"/>
    <mergeCell ref="M57:N57"/>
    <mergeCell ref="R57:S57"/>
    <mergeCell ref="U57:V57"/>
    <mergeCell ref="B58:F58"/>
    <mergeCell ref="J58:K58"/>
    <mergeCell ref="M58:N58"/>
    <mergeCell ref="R58:S58"/>
    <mergeCell ref="U58:V58"/>
    <mergeCell ref="B55:F55"/>
    <mergeCell ref="J55:K55"/>
    <mergeCell ref="M55:N55"/>
    <mergeCell ref="R55:S55"/>
    <mergeCell ref="U55:V55"/>
    <mergeCell ref="B56:F56"/>
    <mergeCell ref="J56:K56"/>
    <mergeCell ref="M56:N56"/>
    <mergeCell ref="R56:S56"/>
    <mergeCell ref="U56:V56"/>
    <mergeCell ref="B53:F53"/>
    <mergeCell ref="J53:K53"/>
    <mergeCell ref="M53:N53"/>
    <mergeCell ref="R53:S53"/>
    <mergeCell ref="U53:V53"/>
    <mergeCell ref="B54:F54"/>
    <mergeCell ref="J54:K54"/>
    <mergeCell ref="M54:N54"/>
    <mergeCell ref="R54:S54"/>
    <mergeCell ref="U54:V54"/>
    <mergeCell ref="B51:F51"/>
    <mergeCell ref="J51:K51"/>
    <mergeCell ref="M51:N51"/>
    <mergeCell ref="R51:S51"/>
    <mergeCell ref="U51:V51"/>
    <mergeCell ref="B52:F52"/>
    <mergeCell ref="J52:K52"/>
    <mergeCell ref="M52:N52"/>
    <mergeCell ref="R52:S52"/>
    <mergeCell ref="U52:V52"/>
    <mergeCell ref="B49:F49"/>
    <mergeCell ref="J49:K49"/>
    <mergeCell ref="M49:N49"/>
    <mergeCell ref="R49:S49"/>
    <mergeCell ref="U49:V49"/>
    <mergeCell ref="B50:F50"/>
    <mergeCell ref="J50:K50"/>
    <mergeCell ref="M50:N50"/>
    <mergeCell ref="R50:S50"/>
    <mergeCell ref="U50:V50"/>
    <mergeCell ref="U47:V47"/>
    <mergeCell ref="B48:F48"/>
    <mergeCell ref="J48:K48"/>
    <mergeCell ref="M48:N48"/>
    <mergeCell ref="R48:S48"/>
    <mergeCell ref="U48:V48"/>
    <mergeCell ref="C46:F46"/>
    <mergeCell ref="J46:K46"/>
    <mergeCell ref="M46:N46"/>
    <mergeCell ref="R46:S46"/>
    <mergeCell ref="U46:V46"/>
    <mergeCell ref="B47:C47"/>
    <mergeCell ref="D47:F47"/>
    <mergeCell ref="J47:K47"/>
    <mergeCell ref="M47:N47"/>
    <mergeCell ref="R47:S47"/>
    <mergeCell ref="B44:G44"/>
    <mergeCell ref="J44:K44"/>
    <mergeCell ref="M44:N44"/>
    <mergeCell ref="R44:V44"/>
    <mergeCell ref="C45:F45"/>
    <mergeCell ref="J45:K45"/>
    <mergeCell ref="M45:N45"/>
    <mergeCell ref="R45:S45"/>
    <mergeCell ref="U45:V45"/>
    <mergeCell ref="P12:R12"/>
    <mergeCell ref="B13:D13"/>
    <mergeCell ref="P13:R13"/>
    <mergeCell ref="B14:D14"/>
    <mergeCell ref="P14:S14"/>
    <mergeCell ref="B42:G42"/>
    <mergeCell ref="J42:N42"/>
    <mergeCell ref="R42:V42"/>
    <mergeCell ref="B43:G43"/>
    <mergeCell ref="J43:N43"/>
    <mergeCell ref="R43:V43"/>
    <mergeCell ref="B20:D20"/>
    <mergeCell ref="B21:D21"/>
    <mergeCell ref="P25:S27"/>
    <mergeCell ref="B41:G41"/>
    <mergeCell ref="J41:O41"/>
    <mergeCell ref="R41:W41"/>
    <mergeCell ref="AB1:AW34"/>
    <mergeCell ref="A5:A20"/>
    <mergeCell ref="B5:D5"/>
    <mergeCell ref="P5:R5"/>
    <mergeCell ref="B6:D6"/>
    <mergeCell ref="U6:AA26"/>
    <mergeCell ref="B7:D7"/>
    <mergeCell ref="P7:R8"/>
    <mergeCell ref="B8:D8"/>
    <mergeCell ref="B9:D9"/>
    <mergeCell ref="P9:R9"/>
    <mergeCell ref="B10:D10"/>
    <mergeCell ref="P10:R10"/>
    <mergeCell ref="B11:D11"/>
    <mergeCell ref="P11:R11"/>
    <mergeCell ref="A1:O3"/>
    <mergeCell ref="U1:AA5"/>
    <mergeCell ref="B15:D15"/>
    <mergeCell ref="B16:D16"/>
    <mergeCell ref="P16:R16"/>
    <mergeCell ref="B17:D17"/>
    <mergeCell ref="B18:D18"/>
    <mergeCell ref="B19:D19"/>
    <mergeCell ref="B12:D12"/>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F2724-89E8-495A-84D3-62778529EBB7}">
  <dimension ref="A1:N35"/>
  <sheetViews>
    <sheetView topLeftCell="A6" zoomScale="130" zoomScaleNormal="130" workbookViewId="0">
      <selection activeCell="J25" sqref="J25"/>
    </sheetView>
  </sheetViews>
  <sheetFormatPr baseColWidth="10" defaultRowHeight="14.4"/>
  <cols>
    <col min="10" max="10" width="16" customWidth="1"/>
  </cols>
  <sheetData>
    <row r="1" spans="1:14" ht="15" thickBot="1">
      <c r="A1" s="56"/>
      <c r="B1" s="57" t="s">
        <v>109</v>
      </c>
      <c r="C1" s="56"/>
      <c r="D1" s="56"/>
      <c r="E1" s="58" t="s">
        <v>29</v>
      </c>
    </row>
    <row r="2" spans="1:14">
      <c r="A2" s="49">
        <v>2006</v>
      </c>
      <c r="B2" s="50">
        <v>27.7836</v>
      </c>
      <c r="C2" s="49"/>
      <c r="D2" s="51"/>
      <c r="E2" s="2"/>
    </row>
    <row r="3" spans="1:14">
      <c r="A3" s="49">
        <v>2007</v>
      </c>
      <c r="B3" s="52">
        <v>40.917333333333332</v>
      </c>
      <c r="C3" s="53">
        <v>0.47271531886916496</v>
      </c>
      <c r="D3" s="54">
        <v>8.2975757508697998E-2</v>
      </c>
      <c r="E3" s="2"/>
    </row>
    <row r="4" spans="1:14">
      <c r="A4" s="49">
        <v>2008</v>
      </c>
      <c r="B4" s="52">
        <v>53.259888888888888</v>
      </c>
      <c r="C4" s="53">
        <v>0.30164613746958641</v>
      </c>
      <c r="D4" s="49"/>
      <c r="E4" s="2"/>
    </row>
    <row r="5" spans="1:14">
      <c r="A5" s="49">
        <v>2009</v>
      </c>
      <c r="B5" s="52">
        <v>49.279888888888891</v>
      </c>
      <c r="C5" s="53">
        <v>-7.4727906554651238E-2</v>
      </c>
      <c r="D5" s="49"/>
      <c r="E5" s="2"/>
    </row>
    <row r="6" spans="1:14">
      <c r="A6" s="49">
        <v>2010</v>
      </c>
      <c r="B6" s="52">
        <v>54.176111111111098</v>
      </c>
      <c r="C6" s="53">
        <v>9.9355382745722254E-2</v>
      </c>
      <c r="D6" s="49"/>
      <c r="E6" s="2"/>
    </row>
    <row r="7" spans="1:14">
      <c r="A7" s="49">
        <v>2011</v>
      </c>
      <c r="B7" s="52">
        <v>55.930333333333323</v>
      </c>
      <c r="C7" s="53">
        <v>3.2379995282873546E-2</v>
      </c>
      <c r="D7" s="49"/>
      <c r="E7" s="2"/>
    </row>
    <row r="8" spans="1:14">
      <c r="A8" s="49">
        <v>2012</v>
      </c>
      <c r="B8" s="52">
        <v>54.575888888888898</v>
      </c>
      <c r="C8" s="53">
        <v>-2.4216634583102054E-2</v>
      </c>
      <c r="D8" s="49"/>
      <c r="E8" s="2"/>
      <c r="F8" s="36"/>
    </row>
    <row r="9" spans="1:14">
      <c r="A9" s="49">
        <v>2013</v>
      </c>
      <c r="B9" s="52">
        <v>52.64155555555557</v>
      </c>
      <c r="C9" s="53">
        <v>-3.5443001895423799E-2</v>
      </c>
      <c r="D9" s="49"/>
      <c r="E9" s="2"/>
      <c r="F9" s="36"/>
    </row>
    <row r="10" spans="1:14">
      <c r="A10" s="49">
        <v>2014</v>
      </c>
      <c r="B10" s="52">
        <v>58.406666666666666</v>
      </c>
      <c r="C10" s="53">
        <v>0.10951635167822601</v>
      </c>
      <c r="D10" s="49"/>
      <c r="E10" s="2"/>
      <c r="F10" s="36"/>
    </row>
    <row r="11" spans="1:14">
      <c r="A11" s="49">
        <v>2015</v>
      </c>
      <c r="B11" s="52">
        <v>61.843444444444444</v>
      </c>
      <c r="C11" s="53">
        <v>5.8842217402883992E-2</v>
      </c>
      <c r="D11" s="49"/>
      <c r="E11" s="2"/>
      <c r="F11" s="36"/>
    </row>
    <row r="12" spans="1:14">
      <c r="A12" s="49">
        <v>2016</v>
      </c>
      <c r="B12" s="52">
        <v>62.84716900669585</v>
      </c>
      <c r="C12" s="53">
        <v>1.6230088269955242E-2</v>
      </c>
      <c r="D12" s="49"/>
      <c r="E12" s="2"/>
      <c r="F12" s="36"/>
      <c r="N12" t="s">
        <v>177</v>
      </c>
    </row>
    <row r="13" spans="1:14">
      <c r="A13" s="49">
        <v>2017</v>
      </c>
      <c r="B13" s="52">
        <v>63.684555555555498</v>
      </c>
      <c r="C13" s="53">
        <v>1.3324172943581293E-2</v>
      </c>
      <c r="D13" s="49"/>
      <c r="E13" s="2"/>
      <c r="F13" s="36"/>
    </row>
    <row r="14" spans="1:14">
      <c r="A14" s="49">
        <v>2018</v>
      </c>
      <c r="B14" s="52">
        <v>62.810666666666698</v>
      </c>
      <c r="C14" s="53">
        <v>-1.3722147878170301E-2</v>
      </c>
      <c r="D14" s="49"/>
      <c r="E14" s="2"/>
      <c r="F14" s="36"/>
    </row>
    <row r="15" spans="1:14">
      <c r="A15" s="49">
        <v>2019</v>
      </c>
      <c r="B15" s="49">
        <v>68.75577777777778</v>
      </c>
      <c r="C15" s="53">
        <v>9.4651297727208511E-2</v>
      </c>
      <c r="D15" s="49"/>
      <c r="E15" s="2"/>
      <c r="F15" s="36"/>
    </row>
    <row r="16" spans="1:14">
      <c r="A16" s="49">
        <v>2020</v>
      </c>
      <c r="B16" s="49">
        <v>74.161000000000001</v>
      </c>
      <c r="C16" s="53">
        <v>7.8614807321243291E-2</v>
      </c>
      <c r="D16" s="49"/>
      <c r="E16" s="2"/>
      <c r="F16" s="36"/>
      <c r="G16" t="s">
        <v>156</v>
      </c>
    </row>
    <row r="17" spans="1:12">
      <c r="A17" s="49">
        <v>2021</v>
      </c>
      <c r="B17" s="49">
        <v>73.294111111111107</v>
      </c>
      <c r="C17" s="53">
        <v>-1.1689282626837289E-2</v>
      </c>
      <c r="D17" s="49"/>
      <c r="E17" s="2"/>
      <c r="F17" s="36"/>
    </row>
    <row r="18" spans="1:12">
      <c r="A18" s="49">
        <v>2022</v>
      </c>
      <c r="B18" s="49">
        <v>88.808555555555557</v>
      </c>
      <c r="C18" s="53">
        <v>0.2116738194822381</v>
      </c>
      <c r="D18" s="49"/>
      <c r="E18" s="2"/>
      <c r="F18" s="36"/>
      <c r="G18" s="36" t="s">
        <v>157</v>
      </c>
      <c r="H18" s="36">
        <f>LN(B3/B2)</f>
        <v>0.38710785258979269</v>
      </c>
      <c r="J18" s="36" t="s">
        <v>176</v>
      </c>
      <c r="K18" s="36">
        <f>AVERAGE(H18:H35)</f>
        <v>7.3021997741760838E-2</v>
      </c>
    </row>
    <row r="19" spans="1:12">
      <c r="A19" s="49">
        <v>2023</v>
      </c>
      <c r="B19" s="49">
        <v>103.3201111111111</v>
      </c>
      <c r="C19" s="53">
        <v>0.16340267516768267</v>
      </c>
      <c r="D19" s="49"/>
      <c r="E19" s="2"/>
      <c r="F19" s="36"/>
      <c r="G19" s="36" t="s">
        <v>158</v>
      </c>
      <c r="H19" s="36">
        <f t="shared" ref="H19:H35" si="0">LN(B4/B3)</f>
        <v>0.26362972302894055</v>
      </c>
      <c r="J19" s="36"/>
      <c r="K19" s="36"/>
    </row>
    <row r="20" spans="1:12">
      <c r="A20" s="49">
        <v>2024</v>
      </c>
      <c r="B20" s="49">
        <v>103.42449999999999</v>
      </c>
      <c r="C20" s="53">
        <v>1.0103443343825972E-3</v>
      </c>
      <c r="D20" s="49"/>
      <c r="E20" s="2"/>
      <c r="F20" s="36"/>
      <c r="G20" s="36" t="s">
        <v>159</v>
      </c>
      <c r="H20" s="36">
        <f t="shared" si="0"/>
        <v>-7.7667429648781247E-2</v>
      </c>
      <c r="J20" s="36" t="s">
        <v>175</v>
      </c>
      <c r="K20" s="36">
        <f>_xlfn.STDEV.S(H18:H35)</f>
        <v>0.11626746922506283</v>
      </c>
    </row>
    <row r="21" spans="1:12">
      <c r="A21" s="55">
        <v>2025</v>
      </c>
      <c r="B21" s="49">
        <v>112.00622623245833</v>
      </c>
      <c r="C21" s="53">
        <v>8.2975757508698011E-2</v>
      </c>
      <c r="D21" s="49"/>
      <c r="E21" s="1">
        <v>112</v>
      </c>
      <c r="F21" s="36"/>
      <c r="G21" s="36" t="s">
        <v>160</v>
      </c>
      <c r="H21" s="36">
        <f t="shared" si="0"/>
        <v>9.4723992344313945E-2</v>
      </c>
    </row>
    <row r="22" spans="1:12">
      <c r="A22" s="55">
        <v>2026</v>
      </c>
      <c r="B22" s="49">
        <v>121.30002769978717</v>
      </c>
      <c r="C22" s="53">
        <v>8.2975757508698025E-2</v>
      </c>
      <c r="D22" s="49"/>
      <c r="E22" s="1">
        <v>121</v>
      </c>
      <c r="F22" s="36"/>
      <c r="G22" s="36" t="s">
        <v>161</v>
      </c>
      <c r="H22" s="36">
        <f t="shared" si="0"/>
        <v>3.1866811769195605E-2</v>
      </c>
    </row>
    <row r="23" spans="1:12">
      <c r="A23" s="55">
        <v>2027</v>
      </c>
      <c r="B23" s="49">
        <v>131.36498938400305</v>
      </c>
      <c r="C23" s="53">
        <v>8.2975757508697984E-2</v>
      </c>
      <c r="D23" s="49"/>
      <c r="E23" s="1">
        <v>131</v>
      </c>
      <c r="F23" s="36"/>
      <c r="G23" s="36" t="s">
        <v>162</v>
      </c>
      <c r="H23" s="36">
        <f t="shared" si="0"/>
        <v>-2.4514678869194652E-2</v>
      </c>
    </row>
    <row r="24" spans="1:12">
      <c r="A24" s="55">
        <v>2028</v>
      </c>
      <c r="B24" s="49">
        <v>142.26509888826277</v>
      </c>
      <c r="C24" s="53">
        <v>8.2975757508697942E-2</v>
      </c>
      <c r="D24" s="49"/>
      <c r="E24" s="1">
        <v>142</v>
      </c>
      <c r="F24" s="36"/>
      <c r="G24" s="36" t="s">
        <v>163</v>
      </c>
      <c r="H24" s="36">
        <f t="shared" si="0"/>
        <v>-3.6086352369414806E-2</v>
      </c>
    </row>
    <row r="25" spans="1:12">
      <c r="A25" s="55">
        <v>2029</v>
      </c>
      <c r="B25" s="49">
        <v>154.06965323556619</v>
      </c>
      <c r="C25" s="53">
        <v>8.2975757508697928E-2</v>
      </c>
      <c r="D25" s="49"/>
      <c r="E25" s="1">
        <v>154</v>
      </c>
      <c r="F25" s="36"/>
      <c r="G25" s="36" t="s">
        <v>164</v>
      </c>
      <c r="H25" s="36">
        <f t="shared" si="0"/>
        <v>0.10392420116223998</v>
      </c>
    </row>
    <row r="26" spans="1:12">
      <c r="A26" s="55">
        <v>2030</v>
      </c>
      <c r="B26" s="49">
        <v>166.85369942188973</v>
      </c>
      <c r="C26" s="53">
        <v>8.2975757508698053E-2</v>
      </c>
      <c r="D26" s="49"/>
      <c r="E26" s="1">
        <v>167</v>
      </c>
      <c r="F26" s="36"/>
      <c r="G26" s="36" t="s">
        <v>165</v>
      </c>
      <c r="H26" s="36">
        <f t="shared" si="0"/>
        <v>5.7176063453583691E-2</v>
      </c>
    </row>
    <row r="27" spans="1:12">
      <c r="A27" s="55">
        <v>2031</v>
      </c>
      <c r="B27" s="49">
        <v>180.69851152454964</v>
      </c>
      <c r="C27" s="53">
        <v>8.2975757508698053E-2</v>
      </c>
      <c r="D27" s="49"/>
      <c r="E27" s="1">
        <v>181</v>
      </c>
      <c r="F27" s="36"/>
      <c r="G27" s="36" t="s">
        <v>166</v>
      </c>
      <c r="H27" s="36">
        <f t="shared" si="0"/>
        <v>1.6099788349633978E-2</v>
      </c>
    </row>
    <row r="28" spans="1:12">
      <c r="A28" s="55">
        <v>2032</v>
      </c>
      <c r="B28" s="49">
        <v>195.69210739899336</v>
      </c>
      <c r="C28" s="53">
        <v>8.2975757508698053E-2</v>
      </c>
      <c r="D28" s="49"/>
      <c r="E28" s="1">
        <v>196</v>
      </c>
      <c r="F28" s="36"/>
      <c r="G28" s="36" t="s">
        <v>167</v>
      </c>
      <c r="H28" s="36">
        <f t="shared" si="0"/>
        <v>1.3236186850852115E-2</v>
      </c>
      <c r="K28" s="15"/>
      <c r="L28" s="15"/>
    </row>
    <row r="29" spans="1:12">
      <c r="A29" s="55">
        <v>2033</v>
      </c>
      <c r="B29" s="49">
        <v>211.92980824889833</v>
      </c>
      <c r="C29" s="53">
        <v>8.2975757508698053E-2</v>
      </c>
      <c r="D29" s="49"/>
      <c r="E29" s="1">
        <v>212</v>
      </c>
      <c r="F29" s="36"/>
      <c r="G29" s="36" t="s">
        <v>168</v>
      </c>
      <c r="H29" s="36">
        <f t="shared" si="0"/>
        <v>-1.3817166793094329E-2</v>
      </c>
      <c r="K29" s="15"/>
      <c r="L29" s="15"/>
    </row>
    <row r="30" spans="1:12">
      <c r="A30" s="55">
        <v>2034</v>
      </c>
      <c r="B30" s="49">
        <v>229.51484462702379</v>
      </c>
      <c r="C30" s="53">
        <v>8.2975757508698067E-2</v>
      </c>
      <c r="D30" s="49"/>
      <c r="E30" s="1">
        <v>230</v>
      </c>
      <c r="F30" s="36"/>
      <c r="G30" s="36" t="s">
        <v>169</v>
      </c>
      <c r="H30" s="36">
        <f t="shared" si="0"/>
        <v>9.0435862988440655E-2</v>
      </c>
      <c r="K30" s="15"/>
    </row>
    <row r="31" spans="1:12">
      <c r="A31" s="55">
        <v>2035</v>
      </c>
      <c r="B31" s="49">
        <v>248.55901271944222</v>
      </c>
      <c r="C31" s="53">
        <v>8.2975757508698025E-2</v>
      </c>
      <c r="D31" s="49"/>
      <c r="E31" s="1">
        <v>249</v>
      </c>
      <c r="F31" s="36"/>
      <c r="G31" s="36" t="s">
        <v>170</v>
      </c>
      <c r="H31" s="36">
        <f t="shared" si="0"/>
        <v>7.5677632105307022E-2</v>
      </c>
      <c r="K31" s="15"/>
    </row>
    <row r="32" spans="1:12">
      <c r="A32" s="55">
        <v>2036</v>
      </c>
      <c r="B32" s="49">
        <v>269.18338508545202</v>
      </c>
      <c r="C32" s="53">
        <v>8.29757575086979E-2</v>
      </c>
      <c r="D32" s="49"/>
      <c r="E32" s="1">
        <v>269</v>
      </c>
      <c r="G32" s="36" t="s">
        <v>171</v>
      </c>
      <c r="H32" s="36">
        <f t="shared" si="0"/>
        <v>-1.1758139407899239E-2</v>
      </c>
      <c r="K32" s="15"/>
      <c r="L32" s="15"/>
    </row>
    <row r="33" spans="1:8">
      <c r="A33" s="55">
        <v>2037</v>
      </c>
      <c r="B33" s="49">
        <v>291.51908037167294</v>
      </c>
      <c r="C33" s="53">
        <v>8.2975757508697942E-2</v>
      </c>
      <c r="D33" s="49"/>
      <c r="E33" s="1">
        <v>292</v>
      </c>
      <c r="G33" s="36" t="s">
        <v>172</v>
      </c>
      <c r="H33" s="36">
        <f t="shared" si="0"/>
        <v>0.19200272558652773</v>
      </c>
    </row>
    <row r="34" spans="1:8">
      <c r="A34" s="55">
        <v>2038</v>
      </c>
      <c r="B34" s="49">
        <v>315.70809689375153</v>
      </c>
      <c r="C34" s="53">
        <v>8.2975757508698039E-2</v>
      </c>
      <c r="D34" s="49"/>
      <c r="E34" s="1">
        <v>316</v>
      </c>
      <c r="G34" s="36" t="s">
        <v>173</v>
      </c>
      <c r="H34" s="36">
        <f t="shared" si="0"/>
        <v>0.15134905193118128</v>
      </c>
    </row>
    <row r="35" spans="1:8">
      <c r="A35" s="55">
        <v>2039</v>
      </c>
      <c r="B35" s="49">
        <v>341.90421538513999</v>
      </c>
      <c r="C35" s="53">
        <v>8.2975757508698011E-2</v>
      </c>
      <c r="D35" s="49"/>
      <c r="E35" s="1">
        <v>342</v>
      </c>
      <c r="G35" s="36" t="s">
        <v>174</v>
      </c>
      <c r="H35" s="36">
        <f t="shared" si="0"/>
        <v>1.009834280070255E-3</v>
      </c>
    </row>
  </sheetData>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M3, caso estudio a pequeña esc </vt:lpstr>
      <vt:lpstr>M4 y M5, validando modelo</vt:lpstr>
      <vt:lpstr>M4 y M5 (para analisis sensibi)</vt:lpstr>
      <vt:lpstr>M5, Incertidumbres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Fabian Herrera</dc:creator>
  <cp:lastModifiedBy>Fabian Herrera</cp:lastModifiedBy>
  <dcterms:created xsi:type="dcterms:W3CDTF">2024-08-02T20:52:38Z</dcterms:created>
  <dcterms:modified xsi:type="dcterms:W3CDTF">2024-10-23T14:10:38Z</dcterms:modified>
</cp:coreProperties>
</file>