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.ramos\Desktop\DIN\Querys\Proyecto Presupuesto\"/>
    </mc:Choice>
  </mc:AlternateContent>
  <xr:revisionPtr revIDLastSave="0" documentId="13_ncr:1_{7EA9191C-86E3-4DA5-8DD2-87EC7BB2AD7B}" xr6:coauthVersionLast="47" xr6:coauthVersionMax="47" xr10:uidLastSave="{00000000-0000-0000-0000-000000000000}"/>
  <bookViews>
    <workbookView xWindow="28665" yWindow="-135" windowWidth="38670" windowHeight="21270" activeTab="1" xr2:uid="{00000000-000D-0000-FFFF-FFFF00000000}"/>
  </bookViews>
  <sheets>
    <sheet name="Catalogo presupuestal" sheetId="1" r:id="rId1"/>
    <sheet name="EGRESOS EJECUTADOS" sheetId="3" r:id="rId2"/>
    <sheet name="REPORTE" sheetId="5" r:id="rId3"/>
    <sheet name="Presupuesto" sheetId="2" r:id="rId4"/>
    <sheet name="INGRESOS EJECUTADOS" sheetId="6" r:id="rId5"/>
    <sheet name="Unidades" sheetId="7" r:id="rId6"/>
  </sheets>
  <definedNames>
    <definedName name="_xlcn.LinkedTable_CATALOGO1" hidden="1">CATALOGO[]</definedName>
    <definedName name="_xlcn.LinkedTable_EJECUTADO1" hidden="1">EJECUTADO[]</definedName>
    <definedName name="_xlcn.LinkedTable_PRESUPUESTO1" hidden="1">PRESUPUESTO[]</definedName>
    <definedName name="_xlnm.Print_Area" localSheetId="1">'EGRESOS EJECUTADOS'!$B$1:$M$1688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SUPUESTO" name="PRESUPUESTO" connection="LinkedTable_PRESUPUESTO"/>
          <x15:modelTable id="EJECUTADO" name="EJECUTADO" connection="LinkedTable_EJECUTADO"/>
          <x15:modelTable id="CATALOGO" name="CATALOGO" connection="LinkedTable_CATALOGO"/>
        </x15:modelTables>
        <x15:modelRelationships>
          <x15:modelRelationship fromTable="PRESUPUESTO" fromColumn="CUENTA" toTable="CATALOGO" toColumn="Código"/>
          <x15:modelRelationship fromTable="EJECUTADO" fromColumn="CUENTA" toTable="CATALOGO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3" l="1"/>
  <c r="G133" i="3"/>
  <c r="H133" i="3"/>
  <c r="I133" i="3" s="1"/>
  <c r="T133" i="3" s="1"/>
  <c r="J133" i="3"/>
  <c r="L133" i="3"/>
  <c r="K133" i="3" s="1"/>
  <c r="P133" i="3"/>
  <c r="G1411" i="3"/>
  <c r="P1377" i="3"/>
  <c r="L1377" i="3"/>
  <c r="K1377" i="3" s="1"/>
  <c r="H1377" i="3"/>
  <c r="G1377" i="3"/>
  <c r="G966" i="3"/>
  <c r="O862" i="3"/>
  <c r="N862" i="3"/>
  <c r="O337" i="3"/>
  <c r="N337" i="3"/>
  <c r="O63" i="3"/>
  <c r="N63" i="3"/>
  <c r="O1302" i="3"/>
  <c r="N1302" i="3"/>
  <c r="P1297" i="3"/>
  <c r="H1297" i="3"/>
  <c r="G1297" i="3"/>
  <c r="P1296" i="3"/>
  <c r="H1296" i="3"/>
  <c r="G1296" i="3"/>
  <c r="P1294" i="3"/>
  <c r="H1294" i="3"/>
  <c r="G1294" i="3"/>
  <c r="P1382" i="3"/>
  <c r="H1382" i="3"/>
  <c r="G1382" i="3"/>
  <c r="P1379" i="3"/>
  <c r="H1379" i="3"/>
  <c r="G1379" i="3"/>
  <c r="N1319" i="3"/>
  <c r="N1318" i="3"/>
  <c r="P1318" i="3" s="1"/>
  <c r="N1317" i="3"/>
  <c r="P1317" i="3" s="1"/>
  <c r="N1316" i="3"/>
  <c r="N1315" i="3"/>
  <c r="N1314" i="3"/>
  <c r="P1314" i="3" s="1"/>
  <c r="N1313" i="3"/>
  <c r="P1313" i="3" s="1"/>
  <c r="N1312" i="3"/>
  <c r="P1312" i="3" s="1"/>
  <c r="N1311" i="3"/>
  <c r="N1310" i="3"/>
  <c r="P1310" i="3" s="1"/>
  <c r="N1309" i="3"/>
  <c r="N1308" i="3"/>
  <c r="N1307" i="3"/>
  <c r="N1306" i="3"/>
  <c r="P1306" i="3" s="1"/>
  <c r="N1305" i="3"/>
  <c r="N1304" i="3"/>
  <c r="N1303" i="3"/>
  <c r="P1319" i="3"/>
  <c r="H1319" i="3"/>
  <c r="G1319" i="3"/>
  <c r="H1318" i="3"/>
  <c r="G1318" i="3"/>
  <c r="H1317" i="3"/>
  <c r="G1317" i="3"/>
  <c r="P1316" i="3"/>
  <c r="H1316" i="3"/>
  <c r="G1316" i="3"/>
  <c r="P1315" i="3"/>
  <c r="H1315" i="3"/>
  <c r="G1315" i="3"/>
  <c r="H1314" i="3"/>
  <c r="G1314" i="3"/>
  <c r="H1313" i="3"/>
  <c r="G1313" i="3"/>
  <c r="H1312" i="3"/>
  <c r="G1312" i="3"/>
  <c r="P1311" i="3"/>
  <c r="H1311" i="3"/>
  <c r="G1311" i="3"/>
  <c r="H1310" i="3"/>
  <c r="G1310" i="3"/>
  <c r="P1309" i="3"/>
  <c r="H1309" i="3"/>
  <c r="G1309" i="3"/>
  <c r="P1308" i="3"/>
  <c r="H1308" i="3"/>
  <c r="G1308" i="3"/>
  <c r="P1307" i="3"/>
  <c r="H1307" i="3"/>
  <c r="G1307" i="3"/>
  <c r="H1306" i="3"/>
  <c r="G1306" i="3"/>
  <c r="P1305" i="3"/>
  <c r="H1305" i="3"/>
  <c r="G1305" i="3"/>
  <c r="P1304" i="3"/>
  <c r="H1304" i="3"/>
  <c r="G1304" i="3"/>
  <c r="K1168" i="3"/>
  <c r="M1369" i="3"/>
  <c r="M1336" i="3"/>
  <c r="A969" i="1"/>
  <c r="P384" i="3"/>
  <c r="P385" i="3"/>
  <c r="P386" i="3"/>
  <c r="P387" i="3"/>
  <c r="P388" i="3"/>
  <c r="P389" i="3"/>
  <c r="P390" i="3"/>
  <c r="P391" i="3"/>
  <c r="P392" i="3"/>
  <c r="P393" i="3"/>
  <c r="B219" i="2"/>
  <c r="A978" i="1"/>
  <c r="A979" i="1"/>
  <c r="P1211" i="3"/>
  <c r="H1211" i="3"/>
  <c r="G1211" i="3"/>
  <c r="P1272" i="3"/>
  <c r="H1272" i="3"/>
  <c r="G127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5" i="3"/>
  <c r="G1298" i="3"/>
  <c r="G1299" i="3"/>
  <c r="G1300" i="3"/>
  <c r="G1301" i="3"/>
  <c r="G1302" i="3"/>
  <c r="G1303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8" i="3"/>
  <c r="G1380" i="3"/>
  <c r="G1381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5" i="3"/>
  <c r="H1298" i="3"/>
  <c r="H1299" i="3"/>
  <c r="H1300" i="3"/>
  <c r="H1301" i="3"/>
  <c r="H1302" i="3"/>
  <c r="H1303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8" i="3"/>
  <c r="H1380" i="3"/>
  <c r="H1381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P1271" i="3"/>
  <c r="P1270" i="3"/>
  <c r="P1269" i="3"/>
  <c r="P1268" i="3"/>
  <c r="P1266" i="3"/>
  <c r="A270" i="1"/>
  <c r="P1208" i="3"/>
  <c r="P1209" i="3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D146" i="6"/>
  <c r="D147" i="6"/>
  <c r="D148" i="6"/>
  <c r="D149" i="6"/>
  <c r="D69" i="6"/>
  <c r="D70" i="6"/>
  <c r="P857" i="3"/>
  <c r="M849" i="3"/>
  <c r="P859" i="3"/>
  <c r="P858" i="3"/>
  <c r="P856" i="3"/>
  <c r="P855" i="3"/>
  <c r="L379" i="3"/>
  <c r="K379" i="3" s="1"/>
  <c r="L384" i="3"/>
  <c r="K384" i="3" s="1"/>
  <c r="P1203" i="3"/>
  <c r="P1204" i="3"/>
  <c r="P1205" i="3"/>
  <c r="P1206" i="3"/>
  <c r="P1195" i="3"/>
  <c r="P1194" i="3"/>
  <c r="P1193" i="3"/>
  <c r="P1192" i="3"/>
  <c r="P1191" i="3"/>
  <c r="P1190" i="3"/>
  <c r="P1189" i="3"/>
  <c r="P1188" i="3"/>
  <c r="P1187" i="3"/>
  <c r="P1186" i="3"/>
  <c r="P955" i="3"/>
  <c r="B211" i="2"/>
  <c r="A1041" i="1"/>
  <c r="A1040" i="1"/>
  <c r="P1199" i="3"/>
  <c r="P1198" i="3"/>
  <c r="P852" i="3"/>
  <c r="P853" i="3"/>
  <c r="P851" i="3"/>
  <c r="P850" i="3"/>
  <c r="A410" i="1"/>
  <c r="A411" i="1"/>
  <c r="B581" i="2"/>
  <c r="B297" i="2"/>
  <c r="B125" i="2"/>
  <c r="B59" i="2"/>
  <c r="B122" i="2"/>
  <c r="B253" i="2"/>
  <c r="B130" i="2"/>
  <c r="P1173" i="3"/>
  <c r="P1175" i="3"/>
  <c r="P778" i="3"/>
  <c r="P779" i="3"/>
  <c r="P987" i="3"/>
  <c r="P988" i="3"/>
  <c r="P989" i="3"/>
  <c r="A659" i="1"/>
  <c r="P1168" i="3"/>
  <c r="P1167" i="3"/>
  <c r="P1153" i="3"/>
  <c r="P957" i="3"/>
  <c r="A469" i="1"/>
  <c r="P978" i="3"/>
  <c r="P977" i="3"/>
  <c r="P976" i="3"/>
  <c r="A263" i="1"/>
  <c r="N1139" i="3"/>
  <c r="P508" i="3"/>
  <c r="P509" i="3"/>
  <c r="P510" i="3"/>
  <c r="P511" i="3"/>
  <c r="P512" i="3"/>
  <c r="P513" i="3"/>
  <c r="P514" i="3"/>
  <c r="P515" i="3"/>
  <c r="P718" i="3"/>
  <c r="P719" i="3"/>
  <c r="P720" i="3"/>
  <c r="P721" i="3"/>
  <c r="A262" i="1"/>
  <c r="A261" i="1"/>
  <c r="P1086" i="3"/>
  <c r="P1089" i="3"/>
  <c r="P1091" i="3"/>
  <c r="P1090" i="3"/>
  <c r="P1088" i="3"/>
  <c r="P1087" i="3"/>
  <c r="A1086" i="3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P1084" i="3"/>
  <c r="P1009" i="3"/>
  <c r="P1008" i="3"/>
  <c r="P1010" i="3"/>
  <c r="P1007" i="3"/>
  <c r="P1074" i="3"/>
  <c r="P1002" i="3"/>
  <c r="P1003" i="3"/>
  <c r="P1004" i="3"/>
  <c r="P1005" i="3"/>
  <c r="P1006" i="3"/>
  <c r="P943" i="3"/>
  <c r="P944" i="3"/>
  <c r="P945" i="3"/>
  <c r="N993" i="3"/>
  <c r="P981" i="3"/>
  <c r="P982" i="3"/>
  <c r="P983" i="3"/>
  <c r="P984" i="3"/>
  <c r="P970" i="3"/>
  <c r="P971" i="3"/>
  <c r="P974" i="3"/>
  <c r="P980" i="3"/>
  <c r="P985" i="3"/>
  <c r="P986" i="3"/>
  <c r="P990" i="3"/>
  <c r="P972" i="3"/>
  <c r="P973" i="3"/>
  <c r="P975" i="3"/>
  <c r="P924" i="3"/>
  <c r="P925" i="3"/>
  <c r="P928" i="3"/>
  <c r="P927" i="3"/>
  <c r="P918" i="3"/>
  <c r="P917" i="3"/>
  <c r="P916" i="3"/>
  <c r="P847" i="3"/>
  <c r="P848" i="3"/>
  <c r="N791" i="3"/>
  <c r="N790" i="3"/>
  <c r="N789" i="3"/>
  <c r="P789" i="3" s="1"/>
  <c r="N788" i="3"/>
  <c r="P788" i="3" s="1"/>
  <c r="N787" i="3"/>
  <c r="N786" i="3"/>
  <c r="P786" i="3" s="1"/>
  <c r="N785" i="3"/>
  <c r="N784" i="3"/>
  <c r="P784" i="3" s="1"/>
  <c r="N783" i="3"/>
  <c r="P783" i="3" s="1"/>
  <c r="N782" i="3"/>
  <c r="P782" i="3" s="1"/>
  <c r="N781" i="3"/>
  <c r="N780" i="3"/>
  <c r="N796" i="3"/>
  <c r="N793" i="3"/>
  <c r="N794" i="3"/>
  <c r="N795" i="3"/>
  <c r="P795" i="3" s="1"/>
  <c r="N792" i="3"/>
  <c r="P792" i="3" s="1"/>
  <c r="P796" i="3"/>
  <c r="A857" i="1"/>
  <c r="A855" i="1"/>
  <c r="B112" i="2"/>
  <c r="A638" i="1"/>
  <c r="P781" i="3"/>
  <c r="P785" i="3"/>
  <c r="P787" i="3"/>
  <c r="P790" i="3"/>
  <c r="P791" i="3"/>
  <c r="P793" i="3"/>
  <c r="P794" i="3"/>
  <c r="P845" i="3"/>
  <c r="P864" i="3"/>
  <c r="P898" i="3"/>
  <c r="P841" i="3"/>
  <c r="P842" i="3"/>
  <c r="P843" i="3"/>
  <c r="A762" i="1"/>
  <c r="P893" i="3"/>
  <c r="P892" i="3"/>
  <c r="P807" i="3"/>
  <c r="P808" i="3"/>
  <c r="P806" i="3"/>
  <c r="P809" i="3"/>
  <c r="P803" i="3"/>
  <c r="P110" i="3"/>
  <c r="A163" i="1"/>
  <c r="P831" i="3"/>
  <c r="P830" i="3"/>
  <c r="P829" i="3"/>
  <c r="P828" i="3"/>
  <c r="P802" i="3"/>
  <c r="P769" i="3"/>
  <c r="P773" i="3"/>
  <c r="A231" i="1"/>
  <c r="B127" i="2"/>
  <c r="B216" i="2"/>
  <c r="B351" i="2"/>
  <c r="B356" i="2"/>
  <c r="B156" i="2"/>
  <c r="B668" i="2"/>
  <c r="P820" i="3"/>
  <c r="A568" i="1"/>
  <c r="A569" i="1"/>
  <c r="B467" i="2"/>
  <c r="B375" i="2"/>
  <c r="P799" i="3"/>
  <c r="A581" i="1"/>
  <c r="A582" i="1"/>
  <c r="A583" i="1"/>
  <c r="A584" i="1"/>
  <c r="A585" i="1"/>
  <c r="A58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70" i="1"/>
  <c r="A571" i="1"/>
  <c r="A572" i="1"/>
  <c r="A573" i="1"/>
  <c r="A574" i="1"/>
  <c r="A575" i="1"/>
  <c r="A576" i="1"/>
  <c r="A577" i="1"/>
  <c r="A578" i="1"/>
  <c r="A579" i="1"/>
  <c r="A580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6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70" i="1"/>
  <c r="A971" i="1"/>
  <c r="A972" i="1"/>
  <c r="A973" i="1"/>
  <c r="A974" i="1"/>
  <c r="A975" i="1"/>
  <c r="A976" i="1"/>
  <c r="A977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P744" i="3"/>
  <c r="P771" i="3"/>
  <c r="P574" i="3"/>
  <c r="P572" i="3"/>
  <c r="M570" i="3"/>
  <c r="C571" i="3"/>
  <c r="B571" i="3"/>
  <c r="G571" i="3" s="1"/>
  <c r="A572" i="3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70" i="3" s="1"/>
  <c r="A772" i="3" s="1"/>
  <c r="A774" i="3" s="1"/>
  <c r="A775" i="3" s="1"/>
  <c r="A776" i="3" s="1"/>
  <c r="A777" i="3" s="1"/>
  <c r="A780" i="3" s="1"/>
  <c r="A797" i="3" s="1"/>
  <c r="A798" i="3" s="1"/>
  <c r="A800" i="3" s="1"/>
  <c r="A801" i="3" s="1"/>
  <c r="A803" i="3"/>
  <c r="A804" i="3" s="1"/>
  <c r="A805" i="3" s="1"/>
  <c r="A806" i="3" s="1"/>
  <c r="A808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1" i="3" s="1"/>
  <c r="A822" i="3" s="1"/>
  <c r="A823" i="3" s="1"/>
  <c r="A824" i="3" s="1"/>
  <c r="A825" i="3" s="1"/>
  <c r="A827" i="3"/>
  <c r="A828" i="3" s="1"/>
  <c r="A832" i="3"/>
  <c r="A833" i="3"/>
  <c r="A834" i="3" s="1"/>
  <c r="A835" i="3" s="1"/>
  <c r="A836" i="3" s="1"/>
  <c r="A837" i="3" s="1"/>
  <c r="A838" i="3" s="1"/>
  <c r="A839" i="3" s="1"/>
  <c r="A840" i="3" s="1"/>
  <c r="A844" i="3" s="1"/>
  <c r="A846" i="3" s="1"/>
  <c r="A849" i="3" s="1"/>
  <c r="A854" i="3" s="1"/>
  <c r="A860" i="3" s="1"/>
  <c r="A861" i="3" s="1"/>
  <c r="A862" i="3" s="1"/>
  <c r="A863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4" i="3"/>
  <c r="A895" i="3"/>
  <c r="A896" i="3" s="1"/>
  <c r="A897" i="3" s="1"/>
  <c r="A899" i="3"/>
  <c r="A900" i="3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9" i="3" s="1"/>
  <c r="A920" i="3" s="1"/>
  <c r="A921" i="3" s="1"/>
  <c r="A922" i="3" s="1"/>
  <c r="A923" i="3" s="1"/>
  <c r="A926" i="3" s="1"/>
  <c r="A929" i="3" s="1"/>
  <c r="A935" i="3"/>
  <c r="A936" i="3" s="1"/>
  <c r="A937" i="3" s="1"/>
  <c r="A938" i="3" s="1"/>
  <c r="A942" i="3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6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1" i="3" s="1"/>
  <c r="A1011" i="3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169" i="3"/>
  <c r="A1176" i="3"/>
  <c r="A1177" i="3" s="1"/>
  <c r="A1178" i="3" s="1"/>
  <c r="A1179" i="3" s="1"/>
  <c r="A1180" i="3" s="1"/>
  <c r="A1181" i="3" s="1"/>
  <c r="A1182" i="3" s="1"/>
  <c r="A1183" i="3" s="1"/>
  <c r="A1184" i="3" s="1"/>
  <c r="A1185" i="3" s="1"/>
  <c r="A1196" i="3" s="1"/>
  <c r="A1197" i="3" s="1"/>
  <c r="A1200" i="3" s="1"/>
  <c r="A1201" i="3" s="1"/>
  <c r="A1202" i="3" s="1"/>
  <c r="A1210" i="3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7" i="3" s="1"/>
  <c r="A1273" i="3" s="1"/>
  <c r="A1274" i="3" s="1"/>
  <c r="A1275" i="3" s="1"/>
  <c r="A1277" i="3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5" i="3" s="1"/>
  <c r="A1298" i="3" s="1"/>
  <c r="A1299" i="3" s="1"/>
  <c r="A1300" i="3" s="1"/>
  <c r="A1301" i="3" s="1"/>
  <c r="A1302" i="3" s="1"/>
  <c r="A1303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8" i="3" s="1"/>
  <c r="A1380" i="3" s="1"/>
  <c r="A1381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10" i="3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80" i="3" s="1"/>
  <c r="A381" i="3" s="1"/>
  <c r="A382" i="3" s="1"/>
  <c r="A383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J1377" i="3" l="1"/>
  <c r="I1377" i="3"/>
  <c r="J1297" i="3"/>
  <c r="J1296" i="3"/>
  <c r="I1296" i="3"/>
  <c r="I1297" i="3"/>
  <c r="J1294" i="3"/>
  <c r="J1382" i="3"/>
  <c r="J1379" i="3"/>
  <c r="I1379" i="3"/>
  <c r="I1382" i="3"/>
  <c r="I1294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J388" i="3"/>
  <c r="C219" i="2"/>
  <c r="D219" i="2"/>
  <c r="J1211" i="3"/>
  <c r="J127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T935" i="3" s="1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T1002" i="3" s="1"/>
  <c r="I1003" i="3"/>
  <c r="I1004" i="3"/>
  <c r="I1005" i="3"/>
  <c r="I1006" i="3"/>
  <c r="T1006" i="3" s="1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T1162" i="3" s="1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T1175" i="3" s="1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T1292" i="3" s="1"/>
  <c r="I1293" i="3"/>
  <c r="I1295" i="3"/>
  <c r="I1298" i="3"/>
  <c r="I1299" i="3"/>
  <c r="I1300" i="3"/>
  <c r="I1301" i="3"/>
  <c r="I1302" i="3"/>
  <c r="I1303" i="3"/>
  <c r="I1320" i="3"/>
  <c r="I1321" i="3"/>
  <c r="I1322" i="3"/>
  <c r="I1323" i="3"/>
  <c r="T1323" i="3" s="1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8" i="3"/>
  <c r="I1380" i="3"/>
  <c r="I1381" i="3"/>
  <c r="I1383" i="3"/>
  <c r="I1384" i="3"/>
  <c r="I1385" i="3"/>
  <c r="I1386" i="3"/>
  <c r="I1387" i="3"/>
  <c r="I1388" i="3"/>
  <c r="I1389" i="3"/>
  <c r="I1390" i="3"/>
  <c r="I1391" i="3"/>
  <c r="T1391" i="3" s="1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T1403" i="3" s="1"/>
  <c r="I1404" i="3"/>
  <c r="T1404" i="3" s="1"/>
  <c r="I1405" i="3"/>
  <c r="T1405" i="3" s="1"/>
  <c r="I1406" i="3"/>
  <c r="I1407" i="3"/>
  <c r="I1408" i="3"/>
  <c r="I1409" i="3"/>
  <c r="I1410" i="3"/>
  <c r="I1411" i="3"/>
  <c r="I1412" i="3"/>
  <c r="I1413" i="3"/>
  <c r="I1414" i="3"/>
  <c r="T1414" i="3" s="1"/>
  <c r="I1415" i="3"/>
  <c r="T1415" i="3" s="1"/>
  <c r="I1416" i="3"/>
  <c r="T1416" i="3" s="1"/>
  <c r="I1417" i="3"/>
  <c r="T1417" i="3" s="1"/>
  <c r="I1418" i="3"/>
  <c r="T1418" i="3" s="1"/>
  <c r="I1419" i="3"/>
  <c r="I1420" i="3"/>
  <c r="I1421" i="3"/>
  <c r="I1422" i="3"/>
  <c r="T1422" i="3" s="1"/>
  <c r="I1423" i="3"/>
  <c r="I1424" i="3"/>
  <c r="I1425" i="3"/>
  <c r="I1426" i="3"/>
  <c r="I1427" i="3"/>
  <c r="T1427" i="3" s="1"/>
  <c r="I1428" i="3"/>
  <c r="T1428" i="3" s="1"/>
  <c r="I1429" i="3"/>
  <c r="T1429" i="3" s="1"/>
  <c r="I1430" i="3"/>
  <c r="T1430" i="3" s="1"/>
  <c r="I1431" i="3"/>
  <c r="I1432" i="3"/>
  <c r="I1433" i="3"/>
  <c r="I1434" i="3"/>
  <c r="I1435" i="3"/>
  <c r="I1436" i="3"/>
  <c r="I1437" i="3"/>
  <c r="I1438" i="3"/>
  <c r="I1439" i="3"/>
  <c r="T1439" i="3" s="1"/>
  <c r="I1440" i="3"/>
  <c r="T1440" i="3" s="1"/>
  <c r="I1441" i="3"/>
  <c r="I1442" i="3"/>
  <c r="T1442" i="3" s="1"/>
  <c r="I1443" i="3"/>
  <c r="I1444" i="3"/>
  <c r="I1445" i="3"/>
  <c r="I1446" i="3"/>
  <c r="T1446" i="3" s="1"/>
  <c r="I1447" i="3"/>
  <c r="I1448" i="3"/>
  <c r="I1449" i="3"/>
  <c r="I1450" i="3"/>
  <c r="T1450" i="3" s="1"/>
  <c r="I1451" i="3"/>
  <c r="T1451" i="3" s="1"/>
  <c r="I1452" i="3"/>
  <c r="T1452" i="3" s="1"/>
  <c r="I1453" i="3"/>
  <c r="T1453" i="3" s="1"/>
  <c r="I1454" i="3"/>
  <c r="T1454" i="3" s="1"/>
  <c r="I1455" i="3"/>
  <c r="I1456" i="3"/>
  <c r="I1457" i="3"/>
  <c r="I1458" i="3"/>
  <c r="I1459" i="3"/>
  <c r="I1460" i="3"/>
  <c r="I1461" i="3"/>
  <c r="I1462" i="3"/>
  <c r="T1462" i="3" s="1"/>
  <c r="I1463" i="3"/>
  <c r="T1463" i="3" s="1"/>
  <c r="I1464" i="3"/>
  <c r="T1464" i="3" s="1"/>
  <c r="I1465" i="3"/>
  <c r="I1466" i="3"/>
  <c r="T1466" i="3" s="1"/>
  <c r="I1467" i="3"/>
  <c r="I1468" i="3"/>
  <c r="I1469" i="3"/>
  <c r="I1470" i="3"/>
  <c r="T1470" i="3" s="1"/>
  <c r="I1471" i="3"/>
  <c r="I1472" i="3"/>
  <c r="I1473" i="3"/>
  <c r="I1474" i="3"/>
  <c r="I1475" i="3"/>
  <c r="T1475" i="3" s="1"/>
  <c r="I1476" i="3"/>
  <c r="T1476" i="3" s="1"/>
  <c r="I1477" i="3"/>
  <c r="I1478" i="3"/>
  <c r="T1478" i="3" s="1"/>
  <c r="I1479" i="3"/>
  <c r="I1480" i="3"/>
  <c r="I1481" i="3"/>
  <c r="I1482" i="3"/>
  <c r="I1483" i="3"/>
  <c r="I1484" i="3"/>
  <c r="I1485" i="3"/>
  <c r="I1486" i="3"/>
  <c r="I1487" i="3"/>
  <c r="T1487" i="3" s="1"/>
  <c r="I1488" i="3"/>
  <c r="T1488" i="3" s="1"/>
  <c r="I1489" i="3"/>
  <c r="I1490" i="3"/>
  <c r="T1490" i="3" s="1"/>
  <c r="I1491" i="3"/>
  <c r="I1492" i="3"/>
  <c r="I1493" i="3"/>
  <c r="I1494" i="3"/>
  <c r="T1494" i="3" s="1"/>
  <c r="I1495" i="3"/>
  <c r="I1496" i="3"/>
  <c r="I1497" i="3"/>
  <c r="I1498" i="3"/>
  <c r="T1498" i="3" s="1"/>
  <c r="I1499" i="3"/>
  <c r="T1499" i="3" s="1"/>
  <c r="I1500" i="3"/>
  <c r="T1500" i="3" s="1"/>
  <c r="I1501" i="3"/>
  <c r="I1502" i="3"/>
  <c r="T1502" i="3" s="1"/>
  <c r="I1503" i="3"/>
  <c r="I1504" i="3"/>
  <c r="I1505" i="3"/>
  <c r="I1506" i="3"/>
  <c r="I1507" i="3"/>
  <c r="I1508" i="3"/>
  <c r="I1509" i="3"/>
  <c r="I1510" i="3"/>
  <c r="T1510" i="3" s="1"/>
  <c r="I1511" i="3"/>
  <c r="T1511" i="3" s="1"/>
  <c r="I1512" i="3"/>
  <c r="T1512" i="3" s="1"/>
  <c r="I1513" i="3"/>
  <c r="I1514" i="3"/>
  <c r="T1514" i="3" s="1"/>
  <c r="I1515" i="3"/>
  <c r="I1516" i="3"/>
  <c r="I1517" i="3"/>
  <c r="I1518" i="3"/>
  <c r="T1518" i="3" s="1"/>
  <c r="I1519" i="3"/>
  <c r="I1520" i="3"/>
  <c r="I1521" i="3"/>
  <c r="I1522" i="3"/>
  <c r="I1523" i="3"/>
  <c r="T1523" i="3" s="1"/>
  <c r="I1524" i="3"/>
  <c r="T1524" i="3" s="1"/>
  <c r="I1525" i="3"/>
  <c r="T1525" i="3" s="1"/>
  <c r="I1526" i="3"/>
  <c r="T1526" i="3" s="1"/>
  <c r="I1527" i="3"/>
  <c r="I1528" i="3"/>
  <c r="I1529" i="3"/>
  <c r="I1530" i="3"/>
  <c r="I1531" i="3"/>
  <c r="I1532" i="3"/>
  <c r="I1533" i="3"/>
  <c r="I1534" i="3"/>
  <c r="I1535" i="3"/>
  <c r="T1535" i="3" s="1"/>
  <c r="I1536" i="3"/>
  <c r="T1536" i="3" s="1"/>
  <c r="I1537" i="3"/>
  <c r="I1538" i="3"/>
  <c r="T1538" i="3" s="1"/>
  <c r="I1539" i="3"/>
  <c r="I1540" i="3"/>
  <c r="I1541" i="3"/>
  <c r="I1542" i="3"/>
  <c r="T1542" i="3" s="1"/>
  <c r="I1543" i="3"/>
  <c r="I1544" i="3"/>
  <c r="I1545" i="3"/>
  <c r="I1546" i="3"/>
  <c r="T1546" i="3" s="1"/>
  <c r="I1547" i="3"/>
  <c r="T1547" i="3" s="1"/>
  <c r="I1548" i="3"/>
  <c r="T1548" i="3" s="1"/>
  <c r="I1549" i="3"/>
  <c r="I1550" i="3"/>
  <c r="T1550" i="3" s="1"/>
  <c r="I1551" i="3"/>
  <c r="I1552" i="3"/>
  <c r="I1553" i="3"/>
  <c r="I1554" i="3"/>
  <c r="I1555" i="3"/>
  <c r="I1556" i="3"/>
  <c r="I1557" i="3"/>
  <c r="I1558" i="3"/>
  <c r="T1558" i="3" s="1"/>
  <c r="I1559" i="3"/>
  <c r="T1559" i="3" s="1"/>
  <c r="I1560" i="3"/>
  <c r="T1560" i="3" s="1"/>
  <c r="I1561" i="3"/>
  <c r="T1561" i="3" s="1"/>
  <c r="I1562" i="3"/>
  <c r="T1562" i="3" s="1"/>
  <c r="I1563" i="3"/>
  <c r="I1564" i="3"/>
  <c r="I1565" i="3"/>
  <c r="I1566" i="3"/>
  <c r="T1566" i="3" s="1"/>
  <c r="I1567" i="3"/>
  <c r="I1568" i="3"/>
  <c r="I1569" i="3"/>
  <c r="I1570" i="3"/>
  <c r="I1571" i="3"/>
  <c r="T1571" i="3" s="1"/>
  <c r="I1572" i="3"/>
  <c r="T1572" i="3" s="1"/>
  <c r="I1573" i="3"/>
  <c r="I1574" i="3"/>
  <c r="T1574" i="3" s="1"/>
  <c r="I1575" i="3"/>
  <c r="I1576" i="3"/>
  <c r="I1577" i="3"/>
  <c r="I1578" i="3"/>
  <c r="I1579" i="3"/>
  <c r="I1580" i="3"/>
  <c r="I1581" i="3"/>
  <c r="I1582" i="3"/>
  <c r="I1583" i="3"/>
  <c r="T1583" i="3" s="1"/>
  <c r="I1584" i="3"/>
  <c r="T1584" i="3" s="1"/>
  <c r="I1585" i="3"/>
  <c r="I1586" i="3"/>
  <c r="T1586" i="3" s="1"/>
  <c r="I1587" i="3"/>
  <c r="I1588" i="3"/>
  <c r="I1589" i="3"/>
  <c r="I1590" i="3"/>
  <c r="T1590" i="3" s="1"/>
  <c r="I1591" i="3"/>
  <c r="I1592" i="3"/>
  <c r="I1593" i="3"/>
  <c r="I1594" i="3"/>
  <c r="T1594" i="3" s="1"/>
  <c r="I1595" i="3"/>
  <c r="T1595" i="3" s="1"/>
  <c r="I1596" i="3"/>
  <c r="T1596" i="3" s="1"/>
  <c r="I1597" i="3"/>
  <c r="T1597" i="3" s="1"/>
  <c r="I1598" i="3"/>
  <c r="T1598" i="3" s="1"/>
  <c r="I1599" i="3"/>
  <c r="I1600" i="3"/>
  <c r="I1601" i="3"/>
  <c r="I1602" i="3"/>
  <c r="I1603" i="3"/>
  <c r="I1604" i="3"/>
  <c r="I1605" i="3"/>
  <c r="I1606" i="3"/>
  <c r="T1606" i="3" s="1"/>
  <c r="I1607" i="3"/>
  <c r="T1607" i="3" s="1"/>
  <c r="I1608" i="3"/>
  <c r="T1608" i="3" s="1"/>
  <c r="I1609" i="3"/>
  <c r="I1610" i="3"/>
  <c r="T1610" i="3" s="1"/>
  <c r="I1611" i="3"/>
  <c r="I1612" i="3"/>
  <c r="T1612" i="3" s="1"/>
  <c r="I1613" i="3"/>
  <c r="I1614" i="3"/>
  <c r="T1614" i="3" s="1"/>
  <c r="I1615" i="3"/>
  <c r="I1616" i="3"/>
  <c r="I1617" i="3"/>
  <c r="I1618" i="3"/>
  <c r="I1619" i="3"/>
  <c r="T1619" i="3" s="1"/>
  <c r="I1620" i="3"/>
  <c r="T1620" i="3" s="1"/>
  <c r="I1621" i="3"/>
  <c r="I1622" i="3"/>
  <c r="T1622" i="3" s="1"/>
  <c r="I1623" i="3"/>
  <c r="I1624" i="3"/>
  <c r="I1625" i="3"/>
  <c r="I1626" i="3"/>
  <c r="I1627" i="3"/>
  <c r="I1628" i="3"/>
  <c r="I1629" i="3"/>
  <c r="I1630" i="3"/>
  <c r="I1631" i="3"/>
  <c r="T1631" i="3" s="1"/>
  <c r="I1632" i="3"/>
  <c r="T1632" i="3" s="1"/>
  <c r="I1633" i="3"/>
  <c r="I1634" i="3"/>
  <c r="T1634" i="3" s="1"/>
  <c r="I1635" i="3"/>
  <c r="I1636" i="3"/>
  <c r="I1637" i="3"/>
  <c r="I1638" i="3"/>
  <c r="T1638" i="3" s="1"/>
  <c r="I1639" i="3"/>
  <c r="I1640" i="3"/>
  <c r="I1641" i="3"/>
  <c r="I1642" i="3"/>
  <c r="T1642" i="3" s="1"/>
  <c r="I1643" i="3"/>
  <c r="T1643" i="3" s="1"/>
  <c r="I1644" i="3"/>
  <c r="T1644" i="3" s="1"/>
  <c r="I1645" i="3"/>
  <c r="I1646" i="3"/>
  <c r="T1646" i="3" s="1"/>
  <c r="I1647" i="3"/>
  <c r="I1648" i="3"/>
  <c r="T1648" i="3" s="1"/>
  <c r="I1649" i="3"/>
  <c r="I1650" i="3"/>
  <c r="I1651" i="3"/>
  <c r="I1652" i="3"/>
  <c r="I1653" i="3"/>
  <c r="I1654" i="3"/>
  <c r="T1654" i="3" s="1"/>
  <c r="I1655" i="3"/>
  <c r="T1655" i="3" s="1"/>
  <c r="I1656" i="3"/>
  <c r="T1656" i="3" s="1"/>
  <c r="I1657" i="3"/>
  <c r="I1658" i="3"/>
  <c r="T1658" i="3" s="1"/>
  <c r="I1659" i="3"/>
  <c r="I1660" i="3"/>
  <c r="I1661" i="3"/>
  <c r="I1662" i="3"/>
  <c r="T1662" i="3" s="1"/>
  <c r="I1663" i="3"/>
  <c r="I1664" i="3"/>
  <c r="I1665" i="3"/>
  <c r="I1666" i="3"/>
  <c r="I1667" i="3"/>
  <c r="T1667" i="3" s="1"/>
  <c r="I1668" i="3"/>
  <c r="T1668" i="3" s="1"/>
  <c r="I1669" i="3"/>
  <c r="T1669" i="3" s="1"/>
  <c r="I1670" i="3"/>
  <c r="T1670" i="3" s="1"/>
  <c r="I1671" i="3"/>
  <c r="I1672" i="3"/>
  <c r="I1673" i="3"/>
  <c r="I1674" i="3"/>
  <c r="I1675" i="3"/>
  <c r="I1676" i="3"/>
  <c r="I1677" i="3"/>
  <c r="I1678" i="3"/>
  <c r="I1679" i="3"/>
  <c r="T1679" i="3" s="1"/>
  <c r="I1680" i="3"/>
  <c r="T1680" i="3" s="1"/>
  <c r="I1681" i="3"/>
  <c r="I1682" i="3"/>
  <c r="T1682" i="3" s="1"/>
  <c r="I1683" i="3"/>
  <c r="I1684" i="3"/>
  <c r="T1684" i="3" s="1"/>
  <c r="I1685" i="3"/>
  <c r="I1686" i="3"/>
  <c r="T1686" i="3" s="1"/>
  <c r="I1687" i="3"/>
  <c r="I16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5" i="3"/>
  <c r="J1298" i="3"/>
  <c r="J1299" i="3"/>
  <c r="J1300" i="3"/>
  <c r="J1301" i="3"/>
  <c r="J1302" i="3"/>
  <c r="J1303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8" i="3"/>
  <c r="J1380" i="3"/>
  <c r="J1381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I1272" i="3"/>
  <c r="I1211" i="3"/>
  <c r="E146" i="6"/>
  <c r="E147" i="6"/>
  <c r="E148" i="6"/>
  <c r="E149" i="6"/>
  <c r="E69" i="6"/>
  <c r="D211" i="2"/>
  <c r="C211" i="2"/>
  <c r="T755" i="3"/>
  <c r="T809" i="3"/>
  <c r="T823" i="3"/>
  <c r="T824" i="3"/>
  <c r="T913" i="3"/>
  <c r="T919" i="3"/>
  <c r="T992" i="3"/>
  <c r="T1001" i="3"/>
  <c r="T1003" i="3"/>
  <c r="T1004" i="3"/>
  <c r="T1005" i="3"/>
  <c r="T1256" i="3"/>
  <c r="T1281" i="3"/>
  <c r="T1282" i="3"/>
  <c r="T1298" i="3"/>
  <c r="T1321" i="3"/>
  <c r="T1322" i="3"/>
  <c r="T1325" i="3"/>
  <c r="T1328" i="3"/>
  <c r="T1329" i="3"/>
  <c r="T1392" i="3"/>
  <c r="T1393" i="3"/>
  <c r="T1394" i="3"/>
  <c r="T1413" i="3"/>
  <c r="T1419" i="3"/>
  <c r="T1420" i="3"/>
  <c r="T1421" i="3"/>
  <c r="T1423" i="3"/>
  <c r="T1424" i="3"/>
  <c r="T1425" i="3"/>
  <c r="T1426" i="3"/>
  <c r="T1431" i="3"/>
  <c r="T1432" i="3"/>
  <c r="T1433" i="3"/>
  <c r="T1434" i="3"/>
  <c r="T1435" i="3"/>
  <c r="T1436" i="3"/>
  <c r="T1437" i="3"/>
  <c r="T1438" i="3"/>
  <c r="T1441" i="3"/>
  <c r="T1443" i="3"/>
  <c r="T1444" i="3"/>
  <c r="T1445" i="3"/>
  <c r="T1447" i="3"/>
  <c r="T1448" i="3"/>
  <c r="T1449" i="3"/>
  <c r="T1455" i="3"/>
  <c r="T1456" i="3"/>
  <c r="T1457" i="3"/>
  <c r="T1458" i="3"/>
  <c r="T1459" i="3"/>
  <c r="T1460" i="3"/>
  <c r="T1461" i="3"/>
  <c r="T1465" i="3"/>
  <c r="T1467" i="3"/>
  <c r="T1468" i="3"/>
  <c r="T1469" i="3"/>
  <c r="T1471" i="3"/>
  <c r="T1472" i="3"/>
  <c r="T1473" i="3"/>
  <c r="T1474" i="3"/>
  <c r="T1477" i="3"/>
  <c r="T1479" i="3"/>
  <c r="T1480" i="3"/>
  <c r="T1481" i="3"/>
  <c r="T1482" i="3"/>
  <c r="T1483" i="3"/>
  <c r="T1484" i="3"/>
  <c r="T1485" i="3"/>
  <c r="T1486" i="3"/>
  <c r="T1489" i="3"/>
  <c r="T1491" i="3"/>
  <c r="T1492" i="3"/>
  <c r="T1493" i="3"/>
  <c r="T1495" i="3"/>
  <c r="T1496" i="3"/>
  <c r="T1497" i="3"/>
  <c r="T1501" i="3"/>
  <c r="T1503" i="3"/>
  <c r="T1504" i="3"/>
  <c r="T1505" i="3"/>
  <c r="T1506" i="3"/>
  <c r="T1507" i="3"/>
  <c r="T1508" i="3"/>
  <c r="T1509" i="3"/>
  <c r="T1513" i="3"/>
  <c r="T1515" i="3"/>
  <c r="T1516" i="3"/>
  <c r="T1517" i="3"/>
  <c r="T1519" i="3"/>
  <c r="T1520" i="3"/>
  <c r="T1521" i="3"/>
  <c r="T1522" i="3"/>
  <c r="T1527" i="3"/>
  <c r="T1528" i="3"/>
  <c r="T1529" i="3"/>
  <c r="T1530" i="3"/>
  <c r="T1531" i="3"/>
  <c r="T1532" i="3"/>
  <c r="T1533" i="3"/>
  <c r="T1534" i="3"/>
  <c r="T1537" i="3"/>
  <c r="T1539" i="3"/>
  <c r="T1540" i="3"/>
  <c r="T1541" i="3"/>
  <c r="T1543" i="3"/>
  <c r="T1544" i="3"/>
  <c r="T1545" i="3"/>
  <c r="T1549" i="3"/>
  <c r="T1551" i="3"/>
  <c r="T1552" i="3"/>
  <c r="T1553" i="3"/>
  <c r="T1554" i="3"/>
  <c r="T1555" i="3"/>
  <c r="T1556" i="3"/>
  <c r="T1557" i="3"/>
  <c r="T1563" i="3"/>
  <c r="T1564" i="3"/>
  <c r="T1565" i="3"/>
  <c r="T1567" i="3"/>
  <c r="T1568" i="3"/>
  <c r="T1569" i="3"/>
  <c r="T1570" i="3"/>
  <c r="T1573" i="3"/>
  <c r="T1575" i="3"/>
  <c r="T1576" i="3"/>
  <c r="T1577" i="3"/>
  <c r="T1578" i="3"/>
  <c r="T1579" i="3"/>
  <c r="T1580" i="3"/>
  <c r="T1581" i="3"/>
  <c r="T1582" i="3"/>
  <c r="T1585" i="3"/>
  <c r="T1587" i="3"/>
  <c r="T1588" i="3"/>
  <c r="T1589" i="3"/>
  <c r="T1591" i="3"/>
  <c r="T1592" i="3"/>
  <c r="T1593" i="3"/>
  <c r="T1599" i="3"/>
  <c r="T1600" i="3"/>
  <c r="T1601" i="3"/>
  <c r="T1602" i="3"/>
  <c r="T1603" i="3"/>
  <c r="T1604" i="3"/>
  <c r="T1605" i="3"/>
  <c r="T1609" i="3"/>
  <c r="T1611" i="3"/>
  <c r="T1613" i="3"/>
  <c r="T1615" i="3"/>
  <c r="T1616" i="3"/>
  <c r="T1617" i="3"/>
  <c r="T1618" i="3"/>
  <c r="T1621" i="3"/>
  <c r="T1623" i="3"/>
  <c r="T1624" i="3"/>
  <c r="T1625" i="3"/>
  <c r="T1626" i="3"/>
  <c r="T1627" i="3"/>
  <c r="T1628" i="3"/>
  <c r="T1629" i="3"/>
  <c r="T1630" i="3"/>
  <c r="T1633" i="3"/>
  <c r="T1635" i="3"/>
  <c r="T1636" i="3"/>
  <c r="T1637" i="3"/>
  <c r="T1639" i="3"/>
  <c r="T1640" i="3"/>
  <c r="T1641" i="3"/>
  <c r="T1645" i="3"/>
  <c r="T1647" i="3"/>
  <c r="T1649" i="3"/>
  <c r="T1650" i="3"/>
  <c r="T1651" i="3"/>
  <c r="T1652" i="3"/>
  <c r="T1653" i="3"/>
  <c r="T1657" i="3"/>
  <c r="T1659" i="3"/>
  <c r="T1660" i="3"/>
  <c r="T1661" i="3"/>
  <c r="T1663" i="3"/>
  <c r="T1664" i="3"/>
  <c r="T1665" i="3"/>
  <c r="T1666" i="3"/>
  <c r="T1671" i="3"/>
  <c r="T1672" i="3"/>
  <c r="T1673" i="3"/>
  <c r="T1674" i="3"/>
  <c r="T1675" i="3"/>
  <c r="T1676" i="3"/>
  <c r="T1677" i="3"/>
  <c r="T1678" i="3"/>
  <c r="T1681" i="3"/>
  <c r="T1683" i="3"/>
  <c r="T1685" i="3"/>
  <c r="T1687" i="3"/>
  <c r="T1688" i="3"/>
  <c r="C581" i="2"/>
  <c r="C297" i="2"/>
  <c r="D581" i="2"/>
  <c r="D297" i="2"/>
  <c r="C125" i="2"/>
  <c r="C59" i="2"/>
  <c r="C122" i="2"/>
  <c r="C253" i="2"/>
  <c r="C130" i="2"/>
  <c r="D125" i="2"/>
  <c r="D59" i="2"/>
  <c r="D122" i="2"/>
  <c r="D253" i="2"/>
  <c r="D130" i="2"/>
  <c r="D112" i="2"/>
  <c r="C112" i="2"/>
  <c r="D127" i="2"/>
  <c r="C127" i="2"/>
  <c r="D216" i="2"/>
  <c r="D351" i="2"/>
  <c r="D356" i="2"/>
  <c r="D156" i="2"/>
  <c r="C156" i="2"/>
  <c r="C356" i="2"/>
  <c r="C351" i="2"/>
  <c r="C216" i="2"/>
  <c r="C668" i="2"/>
  <c r="D668" i="2"/>
  <c r="C467" i="2"/>
  <c r="C375" i="2"/>
  <c r="D467" i="2"/>
  <c r="D375" i="2"/>
  <c r="B321" i="2"/>
  <c r="B138" i="2"/>
  <c r="B200" i="2"/>
  <c r="B420" i="2"/>
  <c r="B187" i="2"/>
  <c r="B191" i="2"/>
  <c r="B285" i="2"/>
  <c r="B390" i="2"/>
  <c r="B111" i="2"/>
  <c r="B322" i="2"/>
  <c r="B323" i="2"/>
  <c r="B391" i="2"/>
  <c r="B257" i="2"/>
  <c r="B215" i="2"/>
  <c r="B770" i="2"/>
  <c r="B531" i="2"/>
  <c r="B175" i="2"/>
  <c r="B48" i="2"/>
  <c r="B261" i="2"/>
  <c r="B154" i="2"/>
  <c r="B379" i="2"/>
  <c r="B113" i="2"/>
  <c r="B55" i="2"/>
  <c r="B201" i="2"/>
  <c r="B309" i="2"/>
  <c r="B605" i="2"/>
  <c r="B478" i="2"/>
  <c r="B302" i="2"/>
  <c r="B360" i="2"/>
  <c r="B361" i="2"/>
  <c r="B442" i="2"/>
  <c r="B210" i="2"/>
  <c r="B421" i="2"/>
  <c r="B712" i="2"/>
  <c r="B290" i="2"/>
  <c r="B443" i="2"/>
  <c r="B336" i="2"/>
  <c r="B444" i="2"/>
  <c r="B682" i="2"/>
  <c r="B306" i="2"/>
  <c r="B227" i="2"/>
  <c r="B195" i="2"/>
  <c r="B252" i="2"/>
  <c r="B713" i="2"/>
  <c r="B185" i="2"/>
  <c r="B170" i="2"/>
  <c r="B295" i="2"/>
  <c r="B184" i="2"/>
  <c r="B401" i="2"/>
  <c r="B310" i="2"/>
  <c r="B479" i="2"/>
  <c r="B480" i="2"/>
  <c r="B481" i="2"/>
  <c r="B532" i="2"/>
  <c r="B771" i="2"/>
  <c r="B460" i="2"/>
  <c r="B772" i="2"/>
  <c r="B513" i="2"/>
  <c r="B482" i="2"/>
  <c r="B483" i="2"/>
  <c r="B484" i="2"/>
  <c r="B507" i="2"/>
  <c r="B508" i="2"/>
  <c r="B571" i="2"/>
  <c r="B405" i="2"/>
  <c r="B492" i="2"/>
  <c r="B606" i="2"/>
  <c r="B583" i="2"/>
  <c r="B674" i="2"/>
  <c r="B584" i="2"/>
  <c r="B367" i="2"/>
  <c r="B445" i="2"/>
  <c r="B697" i="2"/>
  <c r="B233" i="2"/>
  <c r="B402" i="2"/>
  <c r="B607" i="2"/>
  <c r="B496" i="2"/>
  <c r="B324" i="2"/>
  <c r="B463" i="2"/>
  <c r="B186" i="2"/>
  <c r="B560" i="2"/>
  <c r="B459" i="2"/>
  <c r="B634" i="2"/>
  <c r="B630" i="2"/>
  <c r="B608" i="2"/>
  <c r="B428" i="2"/>
  <c r="B533" i="2"/>
  <c r="B325" i="2"/>
  <c r="B609" i="2"/>
  <c r="B635" i="2"/>
  <c r="B687" i="2"/>
  <c r="B485" i="2"/>
  <c r="B546" i="2"/>
  <c r="B486" i="2"/>
  <c r="B610" i="2"/>
  <c r="B446" i="2"/>
  <c r="B611" i="2"/>
  <c r="B447" i="2"/>
  <c r="B298" i="2"/>
  <c r="B172" i="2"/>
  <c r="B424" i="2"/>
  <c r="B392" i="2"/>
  <c r="B534" i="2"/>
  <c r="B228" i="2"/>
  <c r="B393" i="2"/>
  <c r="B146" i="2"/>
  <c r="B359" i="2"/>
  <c r="B326" i="2"/>
  <c r="B217" i="2"/>
  <c r="B179" i="2"/>
  <c r="B448" i="2"/>
  <c r="B327" i="2"/>
  <c r="B394" i="2"/>
  <c r="B258" i="2"/>
  <c r="B706" i="2"/>
  <c r="B628" i="2"/>
  <c r="B328" i="2"/>
  <c r="B535" i="2"/>
  <c r="B194" i="2"/>
  <c r="B202" i="2"/>
  <c r="B329" i="2"/>
  <c r="B409" i="2"/>
  <c r="B368" i="2"/>
  <c r="B410" i="2"/>
  <c r="B612" i="2"/>
  <c r="B395" i="2"/>
  <c r="B352" i="2"/>
  <c r="B449" i="2"/>
  <c r="B396" i="2"/>
  <c r="B397" i="2"/>
  <c r="B450" i="2"/>
  <c r="B411" i="2"/>
  <c r="B487" i="2"/>
  <c r="B536" i="2"/>
  <c r="B142" i="2"/>
  <c r="B218" i="2"/>
  <c r="B173" i="2"/>
  <c r="B509" i="2"/>
  <c r="B286" i="2"/>
  <c r="B181" i="2"/>
  <c r="B140" i="2"/>
  <c r="B308" i="2"/>
  <c r="B673" i="2"/>
  <c r="B665" i="2"/>
  <c r="B416" i="2"/>
  <c r="B653" i="2"/>
  <c r="B362" i="2"/>
  <c r="B629" i="2"/>
  <c r="B398" i="2"/>
  <c r="B573" i="2"/>
  <c r="B136" i="2"/>
  <c r="B311" i="2"/>
  <c r="B638" i="2"/>
  <c r="B247" i="2"/>
  <c r="B207" i="2"/>
  <c r="B144" i="2"/>
  <c r="B337" i="2"/>
  <c r="B422" i="2"/>
  <c r="B704" i="2"/>
  <c r="B654" i="2"/>
  <c r="B693" i="2"/>
  <c r="B417" i="2"/>
  <c r="B639" i="2"/>
  <c r="B574" i="2"/>
  <c r="B575" i="2"/>
  <c r="B714" i="2"/>
  <c r="B399" i="2"/>
  <c r="B105" i="2"/>
  <c r="B274" i="2"/>
  <c r="B470" i="2"/>
  <c r="B613" i="2"/>
  <c r="B165" i="2"/>
  <c r="B537" i="2"/>
  <c r="B538" i="2"/>
  <c r="B255" i="2"/>
  <c r="B705" i="2"/>
  <c r="B192" i="2"/>
  <c r="B248" i="2"/>
  <c r="B291" i="2"/>
  <c r="B226" i="2"/>
  <c r="B234" i="2"/>
  <c r="B338" i="2"/>
  <c r="B548" i="2"/>
  <c r="B400" i="2"/>
  <c r="B412" i="2"/>
  <c r="B510" i="2"/>
  <c r="B511" i="2"/>
  <c r="B263" i="2"/>
  <c r="B264" i="2"/>
  <c r="B265" i="2"/>
  <c r="B266" i="2"/>
  <c r="B267" i="2"/>
  <c r="B262" i="2"/>
  <c r="B79" i="2"/>
  <c r="B644" i="2"/>
  <c r="B614" i="2"/>
  <c r="B488" i="2"/>
  <c r="B413" i="2"/>
  <c r="B333" i="2"/>
  <c r="B214" i="2"/>
  <c r="B529" i="2"/>
  <c r="B568" i="2"/>
  <c r="B702" i="2"/>
  <c r="B681" i="2"/>
  <c r="B506" i="2"/>
  <c r="B768" i="2"/>
  <c r="B169" i="2"/>
  <c r="B150" i="2"/>
  <c r="B270" i="2"/>
  <c r="B239" i="2"/>
  <c r="B320" i="2"/>
  <c r="B350" i="2"/>
  <c r="B283" i="2"/>
  <c r="B284" i="2"/>
  <c r="B289" i="2"/>
  <c r="B530" i="2"/>
  <c r="B271" i="2"/>
  <c r="B272" i="2"/>
  <c r="B273" i="2"/>
  <c r="B199" i="2"/>
  <c r="B145" i="2"/>
  <c r="B491" i="2"/>
  <c r="B440" i="2"/>
  <c r="B133" i="2"/>
  <c r="B769" i="2"/>
  <c r="B240" i="2"/>
  <c r="B241" i="2"/>
  <c r="B229" i="2"/>
  <c r="B585" i="2"/>
  <c r="B414" i="2"/>
  <c r="B552" i="2"/>
  <c r="B666" i="2"/>
  <c r="B715" i="2"/>
  <c r="B683" i="2"/>
  <c r="B684" i="2"/>
  <c r="B415" i="2"/>
  <c r="B698" i="2"/>
  <c r="B493" i="2"/>
  <c r="B773" i="2"/>
  <c r="B690" i="2"/>
  <c r="B615" i="2"/>
  <c r="B539" i="2"/>
  <c r="B561" i="2"/>
  <c r="B514" i="2"/>
  <c r="B699" i="2"/>
  <c r="B494" i="2"/>
  <c r="B648" i="2"/>
  <c r="B691" i="2"/>
  <c r="B369" i="2"/>
  <c r="B562" i="2"/>
  <c r="B330" i="2"/>
  <c r="B242" i="2"/>
  <c r="B243" i="2"/>
  <c r="B244" i="2"/>
  <c r="B245" i="2"/>
  <c r="B616" i="2"/>
  <c r="B617" i="2"/>
  <c r="B618" i="2"/>
  <c r="B655" i="2"/>
  <c r="B619" i="2"/>
  <c r="B656" i="2"/>
  <c r="B540" i="2"/>
  <c r="B620" i="2"/>
  <c r="B331" i="2"/>
  <c r="B621" i="2"/>
  <c r="B774" i="2"/>
  <c r="B246" i="2"/>
  <c r="B563" i="2"/>
  <c r="B541" i="2"/>
  <c r="B566" i="2"/>
  <c r="P565" i="3"/>
  <c r="P566" i="3"/>
  <c r="P567" i="3"/>
  <c r="P568" i="3"/>
  <c r="P569" i="3"/>
  <c r="P570" i="3"/>
  <c r="P571" i="3"/>
  <c r="P573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70" i="3"/>
  <c r="P772" i="3"/>
  <c r="P774" i="3"/>
  <c r="P775" i="3"/>
  <c r="P776" i="3"/>
  <c r="P777" i="3"/>
  <c r="P780" i="3"/>
  <c r="P797" i="3"/>
  <c r="P798" i="3"/>
  <c r="P800" i="3"/>
  <c r="P801" i="3"/>
  <c r="P804" i="3"/>
  <c r="P805" i="3"/>
  <c r="P810" i="3"/>
  <c r="P811" i="3"/>
  <c r="P812" i="3"/>
  <c r="P813" i="3"/>
  <c r="P814" i="3"/>
  <c r="P815" i="3"/>
  <c r="P816" i="3"/>
  <c r="P817" i="3"/>
  <c r="P819" i="3"/>
  <c r="P821" i="3"/>
  <c r="P822" i="3"/>
  <c r="P823" i="3"/>
  <c r="P824" i="3"/>
  <c r="P825" i="3"/>
  <c r="P827" i="3"/>
  <c r="P832" i="3"/>
  <c r="P833" i="3"/>
  <c r="P834" i="3"/>
  <c r="P835" i="3"/>
  <c r="P836" i="3"/>
  <c r="P837" i="3"/>
  <c r="P838" i="3"/>
  <c r="P839" i="3"/>
  <c r="P840" i="3"/>
  <c r="P844" i="3"/>
  <c r="P846" i="3"/>
  <c r="P849" i="3"/>
  <c r="P854" i="3"/>
  <c r="P860" i="3"/>
  <c r="P861" i="3"/>
  <c r="P862" i="3"/>
  <c r="P863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4" i="3"/>
  <c r="P895" i="3"/>
  <c r="P896" i="3"/>
  <c r="P897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3" i="3"/>
  <c r="P914" i="3"/>
  <c r="P915" i="3"/>
  <c r="P919" i="3"/>
  <c r="P920" i="3"/>
  <c r="P921" i="3"/>
  <c r="P922" i="3"/>
  <c r="P923" i="3"/>
  <c r="P926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6" i="3"/>
  <c r="P947" i="3"/>
  <c r="P948" i="3"/>
  <c r="P949" i="3"/>
  <c r="P950" i="3"/>
  <c r="P951" i="3"/>
  <c r="P952" i="3"/>
  <c r="P953" i="3"/>
  <c r="P954" i="3"/>
  <c r="P956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9" i="3"/>
  <c r="P991" i="3"/>
  <c r="P992" i="3"/>
  <c r="P993" i="3"/>
  <c r="P994" i="3"/>
  <c r="P995" i="3"/>
  <c r="P996" i="3"/>
  <c r="P997" i="3"/>
  <c r="P998" i="3"/>
  <c r="P999" i="3"/>
  <c r="P1001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5" i="3"/>
  <c r="P1076" i="3"/>
  <c r="P1077" i="3"/>
  <c r="P1078" i="3"/>
  <c r="P1079" i="3"/>
  <c r="P1080" i="3"/>
  <c r="P1081" i="3"/>
  <c r="P1082" i="3"/>
  <c r="P1083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9" i="3"/>
  <c r="P1170" i="3"/>
  <c r="P1171" i="3"/>
  <c r="P1172" i="3"/>
  <c r="P1174" i="3"/>
  <c r="P1176" i="3"/>
  <c r="P1177" i="3"/>
  <c r="P1178" i="3"/>
  <c r="P1179" i="3"/>
  <c r="P1180" i="3"/>
  <c r="P1181" i="3"/>
  <c r="P1182" i="3"/>
  <c r="P1183" i="3"/>
  <c r="P1184" i="3"/>
  <c r="P1185" i="3"/>
  <c r="P1196" i="3"/>
  <c r="P1197" i="3"/>
  <c r="P1200" i="3"/>
  <c r="P1201" i="3"/>
  <c r="P1202" i="3"/>
  <c r="P1207" i="3"/>
  <c r="P1210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7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5" i="3"/>
  <c r="P1298" i="3"/>
  <c r="P1299" i="3"/>
  <c r="P1300" i="3"/>
  <c r="P1301" i="3"/>
  <c r="P1302" i="3"/>
  <c r="P1303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8" i="3"/>
  <c r="P1380" i="3"/>
  <c r="P1381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564" i="3"/>
  <c r="T1377" i="3" l="1"/>
  <c r="T384" i="3"/>
  <c r="T379" i="3"/>
  <c r="T1168" i="3"/>
  <c r="T738" i="3"/>
  <c r="T736" i="3"/>
  <c r="T734" i="3"/>
  <c r="T724" i="3"/>
  <c r="T723" i="3"/>
  <c r="T632" i="3"/>
  <c r="T626" i="3"/>
  <c r="T601" i="3"/>
  <c r="T600" i="3"/>
  <c r="T598" i="3"/>
  <c r="T597" i="3"/>
  <c r="T591" i="3"/>
  <c r="T581" i="3"/>
  <c r="T549" i="3"/>
  <c r="T548" i="3"/>
  <c r="T531" i="3"/>
  <c r="T526" i="3"/>
  <c r="T518" i="3"/>
  <c r="T500" i="3"/>
  <c r="T498" i="3"/>
  <c r="T469" i="3"/>
  <c r="T468" i="3"/>
  <c r="T467" i="3"/>
  <c r="T424" i="3"/>
  <c r="T334" i="3"/>
  <c r="T321" i="3"/>
  <c r="T216" i="3"/>
  <c r="T197" i="3"/>
  <c r="B190" i="2"/>
  <c r="B9" i="2"/>
  <c r="B426" i="2" l="1"/>
  <c r="B50" i="2"/>
  <c r="B596" i="2"/>
  <c r="B432" i="2"/>
  <c r="B237" i="2"/>
  <c r="B663" i="2"/>
  <c r="B171" i="2"/>
  <c r="B189" i="2"/>
  <c r="B71" i="2"/>
  <c r="B382" i="2"/>
  <c r="B518" i="2"/>
  <c r="B51" i="2"/>
  <c r="B39" i="2"/>
  <c r="B135" i="2"/>
  <c r="B279" i="2"/>
  <c r="B676" i="2"/>
  <c r="B707" i="2"/>
  <c r="B576" i="2"/>
  <c r="B631" i="2"/>
  <c r="B651" i="2"/>
  <c r="B718" i="2"/>
  <c r="B719" i="2"/>
  <c r="B708" i="2"/>
  <c r="B649" i="2"/>
  <c r="B652" i="2"/>
  <c r="B343" i="2"/>
  <c r="B694" i="2"/>
  <c r="B553" i="2"/>
  <c r="B461" i="2"/>
  <c r="B720" i="2"/>
  <c r="B627" i="2"/>
  <c r="B703" i="2"/>
  <c r="B709" i="2"/>
  <c r="B710" i="2"/>
  <c r="B730" i="2"/>
  <c r="B550" i="2"/>
  <c r="B662" i="2"/>
  <c r="B67" i="2"/>
  <c r="B203" i="2"/>
  <c r="B40" i="2"/>
  <c r="B45" i="2"/>
  <c r="B197" i="2"/>
  <c r="B143" i="2"/>
  <c r="B131" i="2"/>
  <c r="B260" i="2"/>
  <c r="B256" i="2"/>
  <c r="B471" i="2" l="1"/>
  <c r="B380" i="2"/>
  <c r="B355" i="2"/>
  <c r="B64" i="2"/>
  <c r="B129" i="2"/>
  <c r="B759" i="2"/>
  <c r="B82" i="2"/>
  <c r="B76" i="2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80" i="3"/>
  <c r="P381" i="3"/>
  <c r="P382" i="3"/>
  <c r="P38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B780" i="2"/>
  <c r="B148" i="2"/>
  <c r="B141" i="2"/>
  <c r="B232" i="2"/>
  <c r="B115" i="2"/>
  <c r="B116" i="2"/>
  <c r="B196" i="2"/>
  <c r="B465" i="2"/>
  <c r="B222" i="2"/>
  <c r="B650" i="2"/>
  <c r="B303" i="2"/>
  <c r="D818" i="6" l="1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844" i="6" l="1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5" i="6"/>
  <c r="C835" i="6"/>
  <c r="D834" i="6"/>
  <c r="C834" i="6"/>
  <c r="D833" i="6"/>
  <c r="C833" i="6"/>
  <c r="D832" i="6"/>
  <c r="C832" i="6"/>
  <c r="D831" i="6"/>
  <c r="C831" i="6"/>
  <c r="D836" i="6"/>
  <c r="C836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 l="1"/>
  <c r="C823" i="6"/>
  <c r="D822" i="6"/>
  <c r="C822" i="6"/>
  <c r="D821" i="6"/>
  <c r="C821" i="6"/>
  <c r="D820" i="6"/>
  <c r="C820" i="6"/>
  <c r="D819" i="6"/>
  <c r="C819" i="6"/>
  <c r="D755" i="6" l="1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61" i="6" l="1"/>
  <c r="C761" i="6"/>
  <c r="D760" i="6"/>
  <c r="C760" i="6"/>
  <c r="D759" i="6"/>
  <c r="C759" i="6"/>
  <c r="D758" i="6"/>
  <c r="C758" i="6"/>
  <c r="D757" i="6"/>
  <c r="C757" i="6"/>
  <c r="D756" i="6"/>
  <c r="C756" i="6"/>
  <c r="D700" i="6"/>
  <c r="C700" i="6"/>
  <c r="D699" i="6"/>
  <c r="C699" i="6"/>
  <c r="D698" i="6"/>
  <c r="C698" i="6"/>
  <c r="D697" i="6"/>
  <c r="C697" i="6"/>
  <c r="D696" i="6" l="1"/>
  <c r="C696" i="6"/>
  <c r="D695" i="6"/>
  <c r="C695" i="6"/>
  <c r="D694" i="6"/>
  <c r="C694" i="6"/>
  <c r="D693" i="6" l="1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39" i="6"/>
  <c r="C639" i="6"/>
  <c r="D649" i="6" l="1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29" i="6"/>
  <c r="C629" i="6"/>
  <c r="D628" i="6" l="1"/>
  <c r="C628" i="6"/>
  <c r="D627" i="6"/>
  <c r="C627" i="6"/>
  <c r="D626" i="6"/>
  <c r="C626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625" i="6" l="1"/>
  <c r="C625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 l="1"/>
  <c r="C563" i="6"/>
  <c r="D562" i="6"/>
  <c r="C562" i="6"/>
  <c r="D561" i="6"/>
  <c r="C561" i="6"/>
  <c r="D560" i="6"/>
  <c r="C560" i="6"/>
  <c r="D559" i="6" l="1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 l="1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 l="1"/>
  <c r="C483" i="6"/>
  <c r="D482" i="6"/>
  <c r="C482" i="6"/>
  <c r="D481" i="6"/>
  <c r="C481" i="6"/>
  <c r="D480" i="6"/>
  <c r="C480" i="6"/>
  <c r="D479" i="6"/>
  <c r="C479" i="6"/>
  <c r="D478" i="6"/>
  <c r="C478" i="6"/>
  <c r="D475" i="6" l="1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327" i="6" l="1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236" i="6" l="1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62" i="6"/>
  <c r="D61" i="6" l="1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71" i="6"/>
  <c r="D72" i="6"/>
  <c r="D73" i="6"/>
  <c r="D74" i="6"/>
  <c r="D75" i="6"/>
  <c r="D76" i="6"/>
  <c r="D77" i="6"/>
  <c r="D78" i="6"/>
  <c r="D79" i="6"/>
  <c r="D80" i="6"/>
  <c r="D81" i="6"/>
  <c r="D82" i="6"/>
  <c r="D403" i="6" l="1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260" i="6" l="1"/>
  <c r="D245" i="6"/>
  <c r="D244" i="6"/>
  <c r="D243" i="6"/>
  <c r="D242" i="6"/>
  <c r="D241" i="6"/>
  <c r="D240" i="6"/>
  <c r="D239" i="6"/>
  <c r="D238" i="6"/>
  <c r="D237" i="6"/>
  <c r="D132" i="6"/>
  <c r="D131" i="6"/>
  <c r="D130" i="6"/>
  <c r="D129" i="6"/>
  <c r="D128" i="6"/>
  <c r="D127" i="6"/>
  <c r="D126" i="6"/>
  <c r="D68" i="6"/>
  <c r="D67" i="6"/>
  <c r="D66" i="6"/>
  <c r="D65" i="6"/>
  <c r="D64" i="6"/>
  <c r="D63" i="6"/>
  <c r="D434" i="6" l="1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 l="1"/>
  <c r="D150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05" i="6" l="1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30" i="6" l="1"/>
  <c r="D29" i="6"/>
  <c r="D39" i="6" l="1"/>
  <c r="D38" i="6"/>
  <c r="D37" i="6"/>
  <c r="D36" i="6"/>
  <c r="D35" i="6"/>
  <c r="D34" i="6"/>
  <c r="D33" i="6"/>
  <c r="D32" i="6"/>
  <c r="D31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B339" i="2" l="1"/>
  <c r="B462" i="2"/>
  <c r="B543" i="2"/>
  <c r="B700" i="2"/>
  <c r="B564" i="2"/>
  <c r="B588" i="2"/>
  <c r="B667" i="2"/>
  <c r="B728" i="2"/>
  <c r="B452" i="2"/>
  <c r="B723" i="2"/>
  <c r="B453" i="2"/>
  <c r="B378" i="2"/>
  <c r="B567" i="2"/>
  <c r="B636" i="2"/>
  <c r="B497" i="2"/>
  <c r="B468" i="2"/>
  <c r="B657" i="2"/>
  <c r="B686" i="2"/>
  <c r="B544" i="2"/>
  <c r="B716" i="2"/>
  <c r="B299" i="2"/>
  <c r="B300" i="2"/>
  <c r="B372" i="2"/>
  <c r="B301" i="2"/>
  <c r="B495" i="2"/>
  <c r="B701" i="2"/>
  <c r="B592" i="2"/>
  <c r="B341" i="2"/>
  <c r="B586" i="2"/>
  <c r="B623" i="2"/>
  <c r="B545" i="2"/>
  <c r="B454" i="2"/>
  <c r="B353" i="2"/>
  <c r="B354" i="2"/>
  <c r="B624" i="2"/>
  <c r="B587" i="2"/>
  <c r="B565" i="2"/>
  <c r="B259" i="2"/>
  <c r="B455" i="2"/>
  <c r="B776" i="2"/>
  <c r="B489" i="2"/>
  <c r="B35" i="2"/>
  <c r="B622" i="2"/>
  <c r="B231" i="2"/>
  <c r="B451" i="2"/>
  <c r="B458" i="2"/>
  <c r="B464" i="2"/>
  <c r="B223" i="2"/>
  <c r="B775" i="2"/>
  <c r="B287" i="2"/>
  <c r="B370" i="2"/>
  <c r="B542" i="2"/>
  <c r="B685" i="2"/>
  <c r="B344" i="2"/>
  <c r="B121" i="2"/>
  <c r="B637" i="2"/>
  <c r="B659" i="2"/>
  <c r="B660" i="2"/>
  <c r="B695" i="2"/>
  <c r="B672" i="2"/>
  <c r="B505" i="2"/>
  <c r="B549" i="2"/>
  <c r="B551" i="2"/>
  <c r="B729" i="2"/>
  <c r="B626" i="2"/>
  <c r="B675" i="2"/>
  <c r="B658" i="2"/>
  <c r="B249" i="2"/>
  <c r="B633" i="2"/>
  <c r="B559" i="2"/>
  <c r="B688" i="2"/>
  <c r="B689" i="2"/>
  <c r="B99" i="2"/>
  <c r="B671" i="2"/>
  <c r="B570" i="2"/>
  <c r="B765" i="2"/>
  <c r="B679" i="2"/>
  <c r="B604" i="2"/>
  <c r="B680" i="2"/>
  <c r="B527" i="2"/>
  <c r="B647" i="2"/>
  <c r="B504" i="2"/>
  <c r="B643" i="2"/>
  <c r="B582" i="2"/>
  <c r="B591" i="2"/>
  <c r="B632" i="2"/>
  <c r="B499" i="2"/>
  <c r="B213" i="2"/>
  <c r="B114" i="2"/>
  <c r="B41" i="2"/>
  <c r="B319" i="2"/>
  <c r="B235" i="2"/>
  <c r="B423" i="2"/>
  <c r="B32" i="2"/>
  <c r="B208" i="2"/>
  <c r="B294" i="2"/>
  <c r="B722" i="2"/>
  <c r="B589" i="2"/>
  <c r="B725" i="2"/>
  <c r="B731" i="2"/>
  <c r="B732" i="2"/>
  <c r="B696" i="2"/>
  <c r="B727" i="2"/>
  <c r="B134" i="2"/>
  <c r="B88" i="2"/>
  <c r="B100" i="2"/>
  <c r="B180" i="2"/>
  <c r="B365" i="2"/>
  <c r="B366" i="2"/>
  <c r="B388" i="2"/>
  <c r="B439" i="2"/>
  <c r="B91" i="2"/>
  <c r="B238" i="2"/>
  <c r="B27" i="2"/>
  <c r="B31" i="2"/>
  <c r="B167" i="2"/>
  <c r="B69" i="2"/>
  <c r="B108" i="2"/>
  <c r="B118" i="2"/>
  <c r="B225" i="2"/>
  <c r="B198" i="2"/>
  <c r="B293" i="2"/>
  <c r="B724" i="2"/>
  <c r="B335" i="2" l="1"/>
  <c r="B726" i="2"/>
  <c r="B678" i="2"/>
  <c r="B721" i="2"/>
  <c r="B477" i="2"/>
  <c r="B503" i="2"/>
  <c r="B469" i="2"/>
  <c r="B387" i="2"/>
  <c r="B590" i="2"/>
  <c r="B645" i="2"/>
  <c r="B557" i="2"/>
  <c r="B558" i="2"/>
  <c r="B642" i="2"/>
  <c r="B404" i="2"/>
  <c r="B641" i="2"/>
  <c r="B357" i="2"/>
  <c r="B515" i="2"/>
  <c r="B342" i="2"/>
  <c r="B593" i="2"/>
  <c r="B594" i="2"/>
  <c r="B556" i="2"/>
  <c r="B348" i="2"/>
  <c r="B349" i="2"/>
  <c r="B438" i="2"/>
  <c r="B408" i="2"/>
  <c r="B711" i="2"/>
  <c r="B466" i="2"/>
  <c r="B476" i="2"/>
  <c r="B677" i="2"/>
  <c r="B209" i="2"/>
  <c r="B307" i="2"/>
  <c r="B407" i="2"/>
  <c r="B204" i="2"/>
  <c r="B205" i="2"/>
  <c r="B159" i="2"/>
  <c r="B762" i="2"/>
  <c r="B364" i="2"/>
  <c r="B78" i="2"/>
  <c r="B512" i="2"/>
  <c r="B340" i="2"/>
  <c r="B526" i="2"/>
  <c r="B500" i="2"/>
  <c r="B403" i="2"/>
  <c r="B371" i="2"/>
  <c r="B425" i="2"/>
  <c r="B418" i="2"/>
  <c r="B547" i="2"/>
  <c r="B276" i="2"/>
  <c r="B220" i="2"/>
  <c r="B212" i="2"/>
  <c r="B345" i="2"/>
  <c r="B334" i="2"/>
  <c r="B72" i="2"/>
  <c r="B128" i="2"/>
  <c r="B155" i="2"/>
  <c r="B376" i="2"/>
  <c r="B572" i="2"/>
  <c r="B763" i="2"/>
  <c r="B280" i="2"/>
  <c r="B296" i="2"/>
  <c r="B377" i="2"/>
  <c r="B429" i="2"/>
  <c r="B158" i="2"/>
  <c r="B373" i="2"/>
  <c r="B56" i="2"/>
  <c r="B168" i="2"/>
  <c r="B250" i="2"/>
  <c r="B764" i="2"/>
  <c r="B603" i="2"/>
  <c r="B386" i="2"/>
  <c r="B437" i="2"/>
  <c r="B475" i="2"/>
  <c r="B384" i="2"/>
  <c r="B305" i="2"/>
  <c r="B601" i="2"/>
  <c r="B602" i="2"/>
  <c r="B436" i="2"/>
  <c r="B385" i="2"/>
  <c r="B555" i="2"/>
  <c r="B347" i="2"/>
  <c r="B525" i="2"/>
  <c r="B166" i="2"/>
  <c r="B761" i="2"/>
  <c r="B427" i="2"/>
  <c r="B599" i="2"/>
  <c r="B435" i="2"/>
  <c r="B600" i="2"/>
  <c r="B474" i="2"/>
  <c r="B523" i="2"/>
  <c r="B524" i="2"/>
  <c r="B521" i="2"/>
  <c r="B578" i="2"/>
  <c r="B498" i="2"/>
  <c r="B433" i="2"/>
  <c r="B434" i="2"/>
  <c r="B522" i="2"/>
  <c r="B456" i="2"/>
  <c r="B554" i="2"/>
  <c r="B318" i="2"/>
  <c r="B692" i="2"/>
  <c r="B383" i="2"/>
  <c r="B117" i="2"/>
  <c r="B153" i="2"/>
  <c r="B102" i="2"/>
  <c r="B103" i="2"/>
  <c r="B254" i="2"/>
  <c r="B124" i="2"/>
  <c r="B163" i="2"/>
  <c r="B80" i="2"/>
  <c r="B268" i="2"/>
  <c r="B275" i="2"/>
  <c r="B281" i="2"/>
  <c r="B95" i="2"/>
  <c r="B44" i="2"/>
  <c r="B60" i="2"/>
  <c r="B292" i="2"/>
  <c r="B110" i="2"/>
  <c r="B98" i="2"/>
  <c r="B47" i="2"/>
  <c r="B149" i="2"/>
  <c r="B304" i="2"/>
  <c r="B126" i="2"/>
  <c r="B139" i="2"/>
  <c r="B96" i="2"/>
  <c r="B312" i="2"/>
  <c r="B313" i="2"/>
  <c r="B314" i="2"/>
  <c r="B152" i="2"/>
  <c r="B101" i="2"/>
  <c r="B332" i="2"/>
  <c r="B346" i="2"/>
  <c r="B430" i="2"/>
  <c r="B57" i="2"/>
  <c r="B43" i="2"/>
  <c r="B431" i="2"/>
  <c r="B490" i="2"/>
  <c r="B164" i="2"/>
  <c r="B151" i="2"/>
  <c r="B174" i="2"/>
  <c r="B747" i="2"/>
  <c r="B746" i="2"/>
  <c r="B745" i="2"/>
  <c r="B749" i="2"/>
  <c r="B748" i="2"/>
  <c r="B752" i="2"/>
  <c r="B750" i="2"/>
  <c r="B751" i="2"/>
  <c r="B7" i="2"/>
  <c r="B84" i="2"/>
  <c r="B16" i="2"/>
  <c r="B73" i="2"/>
  <c r="B13" i="2"/>
  <c r="B20" i="2"/>
  <c r="B23" i="2"/>
  <c r="B782" i="2"/>
  <c r="B74" i="2"/>
  <c r="B11" i="2"/>
  <c r="B46" i="2"/>
  <c r="B21" i="2"/>
  <c r="B93" i="2"/>
  <c r="B33" i="2"/>
  <c r="B92" i="2"/>
  <c r="B68" i="2"/>
  <c r="B66" i="2"/>
  <c r="B147" i="2"/>
  <c r="B89" i="2"/>
  <c r="B52" i="2"/>
  <c r="B94" i="2"/>
  <c r="B75" i="2"/>
  <c r="B54" i="2"/>
  <c r="B119" i="2"/>
  <c r="B49" i="2"/>
  <c r="B70" i="2"/>
  <c r="B87" i="2"/>
  <c r="B58" i="2"/>
  <c r="B77" i="2"/>
  <c r="B123" i="2"/>
  <c r="B97" i="2"/>
  <c r="B85" i="2"/>
  <c r="B90" i="2"/>
  <c r="B37" i="2"/>
  <c r="B24" i="2"/>
  <c r="B25" i="2"/>
  <c r="B53" i="2"/>
  <c r="B26" i="2"/>
  <c r="B19" i="2"/>
  <c r="B22" i="2"/>
  <c r="B63" i="2"/>
  <c r="B315" i="2"/>
  <c r="B288" i="2"/>
  <c r="B517" i="2"/>
  <c r="B358" i="2"/>
  <c r="B81" i="2"/>
  <c r="B8" i="2"/>
  <c r="B316" i="2"/>
  <c r="B381" i="2"/>
  <c r="B277" i="2"/>
  <c r="B595" i="2"/>
  <c r="B317" i="2"/>
  <c r="B278" i="2"/>
  <c r="B17" i="2"/>
  <c r="B646" i="2"/>
  <c r="B472" i="2"/>
  <c r="B502" i="2"/>
  <c r="B269" i="2"/>
  <c r="B28" i="2"/>
  <c r="B62" i="2"/>
  <c r="B86" i="2"/>
  <c r="B120" i="2"/>
  <c r="B157" i="2"/>
  <c r="B132" i="2"/>
  <c r="B760" i="2"/>
  <c r="B597" i="2"/>
  <c r="B38" i="2"/>
  <c r="B160" i="2"/>
  <c r="B282" i="2"/>
  <c r="B224" i="2"/>
  <c r="B230" i="2"/>
  <c r="B236" i="2"/>
  <c r="B137" i="2"/>
  <c r="B65" i="2"/>
  <c r="B193" i="2"/>
  <c r="B206" i="2"/>
  <c r="B221" i="2"/>
  <c r="B162" i="2"/>
  <c r="B109" i="2"/>
  <c r="B161" i="2"/>
  <c r="B106" i="2"/>
  <c r="B176" i="2"/>
  <c r="B177" i="2"/>
  <c r="B183" i="2"/>
  <c r="B5" i="2"/>
  <c r="B754" i="2"/>
  <c r="B755" i="2"/>
  <c r="B756" i="2"/>
  <c r="B757" i="2"/>
  <c r="B781" i="2"/>
  <c r="B758" i="2"/>
  <c r="B10" i="2"/>
  <c r="B12" i="2"/>
  <c r="B6" i="2"/>
  <c r="B14" i="2"/>
  <c r="B3" i="2"/>
  <c r="B2" i="2"/>
  <c r="B4" i="2"/>
  <c r="B30" i="2"/>
  <c r="B734" i="2"/>
  <c r="B741" i="2"/>
  <c r="B753" i="2"/>
  <c r="B744" i="2"/>
  <c r="D3" i="6" l="1"/>
  <c r="C3" i="6"/>
  <c r="B742" i="2" l="1"/>
  <c r="B18" i="2"/>
  <c r="B36" i="2"/>
  <c r="B516" i="2"/>
  <c r="B736" i="2"/>
  <c r="B739" i="2"/>
  <c r="B743" i="2"/>
  <c r="B29" i="2"/>
  <c r="B42" i="2"/>
  <c r="B733" i="2"/>
  <c r="B737" i="2"/>
  <c r="B740" i="2"/>
  <c r="B501" i="2"/>
  <c r="B735" i="2"/>
  <c r="B738" i="2"/>
  <c r="C321" i="2" l="1"/>
  <c r="C138" i="2"/>
  <c r="C200" i="2"/>
  <c r="C420" i="2"/>
  <c r="C187" i="2"/>
  <c r="C191" i="2"/>
  <c r="C285" i="2"/>
  <c r="C390" i="2"/>
  <c r="C111" i="2"/>
  <c r="C322" i="2"/>
  <c r="C323" i="2"/>
  <c r="C391" i="2"/>
  <c r="C257" i="2"/>
  <c r="C215" i="2"/>
  <c r="C770" i="2"/>
  <c r="C531" i="2"/>
  <c r="C175" i="2"/>
  <c r="C48" i="2"/>
  <c r="C261" i="2"/>
  <c r="C154" i="2"/>
  <c r="C379" i="2"/>
  <c r="C113" i="2"/>
  <c r="C55" i="2"/>
  <c r="C201" i="2"/>
  <c r="C309" i="2"/>
  <c r="C605" i="2"/>
  <c r="C478" i="2"/>
  <c r="C302" i="2"/>
  <c r="C360" i="2"/>
  <c r="C361" i="2"/>
  <c r="C442" i="2"/>
  <c r="C210" i="2"/>
  <c r="C421" i="2"/>
  <c r="C712" i="2"/>
  <c r="C290" i="2"/>
  <c r="C443" i="2"/>
  <c r="C336" i="2"/>
  <c r="C444" i="2"/>
  <c r="C682" i="2"/>
  <c r="C306" i="2"/>
  <c r="C227" i="2"/>
  <c r="C195" i="2"/>
  <c r="C252" i="2"/>
  <c r="C713" i="2"/>
  <c r="C185" i="2"/>
  <c r="C170" i="2"/>
  <c r="C295" i="2"/>
  <c r="C184" i="2"/>
  <c r="C401" i="2"/>
  <c r="C310" i="2"/>
  <c r="C479" i="2"/>
  <c r="C480" i="2"/>
  <c r="C481" i="2"/>
  <c r="C532" i="2"/>
  <c r="C771" i="2"/>
  <c r="C460" i="2"/>
  <c r="C772" i="2"/>
  <c r="C513" i="2"/>
  <c r="C482" i="2"/>
  <c r="C483" i="2"/>
  <c r="C484" i="2"/>
  <c r="C507" i="2"/>
  <c r="C508" i="2"/>
  <c r="C571" i="2"/>
  <c r="C405" i="2"/>
  <c r="C492" i="2"/>
  <c r="C606" i="2"/>
  <c r="C583" i="2"/>
  <c r="C674" i="2"/>
  <c r="C584" i="2"/>
  <c r="C367" i="2"/>
  <c r="C445" i="2"/>
  <c r="C697" i="2"/>
  <c r="C233" i="2"/>
  <c r="C402" i="2"/>
  <c r="C607" i="2"/>
  <c r="C496" i="2"/>
  <c r="C324" i="2"/>
  <c r="C463" i="2"/>
  <c r="C186" i="2"/>
  <c r="C560" i="2"/>
  <c r="C459" i="2"/>
  <c r="C634" i="2"/>
  <c r="C630" i="2"/>
  <c r="C608" i="2"/>
  <c r="C428" i="2"/>
  <c r="C533" i="2"/>
  <c r="C325" i="2"/>
  <c r="C609" i="2"/>
  <c r="C635" i="2"/>
  <c r="C687" i="2"/>
  <c r="C485" i="2"/>
  <c r="C546" i="2"/>
  <c r="C486" i="2"/>
  <c r="C610" i="2"/>
  <c r="C446" i="2"/>
  <c r="C611" i="2"/>
  <c r="C447" i="2"/>
  <c r="C298" i="2"/>
  <c r="C172" i="2"/>
  <c r="C424" i="2"/>
  <c r="C392" i="2"/>
  <c r="C534" i="2"/>
  <c r="C228" i="2"/>
  <c r="C393" i="2"/>
  <c r="C146" i="2"/>
  <c r="C359" i="2"/>
  <c r="C326" i="2"/>
  <c r="C217" i="2"/>
  <c r="C179" i="2"/>
  <c r="C448" i="2"/>
  <c r="C327" i="2"/>
  <c r="C394" i="2"/>
  <c r="C258" i="2"/>
  <c r="C706" i="2"/>
  <c r="C628" i="2"/>
  <c r="C328" i="2"/>
  <c r="C535" i="2"/>
  <c r="C194" i="2"/>
  <c r="C202" i="2"/>
  <c r="C329" i="2"/>
  <c r="C409" i="2"/>
  <c r="C368" i="2"/>
  <c r="C410" i="2"/>
  <c r="C612" i="2"/>
  <c r="C395" i="2"/>
  <c r="C352" i="2"/>
  <c r="C449" i="2"/>
  <c r="C396" i="2"/>
  <c r="C397" i="2"/>
  <c r="C450" i="2"/>
  <c r="C411" i="2"/>
  <c r="C487" i="2"/>
  <c r="C536" i="2"/>
  <c r="C142" i="2"/>
  <c r="C218" i="2"/>
  <c r="C173" i="2"/>
  <c r="C509" i="2"/>
  <c r="C286" i="2"/>
  <c r="C181" i="2"/>
  <c r="C140" i="2"/>
  <c r="C308" i="2"/>
  <c r="C673" i="2"/>
  <c r="C665" i="2"/>
  <c r="C416" i="2"/>
  <c r="C653" i="2"/>
  <c r="C362" i="2"/>
  <c r="C629" i="2"/>
  <c r="C398" i="2"/>
  <c r="C573" i="2"/>
  <c r="C136" i="2"/>
  <c r="C311" i="2"/>
  <c r="C638" i="2"/>
  <c r="C247" i="2"/>
  <c r="C207" i="2"/>
  <c r="C144" i="2"/>
  <c r="C337" i="2"/>
  <c r="C422" i="2"/>
  <c r="C704" i="2"/>
  <c r="C654" i="2"/>
  <c r="C693" i="2"/>
  <c r="C417" i="2"/>
  <c r="C639" i="2"/>
  <c r="C574" i="2"/>
  <c r="C575" i="2"/>
  <c r="C714" i="2"/>
  <c r="C399" i="2"/>
  <c r="C105" i="2"/>
  <c r="C274" i="2"/>
  <c r="C470" i="2"/>
  <c r="C613" i="2"/>
  <c r="C165" i="2"/>
  <c r="C537" i="2"/>
  <c r="C538" i="2"/>
  <c r="C255" i="2"/>
  <c r="C705" i="2"/>
  <c r="C192" i="2"/>
  <c r="C248" i="2"/>
  <c r="C291" i="2"/>
  <c r="C226" i="2"/>
  <c r="C234" i="2"/>
  <c r="C338" i="2"/>
  <c r="C548" i="2"/>
  <c r="C400" i="2"/>
  <c r="C412" i="2"/>
  <c r="C510" i="2"/>
  <c r="C511" i="2"/>
  <c r="C263" i="2"/>
  <c r="C264" i="2"/>
  <c r="C265" i="2"/>
  <c r="C266" i="2"/>
  <c r="C267" i="2"/>
  <c r="C262" i="2"/>
  <c r="C79" i="2"/>
  <c r="C644" i="2"/>
  <c r="C614" i="2"/>
  <c r="C488" i="2"/>
  <c r="C413" i="2"/>
  <c r="D321" i="2"/>
  <c r="D138" i="2"/>
  <c r="D200" i="2"/>
  <c r="D420" i="2"/>
  <c r="D187" i="2"/>
  <c r="D191" i="2"/>
  <c r="D285" i="2"/>
  <c r="D390" i="2"/>
  <c r="D111" i="2"/>
  <c r="D322" i="2"/>
  <c r="D323" i="2"/>
  <c r="D391" i="2"/>
  <c r="D257" i="2"/>
  <c r="D215" i="2"/>
  <c r="D770" i="2"/>
  <c r="D531" i="2"/>
  <c r="D175" i="2"/>
  <c r="D48" i="2"/>
  <c r="D261" i="2"/>
  <c r="D154" i="2"/>
  <c r="D379" i="2"/>
  <c r="D113" i="2"/>
  <c r="D55" i="2"/>
  <c r="D201" i="2"/>
  <c r="D309" i="2"/>
  <c r="D605" i="2"/>
  <c r="D478" i="2"/>
  <c r="D302" i="2"/>
  <c r="D360" i="2"/>
  <c r="D361" i="2"/>
  <c r="D442" i="2"/>
  <c r="D210" i="2"/>
  <c r="D421" i="2"/>
  <c r="D712" i="2"/>
  <c r="D290" i="2"/>
  <c r="D443" i="2"/>
  <c r="D336" i="2"/>
  <c r="D444" i="2"/>
  <c r="D682" i="2"/>
  <c r="D306" i="2"/>
  <c r="D227" i="2"/>
  <c r="D195" i="2"/>
  <c r="D252" i="2"/>
  <c r="D713" i="2"/>
  <c r="D185" i="2"/>
  <c r="D170" i="2"/>
  <c r="D295" i="2"/>
  <c r="D184" i="2"/>
  <c r="D401" i="2"/>
  <c r="D310" i="2"/>
  <c r="D479" i="2"/>
  <c r="D480" i="2"/>
  <c r="D481" i="2"/>
  <c r="D532" i="2"/>
  <c r="D771" i="2"/>
  <c r="D460" i="2"/>
  <c r="D772" i="2"/>
  <c r="D513" i="2"/>
  <c r="D482" i="2"/>
  <c r="D483" i="2"/>
  <c r="D484" i="2"/>
  <c r="D507" i="2"/>
  <c r="D508" i="2"/>
  <c r="D571" i="2"/>
  <c r="D405" i="2"/>
  <c r="D492" i="2"/>
  <c r="D606" i="2"/>
  <c r="D583" i="2"/>
  <c r="D674" i="2"/>
  <c r="D584" i="2"/>
  <c r="D367" i="2"/>
  <c r="D445" i="2"/>
  <c r="D697" i="2"/>
  <c r="D233" i="2"/>
  <c r="D402" i="2"/>
  <c r="D607" i="2"/>
  <c r="D496" i="2"/>
  <c r="D324" i="2"/>
  <c r="D463" i="2"/>
  <c r="D186" i="2"/>
  <c r="D560" i="2"/>
  <c r="D459" i="2"/>
  <c r="D634" i="2"/>
  <c r="D630" i="2"/>
  <c r="D608" i="2"/>
  <c r="D428" i="2"/>
  <c r="D533" i="2"/>
  <c r="D325" i="2"/>
  <c r="D609" i="2"/>
  <c r="D635" i="2"/>
  <c r="D687" i="2"/>
  <c r="D485" i="2"/>
  <c r="D546" i="2"/>
  <c r="D486" i="2"/>
  <c r="D610" i="2"/>
  <c r="D446" i="2"/>
  <c r="D611" i="2"/>
  <c r="D447" i="2"/>
  <c r="D298" i="2"/>
  <c r="D172" i="2"/>
  <c r="D424" i="2"/>
  <c r="D392" i="2"/>
  <c r="D534" i="2"/>
  <c r="D228" i="2"/>
  <c r="D393" i="2"/>
  <c r="D146" i="2"/>
  <c r="D359" i="2"/>
  <c r="D326" i="2"/>
  <c r="D217" i="2"/>
  <c r="D179" i="2"/>
  <c r="D448" i="2"/>
  <c r="D327" i="2"/>
  <c r="D394" i="2"/>
  <c r="D258" i="2"/>
  <c r="D706" i="2"/>
  <c r="D628" i="2"/>
  <c r="D328" i="2"/>
  <c r="D535" i="2"/>
  <c r="D194" i="2"/>
  <c r="D202" i="2"/>
  <c r="D329" i="2"/>
  <c r="D409" i="2"/>
  <c r="D368" i="2"/>
  <c r="D410" i="2"/>
  <c r="D612" i="2"/>
  <c r="D395" i="2"/>
  <c r="D352" i="2"/>
  <c r="D449" i="2"/>
  <c r="D396" i="2"/>
  <c r="D397" i="2"/>
  <c r="D450" i="2"/>
  <c r="D411" i="2"/>
  <c r="D487" i="2"/>
  <c r="D536" i="2"/>
  <c r="D142" i="2"/>
  <c r="D218" i="2"/>
  <c r="D173" i="2"/>
  <c r="D509" i="2"/>
  <c r="D286" i="2"/>
  <c r="D181" i="2"/>
  <c r="D140" i="2"/>
  <c r="D308" i="2"/>
  <c r="D673" i="2"/>
  <c r="D665" i="2"/>
  <c r="D416" i="2"/>
  <c r="D653" i="2"/>
  <c r="D362" i="2"/>
  <c r="D629" i="2"/>
  <c r="D398" i="2"/>
  <c r="D573" i="2"/>
  <c r="D136" i="2"/>
  <c r="D311" i="2"/>
  <c r="D638" i="2"/>
  <c r="D247" i="2"/>
  <c r="D207" i="2"/>
  <c r="D144" i="2"/>
  <c r="D337" i="2"/>
  <c r="D422" i="2"/>
  <c r="D704" i="2"/>
  <c r="D654" i="2"/>
  <c r="D693" i="2"/>
  <c r="D417" i="2"/>
  <c r="D639" i="2"/>
  <c r="D574" i="2"/>
  <c r="D575" i="2"/>
  <c r="D714" i="2"/>
  <c r="D399" i="2"/>
  <c r="D105" i="2"/>
  <c r="D274" i="2"/>
  <c r="D470" i="2"/>
  <c r="D613" i="2"/>
  <c r="D165" i="2"/>
  <c r="D537" i="2"/>
  <c r="D538" i="2"/>
  <c r="D255" i="2"/>
  <c r="D705" i="2"/>
  <c r="D192" i="2"/>
  <c r="D248" i="2"/>
  <c r="D291" i="2"/>
  <c r="D226" i="2"/>
  <c r="D234" i="2"/>
  <c r="D338" i="2"/>
  <c r="D548" i="2"/>
  <c r="D400" i="2"/>
  <c r="D412" i="2"/>
  <c r="D510" i="2"/>
  <c r="D511" i="2"/>
  <c r="D263" i="2"/>
  <c r="D264" i="2"/>
  <c r="D265" i="2"/>
  <c r="D266" i="2"/>
  <c r="D267" i="2"/>
  <c r="D262" i="2"/>
  <c r="D79" i="2"/>
  <c r="D644" i="2"/>
  <c r="D614" i="2"/>
  <c r="D488" i="2"/>
  <c r="D413" i="2"/>
  <c r="C333" i="2"/>
  <c r="C214" i="2"/>
  <c r="C529" i="2"/>
  <c r="C568" i="2"/>
  <c r="C702" i="2"/>
  <c r="C681" i="2"/>
  <c r="C506" i="2"/>
  <c r="C768" i="2"/>
  <c r="C169" i="2"/>
  <c r="C150" i="2"/>
  <c r="C270" i="2"/>
  <c r="C239" i="2"/>
  <c r="C320" i="2"/>
  <c r="C350" i="2"/>
  <c r="C283" i="2"/>
  <c r="C284" i="2"/>
  <c r="C289" i="2"/>
  <c r="C530" i="2"/>
  <c r="C271" i="2"/>
  <c r="C272" i="2"/>
  <c r="C273" i="2"/>
  <c r="C199" i="2"/>
  <c r="C145" i="2"/>
  <c r="C491" i="2"/>
  <c r="C440" i="2"/>
  <c r="C133" i="2"/>
  <c r="C769" i="2"/>
  <c r="C240" i="2"/>
  <c r="C241" i="2"/>
  <c r="C229" i="2"/>
  <c r="C585" i="2"/>
  <c r="C414" i="2"/>
  <c r="C552" i="2"/>
  <c r="C666" i="2"/>
  <c r="C715" i="2"/>
  <c r="C683" i="2"/>
  <c r="C684" i="2"/>
  <c r="C415" i="2"/>
  <c r="C698" i="2"/>
  <c r="C493" i="2"/>
  <c r="C773" i="2"/>
  <c r="C690" i="2"/>
  <c r="C615" i="2"/>
  <c r="C539" i="2"/>
  <c r="C561" i="2"/>
  <c r="C514" i="2"/>
  <c r="C699" i="2"/>
  <c r="C494" i="2"/>
  <c r="C648" i="2"/>
  <c r="C691" i="2"/>
  <c r="C369" i="2"/>
  <c r="C562" i="2"/>
  <c r="C330" i="2"/>
  <c r="C242" i="2"/>
  <c r="C243" i="2"/>
  <c r="C244" i="2"/>
  <c r="C245" i="2"/>
  <c r="C616" i="2"/>
  <c r="C617" i="2"/>
  <c r="C618" i="2"/>
  <c r="C655" i="2"/>
  <c r="C619" i="2"/>
  <c r="C656" i="2"/>
  <c r="C540" i="2"/>
  <c r="C620" i="2"/>
  <c r="C331" i="2"/>
  <c r="C621" i="2"/>
  <c r="C774" i="2"/>
  <c r="C246" i="2"/>
  <c r="C563" i="2"/>
  <c r="C541" i="2"/>
  <c r="C566" i="2"/>
  <c r="D333" i="2"/>
  <c r="D214" i="2"/>
  <c r="D529" i="2"/>
  <c r="D568" i="2"/>
  <c r="D702" i="2"/>
  <c r="D681" i="2"/>
  <c r="D506" i="2"/>
  <c r="D768" i="2"/>
  <c r="D169" i="2"/>
  <c r="D150" i="2"/>
  <c r="D270" i="2"/>
  <c r="D239" i="2"/>
  <c r="D320" i="2"/>
  <c r="D350" i="2"/>
  <c r="D283" i="2"/>
  <c r="D284" i="2"/>
  <c r="D289" i="2"/>
  <c r="D530" i="2"/>
  <c r="D271" i="2"/>
  <c r="D272" i="2"/>
  <c r="D273" i="2"/>
  <c r="D199" i="2"/>
  <c r="D145" i="2"/>
  <c r="D491" i="2"/>
  <c r="D440" i="2"/>
  <c r="D133" i="2"/>
  <c r="D769" i="2"/>
  <c r="D240" i="2"/>
  <c r="D241" i="2"/>
  <c r="D229" i="2"/>
  <c r="D585" i="2"/>
  <c r="D414" i="2"/>
  <c r="D552" i="2"/>
  <c r="D666" i="2"/>
  <c r="D715" i="2"/>
  <c r="D683" i="2"/>
  <c r="D684" i="2"/>
  <c r="D415" i="2"/>
  <c r="D698" i="2"/>
  <c r="D493" i="2"/>
  <c r="D773" i="2"/>
  <c r="D690" i="2"/>
  <c r="D615" i="2"/>
  <c r="D539" i="2"/>
  <c r="D561" i="2"/>
  <c r="D514" i="2"/>
  <c r="D699" i="2"/>
  <c r="D494" i="2"/>
  <c r="D648" i="2"/>
  <c r="D691" i="2"/>
  <c r="D369" i="2"/>
  <c r="D562" i="2"/>
  <c r="D330" i="2"/>
  <c r="D242" i="2"/>
  <c r="D243" i="2"/>
  <c r="D244" i="2"/>
  <c r="D245" i="2"/>
  <c r="D616" i="2"/>
  <c r="D617" i="2"/>
  <c r="D618" i="2"/>
  <c r="D655" i="2"/>
  <c r="D619" i="2"/>
  <c r="D656" i="2"/>
  <c r="D540" i="2"/>
  <c r="D620" i="2"/>
  <c r="D331" i="2"/>
  <c r="D621" i="2"/>
  <c r="D774" i="2"/>
  <c r="D246" i="2"/>
  <c r="D563" i="2"/>
  <c r="D541" i="2"/>
  <c r="D566" i="2"/>
  <c r="D166" i="2"/>
  <c r="D692" i="2"/>
  <c r="D645" i="2"/>
  <c r="D190" i="2"/>
  <c r="C190" i="2"/>
  <c r="D9" i="2"/>
  <c r="C9" i="2"/>
  <c r="D426" i="2"/>
  <c r="D50" i="2"/>
  <c r="C50" i="2"/>
  <c r="C426" i="2"/>
  <c r="D596" i="2"/>
  <c r="D432" i="2"/>
  <c r="D237" i="2"/>
  <c r="D663" i="2"/>
  <c r="C663" i="2"/>
  <c r="C432" i="2"/>
  <c r="C596" i="2"/>
  <c r="C237" i="2"/>
  <c r="D382" i="2"/>
  <c r="D518" i="2"/>
  <c r="D189" i="2"/>
  <c r="D71" i="2"/>
  <c r="D171" i="2"/>
  <c r="C518" i="2"/>
  <c r="C382" i="2"/>
  <c r="C189" i="2"/>
  <c r="C71" i="2"/>
  <c r="C171" i="2"/>
  <c r="D51" i="2"/>
  <c r="D135" i="2"/>
  <c r="D39" i="2"/>
  <c r="C135" i="2"/>
  <c r="C39" i="2"/>
  <c r="C51" i="2"/>
  <c r="D279" i="2"/>
  <c r="C631" i="2"/>
  <c r="D576" i="2"/>
  <c r="D720" i="2"/>
  <c r="C461" i="2"/>
  <c r="D651" i="2"/>
  <c r="D703" i="2"/>
  <c r="C627" i="2"/>
  <c r="D627" i="2"/>
  <c r="C720" i="2"/>
  <c r="D718" i="2"/>
  <c r="D709" i="2"/>
  <c r="D719" i="2"/>
  <c r="D710" i="2"/>
  <c r="C703" i="2"/>
  <c r="D708" i="2"/>
  <c r="D730" i="2"/>
  <c r="D631" i="2"/>
  <c r="C709" i="2"/>
  <c r="D649" i="2"/>
  <c r="D550" i="2"/>
  <c r="C553" i="2"/>
  <c r="C710" i="2"/>
  <c r="D652" i="2"/>
  <c r="D662" i="2"/>
  <c r="C550" i="2"/>
  <c r="D707" i="2"/>
  <c r="C730" i="2"/>
  <c r="D343" i="2"/>
  <c r="D694" i="2"/>
  <c r="D461" i="2"/>
  <c r="D676" i="2"/>
  <c r="D553" i="2"/>
  <c r="C576" i="2"/>
  <c r="C343" i="2"/>
  <c r="C279" i="2"/>
  <c r="C662" i="2"/>
  <c r="C652" i="2"/>
  <c r="C708" i="2"/>
  <c r="C719" i="2"/>
  <c r="C707" i="2"/>
  <c r="C718" i="2"/>
  <c r="C649" i="2"/>
  <c r="C651" i="2"/>
  <c r="C676" i="2"/>
  <c r="C694" i="2"/>
  <c r="D67" i="2"/>
  <c r="C67" i="2"/>
  <c r="D203" i="2"/>
  <c r="D40" i="2"/>
  <c r="D45" i="2"/>
  <c r="C40" i="2"/>
  <c r="C203" i="2"/>
  <c r="C45" i="2"/>
  <c r="D131" i="2"/>
  <c r="D260" i="2"/>
  <c r="D256" i="2"/>
  <c r="D143" i="2"/>
  <c r="C256" i="2"/>
  <c r="C260" i="2"/>
  <c r="D197" i="2"/>
  <c r="C131" i="2"/>
  <c r="C143" i="2"/>
  <c r="C197" i="2"/>
  <c r="D471" i="2"/>
  <c r="C471" i="2"/>
  <c r="D380" i="2"/>
  <c r="D355" i="2"/>
  <c r="C355" i="2"/>
  <c r="C380" i="2"/>
  <c r="D76" i="2"/>
  <c r="D64" i="2"/>
  <c r="D129" i="2"/>
  <c r="D759" i="2"/>
  <c r="D82" i="2"/>
  <c r="C76" i="2"/>
  <c r="C759" i="2"/>
  <c r="C82" i="2"/>
  <c r="C129" i="2"/>
  <c r="C64" i="2"/>
  <c r="C740" i="2"/>
  <c r="C737" i="2"/>
  <c r="C733" i="2"/>
  <c r="C42" i="2"/>
  <c r="D232" i="2"/>
  <c r="D148" i="2"/>
  <c r="D115" i="2"/>
  <c r="D141" i="2"/>
  <c r="D116" i="2"/>
  <c r="D650" i="2"/>
  <c r="D196" i="2"/>
  <c r="D465" i="2"/>
  <c r="D780" i="2"/>
  <c r="D222" i="2"/>
  <c r="D303" i="2"/>
  <c r="C780" i="2"/>
  <c r="C650" i="2"/>
  <c r="C148" i="2"/>
  <c r="C303" i="2"/>
  <c r="C141" i="2"/>
  <c r="C222" i="2"/>
  <c r="C115" i="2"/>
  <c r="C465" i="2"/>
  <c r="C232" i="2"/>
  <c r="C116" i="2"/>
  <c r="C196" i="2"/>
  <c r="C114" i="2"/>
  <c r="C464" i="2"/>
  <c r="C559" i="2"/>
  <c r="C591" i="2"/>
  <c r="C582" i="2"/>
  <c r="C729" i="2"/>
  <c r="C551" i="2"/>
  <c r="C549" i="2"/>
  <c r="C689" i="2"/>
  <c r="C604" i="2"/>
  <c r="C41" i="2"/>
  <c r="C724" i="2"/>
  <c r="C293" i="2"/>
  <c r="C198" i="2"/>
  <c r="C99" i="2"/>
  <c r="C685" i="2"/>
  <c r="C542" i="2"/>
  <c r="C370" i="2"/>
  <c r="C505" i="2"/>
  <c r="C672" i="2"/>
  <c r="C688" i="2"/>
  <c r="C527" i="2"/>
  <c r="C439" i="2"/>
  <c r="C388" i="2"/>
  <c r="C366" i="2"/>
  <c r="C675" i="2"/>
  <c r="C626" i="2"/>
  <c r="C35" i="2"/>
  <c r="C489" i="2"/>
  <c r="C776" i="2"/>
  <c r="C287" i="2"/>
  <c r="C775" i="2"/>
  <c r="C695" i="2"/>
  <c r="C725" i="2"/>
  <c r="C589" i="2"/>
  <c r="C722" i="2"/>
  <c r="C344" i="2"/>
  <c r="C545" i="2"/>
  <c r="C623" i="2"/>
  <c r="C586" i="2"/>
  <c r="C341" i="2"/>
  <c r="C455" i="2"/>
  <c r="C259" i="2"/>
  <c r="C223" i="2"/>
  <c r="C213" i="2"/>
  <c r="C499" i="2"/>
  <c r="C632" i="2"/>
  <c r="C622" i="2"/>
  <c r="C544" i="2"/>
  <c r="C686" i="2"/>
  <c r="C657" i="2"/>
  <c r="C468" i="2"/>
  <c r="C592" i="2"/>
  <c r="C701" i="2"/>
  <c r="C565" i="2"/>
  <c r="C680" i="2"/>
  <c r="C765" i="2"/>
  <c r="C570" i="2"/>
  <c r="C671" i="2"/>
  <c r="C454" i="2"/>
  <c r="C667" i="2"/>
  <c r="C588" i="2"/>
  <c r="C564" i="2"/>
  <c r="C700" i="2"/>
  <c r="C497" i="2"/>
  <c r="C636" i="2"/>
  <c r="C495" i="2"/>
  <c r="C633" i="2"/>
  <c r="C249" i="2"/>
  <c r="C658" i="2"/>
  <c r="C716" i="2"/>
  <c r="C660" i="2"/>
  <c r="C587" i="2"/>
  <c r="C301" i="2"/>
  <c r="C91" i="2"/>
  <c r="C543" i="2"/>
  <c r="C462" i="2"/>
  <c r="C567" i="2"/>
  <c r="C723" i="2"/>
  <c r="C659" i="2"/>
  <c r="C637" i="2"/>
  <c r="C121" i="2"/>
  <c r="C728" i="2"/>
  <c r="C108" i="2"/>
  <c r="C69" i="2"/>
  <c r="C167" i="2"/>
  <c r="C225" i="2"/>
  <c r="C679" i="2"/>
  <c r="C731" i="2"/>
  <c r="C339" i="2"/>
  <c r="C452" i="2"/>
  <c r="C458" i="2"/>
  <c r="C451" i="2"/>
  <c r="C231" i="2"/>
  <c r="C378" i="2"/>
  <c r="C100" i="2"/>
  <c r="C88" i="2"/>
  <c r="C134" i="2"/>
  <c r="C31" i="2"/>
  <c r="C27" i="2"/>
  <c r="C365" i="2"/>
  <c r="C453" i="2"/>
  <c r="C624" i="2"/>
  <c r="C354" i="2"/>
  <c r="C353" i="2"/>
  <c r="C118" i="2"/>
  <c r="C208" i="2"/>
  <c r="C32" i="2"/>
  <c r="C423" i="2"/>
  <c r="C727" i="2"/>
  <c r="C696" i="2"/>
  <c r="C238" i="2"/>
  <c r="C372" i="2"/>
  <c r="C300" i="2"/>
  <c r="C299" i="2"/>
  <c r="C180" i="2"/>
  <c r="C643" i="2"/>
  <c r="C504" i="2"/>
  <c r="C647" i="2"/>
  <c r="C235" i="2"/>
  <c r="C319" i="2"/>
  <c r="C732" i="2"/>
  <c r="C294" i="2"/>
  <c r="C288" i="2"/>
  <c r="C101" i="2"/>
  <c r="C557" i="2"/>
  <c r="C66" i="2"/>
  <c r="C155" i="2"/>
  <c r="C22" i="2"/>
  <c r="C385" i="2"/>
  <c r="C177" i="2"/>
  <c r="C433" i="2"/>
  <c r="C95" i="2"/>
  <c r="C193" i="2"/>
  <c r="C96" i="2"/>
  <c r="C469" i="2"/>
  <c r="C751" i="2"/>
  <c r="C515" i="2"/>
  <c r="C46" i="2"/>
  <c r="C364" i="2"/>
  <c r="C37" i="2"/>
  <c r="C296" i="2"/>
  <c r="C472" i="2"/>
  <c r="C597" i="2"/>
  <c r="C347" i="2"/>
  <c r="C646" i="2"/>
  <c r="C782" i="2"/>
  <c r="C312" i="2"/>
  <c r="C525" i="2"/>
  <c r="C572" i="2"/>
  <c r="C110" i="2"/>
  <c r="C726" i="2"/>
  <c r="C13" i="2"/>
  <c r="C403" i="2"/>
  <c r="C58" i="2"/>
  <c r="C230" i="2"/>
  <c r="C474" i="2"/>
  <c r="C6" i="2"/>
  <c r="C383" i="2"/>
  <c r="C281" i="2"/>
  <c r="C755" i="2"/>
  <c r="C431" i="2"/>
  <c r="C750" i="2"/>
  <c r="C711" i="2"/>
  <c r="C75" i="2"/>
  <c r="C276" i="2"/>
  <c r="C358" i="2"/>
  <c r="C346" i="2"/>
  <c r="C204" i="2"/>
  <c r="C342" i="2"/>
  <c r="C4" i="2"/>
  <c r="C103" i="2"/>
  <c r="C97" i="2"/>
  <c r="C747" i="2"/>
  <c r="C407" i="2"/>
  <c r="C68" i="2"/>
  <c r="C168" i="2"/>
  <c r="C86" i="2"/>
  <c r="C176" i="2"/>
  <c r="C498" i="2"/>
  <c r="C12" i="2"/>
  <c r="C745" i="2"/>
  <c r="C139" i="2"/>
  <c r="C17" i="2"/>
  <c r="C43" i="2"/>
  <c r="C357" i="2"/>
  <c r="C11" i="2"/>
  <c r="C762" i="2"/>
  <c r="C90" i="2"/>
  <c r="C280" i="2"/>
  <c r="C517" i="2"/>
  <c r="C386" i="2"/>
  <c r="C418" i="2"/>
  <c r="C642" i="2"/>
  <c r="C317" i="2"/>
  <c r="C437" i="2"/>
  <c r="C754" i="2"/>
  <c r="C456" i="2"/>
  <c r="C254" i="2"/>
  <c r="C152" i="2"/>
  <c r="C556" i="2"/>
  <c r="C73" i="2"/>
  <c r="C128" i="2"/>
  <c r="C595" i="2"/>
  <c r="C436" i="2"/>
  <c r="C224" i="2"/>
  <c r="C600" i="2"/>
  <c r="C106" i="2"/>
  <c r="C578" i="2"/>
  <c r="C275" i="2"/>
  <c r="C603" i="2"/>
  <c r="C126" i="2"/>
  <c r="C752" i="2"/>
  <c r="C408" i="2"/>
  <c r="C94" i="2"/>
  <c r="C547" i="2"/>
  <c r="C85" i="2"/>
  <c r="C763" i="2"/>
  <c r="C748" i="2"/>
  <c r="C721" i="2"/>
  <c r="C250" i="2"/>
  <c r="C220" i="2"/>
  <c r="C65" i="2"/>
  <c r="C524" i="2"/>
  <c r="C425" i="2"/>
  <c r="C292" i="2"/>
  <c r="C645" i="2"/>
  <c r="C174" i="2"/>
  <c r="C500" i="2"/>
  <c r="C19" i="2"/>
  <c r="C435" i="2"/>
  <c r="C10" i="2"/>
  <c r="C744" i="2"/>
  <c r="C268" i="2"/>
  <c r="C554" i="2"/>
  <c r="C57" i="2"/>
  <c r="C641" i="2"/>
  <c r="C74" i="2"/>
  <c r="C438" i="2"/>
  <c r="C52" i="2"/>
  <c r="C159" i="2"/>
  <c r="C387" i="2"/>
  <c r="C132" i="2"/>
  <c r="C2" i="2"/>
  <c r="C102" i="2"/>
  <c r="C314" i="2"/>
  <c r="C307" i="2"/>
  <c r="C87" i="2"/>
  <c r="C56" i="2"/>
  <c r="C277" i="2"/>
  <c r="C602" i="2"/>
  <c r="C62" i="2"/>
  <c r="C161" i="2"/>
  <c r="C758" i="2"/>
  <c r="C678" i="2"/>
  <c r="C304" i="2"/>
  <c r="C503" i="2"/>
  <c r="C404" i="2"/>
  <c r="C318" i="2"/>
  <c r="C89" i="2"/>
  <c r="C81" i="2"/>
  <c r="C5" i="2"/>
  <c r="C522" i="2"/>
  <c r="C23" i="2"/>
  <c r="C60" i="2"/>
  <c r="C590" i="2"/>
  <c r="C92" i="2"/>
  <c r="C72" i="2"/>
  <c r="C26" i="2"/>
  <c r="C373" i="2"/>
  <c r="C381" i="2"/>
  <c r="C601" i="2"/>
  <c r="C427" i="2"/>
  <c r="C109" i="2"/>
  <c r="C521" i="2"/>
  <c r="C753" i="2"/>
  <c r="C80" i="2"/>
  <c r="C98" i="2"/>
  <c r="C430" i="2"/>
  <c r="C477" i="2"/>
  <c r="C749" i="2"/>
  <c r="C349" i="2"/>
  <c r="C124" i="2"/>
  <c r="C117" i="2"/>
  <c r="C38" i="2"/>
  <c r="C315" i="2"/>
  <c r="C137" i="2"/>
  <c r="C523" i="2"/>
  <c r="C3" i="2"/>
  <c r="C153" i="2"/>
  <c r="C335" i="2"/>
  <c r="C16" i="2"/>
  <c r="C526" i="2"/>
  <c r="C70" i="2"/>
  <c r="C334" i="2"/>
  <c r="C53" i="2"/>
  <c r="C158" i="2"/>
  <c r="C28" i="2"/>
  <c r="C305" i="2"/>
  <c r="C282" i="2"/>
  <c r="C599" i="2"/>
  <c r="C781" i="2"/>
  <c r="C205" i="2"/>
  <c r="C149" i="2"/>
  <c r="C760" i="2"/>
  <c r="C746" i="2"/>
  <c r="C466" i="2"/>
  <c r="C123" i="2"/>
  <c r="C764" i="2"/>
  <c r="C157" i="2"/>
  <c r="C183" i="2"/>
  <c r="C30" i="2"/>
  <c r="C151" i="2"/>
  <c r="C209" i="2"/>
  <c r="C33" i="2"/>
  <c r="C340" i="2"/>
  <c r="C49" i="2"/>
  <c r="C345" i="2"/>
  <c r="C316" i="2"/>
  <c r="C429" i="2"/>
  <c r="C269" i="2"/>
  <c r="C761" i="2"/>
  <c r="C162" i="2"/>
  <c r="C741" i="2"/>
  <c r="C163" i="2"/>
  <c r="C558" i="2"/>
  <c r="C47" i="2"/>
  <c r="C14" i="2"/>
  <c r="C54" i="2"/>
  <c r="C147" i="2"/>
  <c r="C376" i="2"/>
  <c r="C278" i="2"/>
  <c r="C555" i="2"/>
  <c r="C236" i="2"/>
  <c r="C434" i="2"/>
  <c r="C332" i="2"/>
  <c r="C313" i="2"/>
  <c r="C594" i="2"/>
  <c r="C84" i="2"/>
  <c r="C677" i="2"/>
  <c r="C93" i="2"/>
  <c r="C512" i="2"/>
  <c r="C25" i="2"/>
  <c r="C212" i="2"/>
  <c r="C8" i="2"/>
  <c r="C384" i="2"/>
  <c r="C160" i="2"/>
  <c r="C166" i="2"/>
  <c r="C757" i="2"/>
  <c r="C692" i="2"/>
  <c r="C734" i="2"/>
  <c r="C490" i="2"/>
  <c r="C206" i="2"/>
  <c r="C20" i="2"/>
  <c r="C371" i="2"/>
  <c r="C63" i="2"/>
  <c r="C120" i="2"/>
  <c r="C348" i="2"/>
  <c r="C44" i="2"/>
  <c r="C164" i="2"/>
  <c r="C593" i="2"/>
  <c r="C7" i="2"/>
  <c r="C476" i="2"/>
  <c r="C119" i="2"/>
  <c r="C78" i="2"/>
  <c r="C24" i="2"/>
  <c r="C377" i="2"/>
  <c r="C502" i="2"/>
  <c r="C475" i="2"/>
  <c r="C221" i="2"/>
  <c r="C756" i="2"/>
  <c r="C77" i="2"/>
  <c r="C21" i="2"/>
  <c r="C29" i="2"/>
  <c r="C743" i="2"/>
  <c r="C739" i="2"/>
  <c r="C736" i="2"/>
  <c r="C516" i="2"/>
  <c r="C738" i="2"/>
  <c r="C36" i="2"/>
  <c r="C735" i="2"/>
  <c r="C18" i="2"/>
  <c r="C501" i="2"/>
  <c r="C742" i="2"/>
  <c r="E818" i="6"/>
  <c r="E814" i="6"/>
  <c r="E810" i="6"/>
  <c r="E806" i="6"/>
  <c r="E802" i="6"/>
  <c r="E798" i="6"/>
  <c r="E794" i="6"/>
  <c r="E790" i="6"/>
  <c r="E786" i="6"/>
  <c r="E782" i="6"/>
  <c r="E778" i="6"/>
  <c r="E774" i="6"/>
  <c r="E770" i="6"/>
  <c r="E817" i="6"/>
  <c r="E797" i="6"/>
  <c r="E781" i="6"/>
  <c r="E769" i="6"/>
  <c r="E788" i="6"/>
  <c r="E795" i="6"/>
  <c r="E813" i="6"/>
  <c r="E805" i="6"/>
  <c r="E793" i="6"/>
  <c r="E785" i="6"/>
  <c r="E773" i="6"/>
  <c r="E792" i="6"/>
  <c r="E768" i="6"/>
  <c r="E783" i="6"/>
  <c r="E809" i="6"/>
  <c r="E801" i="6"/>
  <c r="E789" i="6"/>
  <c r="E777" i="6"/>
  <c r="E765" i="6"/>
  <c r="E780" i="6"/>
  <c r="E791" i="6"/>
  <c r="E816" i="6"/>
  <c r="E804" i="6"/>
  <c r="E796" i="6"/>
  <c r="E772" i="6"/>
  <c r="E803" i="6"/>
  <c r="E767" i="6"/>
  <c r="E808" i="6"/>
  <c r="E776" i="6"/>
  <c r="E787" i="6"/>
  <c r="E812" i="6"/>
  <c r="E800" i="6"/>
  <c r="E784" i="6"/>
  <c r="E764" i="6"/>
  <c r="E779" i="6"/>
  <c r="E807" i="6"/>
  <c r="E763" i="6"/>
  <c r="E811" i="6"/>
  <c r="E775" i="6"/>
  <c r="E815" i="6"/>
  <c r="E799" i="6"/>
  <c r="E771" i="6"/>
  <c r="E762" i="6"/>
  <c r="E766" i="6"/>
  <c r="E843" i="6"/>
  <c r="E839" i="6"/>
  <c r="E834" i="6"/>
  <c r="E836" i="6"/>
  <c r="E827" i="6"/>
  <c r="E840" i="6"/>
  <c r="E838" i="6"/>
  <c r="E825" i="6"/>
  <c r="E835" i="6"/>
  <c r="E830" i="6"/>
  <c r="E828" i="6"/>
  <c r="E842" i="6"/>
  <c r="E833" i="6"/>
  <c r="E826" i="6"/>
  <c r="E841" i="6"/>
  <c r="E837" i="6"/>
  <c r="E832" i="6"/>
  <c r="E829" i="6"/>
  <c r="E831" i="6"/>
  <c r="E844" i="6"/>
  <c r="E824" i="6"/>
  <c r="E820" i="6"/>
  <c r="E823" i="6"/>
  <c r="E819" i="6"/>
  <c r="E822" i="6"/>
  <c r="E821" i="6"/>
  <c r="E715" i="6"/>
  <c r="E754" i="6"/>
  <c r="E750" i="6"/>
  <c r="E746" i="6"/>
  <c r="E742" i="6"/>
  <c r="E738" i="6"/>
  <c r="E734" i="6"/>
  <c r="E730" i="6"/>
  <c r="E726" i="6"/>
  <c r="E722" i="6"/>
  <c r="E718" i="6"/>
  <c r="E714" i="6"/>
  <c r="E710" i="6"/>
  <c r="E706" i="6"/>
  <c r="E749" i="6"/>
  <c r="E737" i="6"/>
  <c r="E729" i="6"/>
  <c r="E721" i="6"/>
  <c r="E713" i="6"/>
  <c r="E709" i="6"/>
  <c r="E701" i="6"/>
  <c r="E716" i="6"/>
  <c r="E703" i="6"/>
  <c r="E753" i="6"/>
  <c r="E745" i="6"/>
  <c r="E741" i="6"/>
  <c r="E733" i="6"/>
  <c r="E725" i="6"/>
  <c r="E717" i="6"/>
  <c r="E705" i="6"/>
  <c r="E712" i="6"/>
  <c r="E704" i="6"/>
  <c r="E752" i="6"/>
  <c r="E748" i="6"/>
  <c r="E744" i="6"/>
  <c r="E740" i="6"/>
  <c r="E736" i="6"/>
  <c r="E732" i="6"/>
  <c r="E728" i="6"/>
  <c r="E724" i="6"/>
  <c r="E720" i="6"/>
  <c r="E708" i="6"/>
  <c r="E702" i="6"/>
  <c r="E755" i="6"/>
  <c r="E751" i="6"/>
  <c r="E747" i="6"/>
  <c r="E743" i="6"/>
  <c r="E739" i="6"/>
  <c r="E735" i="6"/>
  <c r="E731" i="6"/>
  <c r="E727" i="6"/>
  <c r="E723" i="6"/>
  <c r="E719" i="6"/>
  <c r="E711" i="6"/>
  <c r="E707" i="6"/>
  <c r="E758" i="6"/>
  <c r="E699" i="6"/>
  <c r="E756" i="6"/>
  <c r="E698" i="6"/>
  <c r="E700" i="6"/>
  <c r="E761" i="6"/>
  <c r="E757" i="6"/>
  <c r="E697" i="6"/>
  <c r="E760" i="6"/>
  <c r="E759" i="6"/>
  <c r="E696" i="6"/>
  <c r="E695" i="6"/>
  <c r="E694" i="6"/>
  <c r="E693" i="6"/>
  <c r="E689" i="6"/>
  <c r="E685" i="6"/>
  <c r="E681" i="6"/>
  <c r="E677" i="6"/>
  <c r="E673" i="6"/>
  <c r="E692" i="6"/>
  <c r="E672" i="6"/>
  <c r="E660" i="6"/>
  <c r="E679" i="6"/>
  <c r="E659" i="6"/>
  <c r="E678" i="6"/>
  <c r="E654" i="6"/>
  <c r="E688" i="6"/>
  <c r="E680" i="6"/>
  <c r="E668" i="6"/>
  <c r="E652" i="6"/>
  <c r="E663" i="6"/>
  <c r="E682" i="6"/>
  <c r="E650" i="6"/>
  <c r="E684" i="6"/>
  <c r="E676" i="6"/>
  <c r="E664" i="6"/>
  <c r="E656" i="6"/>
  <c r="E671" i="6"/>
  <c r="E655" i="6"/>
  <c r="E662" i="6"/>
  <c r="E657" i="6"/>
  <c r="E691" i="6"/>
  <c r="E683" i="6"/>
  <c r="E667" i="6"/>
  <c r="E651" i="6"/>
  <c r="E658" i="6"/>
  <c r="E665" i="6"/>
  <c r="E687" i="6"/>
  <c r="E666" i="6"/>
  <c r="E661" i="6"/>
  <c r="E675" i="6"/>
  <c r="E670" i="6"/>
  <c r="E639" i="6"/>
  <c r="E690" i="6"/>
  <c r="E686" i="6"/>
  <c r="E674" i="6"/>
  <c r="E653" i="6"/>
  <c r="E669" i="6"/>
  <c r="E644" i="6"/>
  <c r="E647" i="6"/>
  <c r="E643" i="6"/>
  <c r="E635" i="6"/>
  <c r="E631" i="6"/>
  <c r="E636" i="6"/>
  <c r="E634" i="6"/>
  <c r="E646" i="6"/>
  <c r="E642" i="6"/>
  <c r="E638" i="6"/>
  <c r="E629" i="6"/>
  <c r="E648" i="6"/>
  <c r="E640" i="6"/>
  <c r="E649" i="6"/>
  <c r="E645" i="6"/>
  <c r="E641" i="6"/>
  <c r="E637" i="6"/>
  <c r="E633" i="6"/>
  <c r="E632" i="6"/>
  <c r="E624" i="6"/>
  <c r="E620" i="6"/>
  <c r="E616" i="6"/>
  <c r="E612" i="6"/>
  <c r="E596" i="6"/>
  <c r="E608" i="6"/>
  <c r="E597" i="6"/>
  <c r="E628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82" i="6"/>
  <c r="E621" i="6"/>
  <c r="E589" i="6"/>
  <c r="E588" i="6"/>
  <c r="E627" i="6"/>
  <c r="E622" i="6"/>
  <c r="E618" i="6"/>
  <c r="E614" i="6"/>
  <c r="E606" i="6"/>
  <c r="E602" i="6"/>
  <c r="E598" i="6"/>
  <c r="E594" i="6"/>
  <c r="E590" i="6"/>
  <c r="E586" i="6"/>
  <c r="E578" i="6"/>
  <c r="E626" i="6"/>
  <c r="E613" i="6"/>
  <c r="E601" i="6"/>
  <c r="E593" i="6"/>
  <c r="E600" i="6"/>
  <c r="E584" i="6"/>
  <c r="E610" i="6"/>
  <c r="E617" i="6"/>
  <c r="E609" i="6"/>
  <c r="E585" i="6"/>
  <c r="E592" i="6"/>
  <c r="E580" i="6"/>
  <c r="E604" i="6"/>
  <c r="E581" i="6"/>
  <c r="E605" i="6"/>
  <c r="E625" i="6"/>
  <c r="E570" i="6"/>
  <c r="E573" i="6"/>
  <c r="E565" i="6"/>
  <c r="E577" i="6"/>
  <c r="E576" i="6"/>
  <c r="E568" i="6"/>
  <c r="E564" i="6"/>
  <c r="E567" i="6"/>
  <c r="E572" i="6"/>
  <c r="E575" i="6"/>
  <c r="E571" i="6"/>
  <c r="E574" i="6"/>
  <c r="E566" i="6"/>
  <c r="E569" i="6"/>
  <c r="E561" i="6"/>
  <c r="E563" i="6"/>
  <c r="E560" i="6"/>
  <c r="E562" i="6"/>
  <c r="E559" i="6"/>
  <c r="E555" i="6"/>
  <c r="E551" i="6"/>
  <c r="E538" i="6"/>
  <c r="E530" i="6"/>
  <c r="E522" i="6"/>
  <c r="E514" i="6"/>
  <c r="E506" i="6"/>
  <c r="E524" i="6"/>
  <c r="E519" i="6"/>
  <c r="E546" i="6"/>
  <c r="E542" i="6"/>
  <c r="E534" i="6"/>
  <c r="E526" i="6"/>
  <c r="E518" i="6"/>
  <c r="E510" i="6"/>
  <c r="E502" i="6"/>
  <c r="E516" i="6"/>
  <c r="E535" i="6"/>
  <c r="E525" i="6"/>
  <c r="E509" i="6"/>
  <c r="E540" i="6"/>
  <c r="E508" i="6"/>
  <c r="E503" i="6"/>
  <c r="E558" i="6"/>
  <c r="E554" i="6"/>
  <c r="E550" i="6"/>
  <c r="E533" i="6"/>
  <c r="E521" i="6"/>
  <c r="E513" i="6"/>
  <c r="E501" i="6"/>
  <c r="E520" i="6"/>
  <c r="E523" i="6"/>
  <c r="E545" i="6"/>
  <c r="E541" i="6"/>
  <c r="E537" i="6"/>
  <c r="E529" i="6"/>
  <c r="E517" i="6"/>
  <c r="E505" i="6"/>
  <c r="E536" i="6"/>
  <c r="E527" i="6"/>
  <c r="E528" i="6"/>
  <c r="E531" i="6"/>
  <c r="E557" i="6"/>
  <c r="E553" i="6"/>
  <c r="E549" i="6"/>
  <c r="E532" i="6"/>
  <c r="E504" i="6"/>
  <c r="E544" i="6"/>
  <c r="E539" i="6"/>
  <c r="E507" i="6"/>
  <c r="E556" i="6"/>
  <c r="E552" i="6"/>
  <c r="E515" i="6"/>
  <c r="E547" i="6"/>
  <c r="E543" i="6"/>
  <c r="E512" i="6"/>
  <c r="E511" i="6"/>
  <c r="E499" i="6"/>
  <c r="E495" i="6"/>
  <c r="E491" i="6"/>
  <c r="E487" i="6"/>
  <c r="E489" i="6"/>
  <c r="E492" i="6"/>
  <c r="E494" i="6"/>
  <c r="E500" i="6"/>
  <c r="E498" i="6"/>
  <c r="E486" i="6"/>
  <c r="E493" i="6"/>
  <c r="E490" i="6"/>
  <c r="E485" i="6"/>
  <c r="E488" i="6"/>
  <c r="E497" i="6"/>
  <c r="E496" i="6"/>
  <c r="E484" i="6"/>
  <c r="E481" i="6"/>
  <c r="E479" i="6"/>
  <c r="E480" i="6"/>
  <c r="E483" i="6"/>
  <c r="E478" i="6"/>
  <c r="E482" i="6"/>
  <c r="E475" i="6"/>
  <c r="E467" i="6"/>
  <c r="E459" i="6"/>
  <c r="E451" i="6"/>
  <c r="E443" i="6"/>
  <c r="E435" i="6"/>
  <c r="E458" i="6"/>
  <c r="E446" i="6"/>
  <c r="E474" i="6"/>
  <c r="E473" i="6"/>
  <c r="E469" i="6"/>
  <c r="E465" i="6"/>
  <c r="E461" i="6"/>
  <c r="E457" i="6"/>
  <c r="E453" i="6"/>
  <c r="E449" i="6"/>
  <c r="E445" i="6"/>
  <c r="E441" i="6"/>
  <c r="E437" i="6"/>
  <c r="E456" i="6"/>
  <c r="E472" i="6"/>
  <c r="E468" i="6"/>
  <c r="E464" i="6"/>
  <c r="E460" i="6"/>
  <c r="E452" i="6"/>
  <c r="E448" i="6"/>
  <c r="E444" i="6"/>
  <c r="E440" i="6"/>
  <c r="E436" i="6"/>
  <c r="E450" i="6"/>
  <c r="E438" i="6"/>
  <c r="E471" i="6"/>
  <c r="E463" i="6"/>
  <c r="E455" i="6"/>
  <c r="E447" i="6"/>
  <c r="E439" i="6"/>
  <c r="E470" i="6"/>
  <c r="E466" i="6"/>
  <c r="E462" i="6"/>
  <c r="E454" i="6"/>
  <c r="E442" i="6"/>
  <c r="E319" i="6"/>
  <c r="E322" i="6"/>
  <c r="E314" i="6"/>
  <c r="E306" i="6"/>
  <c r="E321" i="6"/>
  <c r="E313" i="6"/>
  <c r="E311" i="6"/>
  <c r="E326" i="6"/>
  <c r="E318" i="6"/>
  <c r="E310" i="6"/>
  <c r="E325" i="6"/>
  <c r="E317" i="6"/>
  <c r="E309" i="6"/>
  <c r="E305" i="6"/>
  <c r="E324" i="6"/>
  <c r="E316" i="6"/>
  <c r="E308" i="6"/>
  <c r="E323" i="6"/>
  <c r="E307" i="6"/>
  <c r="E320" i="6"/>
  <c r="E312" i="6"/>
  <c r="E304" i="6"/>
  <c r="E327" i="6"/>
  <c r="E315" i="6"/>
  <c r="E236" i="6"/>
  <c r="E232" i="6"/>
  <c r="E228" i="6"/>
  <c r="E224" i="6"/>
  <c r="E220" i="6"/>
  <c r="E216" i="6"/>
  <c r="E62" i="6"/>
  <c r="E122" i="6"/>
  <c r="E118" i="6"/>
  <c r="E114" i="6"/>
  <c r="E110" i="6"/>
  <c r="E106" i="6"/>
  <c r="E235" i="6"/>
  <c r="E231" i="6"/>
  <c r="E227" i="6"/>
  <c r="E223" i="6"/>
  <c r="E219" i="6"/>
  <c r="E215" i="6"/>
  <c r="E125" i="6"/>
  <c r="E121" i="6"/>
  <c r="E117" i="6"/>
  <c r="E113" i="6"/>
  <c r="E109" i="6"/>
  <c r="E234" i="6"/>
  <c r="E230" i="6"/>
  <c r="E226" i="6"/>
  <c r="E222" i="6"/>
  <c r="E218" i="6"/>
  <c r="E214" i="6"/>
  <c r="E124" i="6"/>
  <c r="E120" i="6"/>
  <c r="E116" i="6"/>
  <c r="E112" i="6"/>
  <c r="E108" i="6"/>
  <c r="E233" i="6"/>
  <c r="E229" i="6"/>
  <c r="E225" i="6"/>
  <c r="E221" i="6"/>
  <c r="E217" i="6"/>
  <c r="E123" i="6"/>
  <c r="E119" i="6"/>
  <c r="E115" i="6"/>
  <c r="E111" i="6"/>
  <c r="E107" i="6"/>
  <c r="E61" i="6"/>
  <c r="E49" i="6"/>
  <c r="E76" i="6"/>
  <c r="E56" i="6"/>
  <c r="E44" i="6"/>
  <c r="E40" i="6"/>
  <c r="E72" i="6"/>
  <c r="E80" i="6"/>
  <c r="E60" i="6"/>
  <c r="E52" i="6"/>
  <c r="E48" i="6"/>
  <c r="E41" i="6"/>
  <c r="E73" i="6"/>
  <c r="E77" i="6"/>
  <c r="E81" i="6"/>
  <c r="E59" i="6"/>
  <c r="E51" i="6"/>
  <c r="E47" i="6"/>
  <c r="E43" i="6"/>
  <c r="E50" i="6"/>
  <c r="E55" i="6"/>
  <c r="E70" i="6"/>
  <c r="E82" i="6"/>
  <c r="E54" i="6"/>
  <c r="E42" i="6"/>
  <c r="E74" i="6"/>
  <c r="E78" i="6"/>
  <c r="E58" i="6"/>
  <c r="E46" i="6"/>
  <c r="E45" i="6"/>
  <c r="E71" i="6"/>
  <c r="E75" i="6"/>
  <c r="E79" i="6"/>
  <c r="E57" i="6"/>
  <c r="E53" i="6"/>
  <c r="E403" i="6"/>
  <c r="E399" i="6"/>
  <c r="E395" i="6"/>
  <c r="E391" i="6"/>
  <c r="E387" i="6"/>
  <c r="E383" i="6"/>
  <c r="E379" i="6"/>
  <c r="E375" i="6"/>
  <c r="E367" i="6"/>
  <c r="E359" i="6"/>
  <c r="E351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97" i="6"/>
  <c r="E389" i="6"/>
  <c r="E381" i="6"/>
  <c r="E373" i="6"/>
  <c r="E369" i="6"/>
  <c r="E361" i="6"/>
  <c r="E353" i="6"/>
  <c r="E345" i="6"/>
  <c r="E352" i="6"/>
  <c r="E401" i="6"/>
  <c r="E393" i="6"/>
  <c r="E385" i="6"/>
  <c r="E377" i="6"/>
  <c r="E365" i="6"/>
  <c r="E357" i="6"/>
  <c r="E349" i="6"/>
  <c r="E348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44" i="6"/>
  <c r="E371" i="6"/>
  <c r="E363" i="6"/>
  <c r="E355" i="6"/>
  <c r="E347" i="6"/>
  <c r="E295" i="6"/>
  <c r="E260" i="6"/>
  <c r="E63" i="6"/>
  <c r="E67" i="6"/>
  <c r="E242" i="6"/>
  <c r="E238" i="6"/>
  <c r="E66" i="6"/>
  <c r="E132" i="6"/>
  <c r="E239" i="6"/>
  <c r="E131" i="6"/>
  <c r="E245" i="6"/>
  <c r="E241" i="6"/>
  <c r="E237" i="6"/>
  <c r="E130" i="6"/>
  <c r="E128" i="6"/>
  <c r="E243" i="6"/>
  <c r="E129" i="6"/>
  <c r="E65" i="6"/>
  <c r="E64" i="6"/>
  <c r="E244" i="6"/>
  <c r="E240" i="6"/>
  <c r="E127" i="6"/>
  <c r="E126" i="6"/>
  <c r="E68" i="6"/>
  <c r="E197" i="6"/>
  <c r="E189" i="6"/>
  <c r="E181" i="6"/>
  <c r="E173" i="6"/>
  <c r="E165" i="6"/>
  <c r="E157" i="6"/>
  <c r="E249" i="6"/>
  <c r="E259" i="6"/>
  <c r="E255" i="6"/>
  <c r="E251" i="6"/>
  <c r="E213" i="6"/>
  <c r="E209" i="6"/>
  <c r="E207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253" i="6"/>
  <c r="E258" i="6"/>
  <c r="E254" i="6"/>
  <c r="E250" i="6"/>
  <c r="E212" i="6"/>
  <c r="E208" i="6"/>
  <c r="E203" i="6"/>
  <c r="E195" i="6"/>
  <c r="E187" i="6"/>
  <c r="E179" i="6"/>
  <c r="E171" i="6"/>
  <c r="E163" i="6"/>
  <c r="E199" i="6"/>
  <c r="E191" i="6"/>
  <c r="E183" i="6"/>
  <c r="E175" i="6"/>
  <c r="E167" i="6"/>
  <c r="E159" i="6"/>
  <c r="E211" i="6"/>
  <c r="E202" i="6"/>
  <c r="E198" i="6"/>
  <c r="E194" i="6"/>
  <c r="E190" i="6"/>
  <c r="E186" i="6"/>
  <c r="E182" i="6"/>
  <c r="E178" i="6"/>
  <c r="E174" i="6"/>
  <c r="E170" i="6"/>
  <c r="E166" i="6"/>
  <c r="E162" i="6"/>
  <c r="E158" i="6"/>
  <c r="E257" i="6"/>
  <c r="E256" i="6"/>
  <c r="E252" i="6"/>
  <c r="E248" i="6"/>
  <c r="E210" i="6"/>
  <c r="E206" i="6"/>
  <c r="E201" i="6"/>
  <c r="E193" i="6"/>
  <c r="E185" i="6"/>
  <c r="E177" i="6"/>
  <c r="E169" i="6"/>
  <c r="E161" i="6"/>
  <c r="E433" i="6"/>
  <c r="E429" i="6"/>
  <c r="E425" i="6"/>
  <c r="E421" i="6"/>
  <c r="E413" i="6"/>
  <c r="E340" i="6"/>
  <c r="E332" i="6"/>
  <c r="E298" i="6"/>
  <c r="E290" i="6"/>
  <c r="E282" i="6"/>
  <c r="E274" i="6"/>
  <c r="E266" i="6"/>
  <c r="E418" i="6"/>
  <c r="E406" i="6"/>
  <c r="E337" i="6"/>
  <c r="E291" i="6"/>
  <c r="E263" i="6"/>
  <c r="E417" i="6"/>
  <c r="E409" i="6"/>
  <c r="E336" i="6"/>
  <c r="E302" i="6"/>
  <c r="E294" i="6"/>
  <c r="E286" i="6"/>
  <c r="E278" i="6"/>
  <c r="E270" i="6"/>
  <c r="E262" i="6"/>
  <c r="E412" i="6"/>
  <c r="E339" i="6"/>
  <c r="E331" i="6"/>
  <c r="E297" i="6"/>
  <c r="E289" i="6"/>
  <c r="E281" i="6"/>
  <c r="E273" i="6"/>
  <c r="E265" i="6"/>
  <c r="E341" i="6"/>
  <c r="E287" i="6"/>
  <c r="E432" i="6"/>
  <c r="E428" i="6"/>
  <c r="E424" i="6"/>
  <c r="E420" i="6"/>
  <c r="E416" i="6"/>
  <c r="E408" i="6"/>
  <c r="E343" i="6"/>
  <c r="E335" i="6"/>
  <c r="E301" i="6"/>
  <c r="E293" i="6"/>
  <c r="E285" i="6"/>
  <c r="E277" i="6"/>
  <c r="E269" i="6"/>
  <c r="E261" i="6"/>
  <c r="E434" i="6"/>
  <c r="E430" i="6"/>
  <c r="E426" i="6"/>
  <c r="E422" i="6"/>
  <c r="E414" i="6"/>
  <c r="E410" i="6"/>
  <c r="E271" i="6"/>
  <c r="E338" i="6"/>
  <c r="E330" i="6"/>
  <c r="E296" i="6"/>
  <c r="E288" i="6"/>
  <c r="E280" i="6"/>
  <c r="E272" i="6"/>
  <c r="E264" i="6"/>
  <c r="E205" i="6"/>
  <c r="E333" i="6"/>
  <c r="E279" i="6"/>
  <c r="E431" i="6"/>
  <c r="E427" i="6"/>
  <c r="E423" i="6"/>
  <c r="E419" i="6"/>
  <c r="E415" i="6"/>
  <c r="E411" i="6"/>
  <c r="E407" i="6"/>
  <c r="E342" i="6"/>
  <c r="E334" i="6"/>
  <c r="E300" i="6"/>
  <c r="E292" i="6"/>
  <c r="E284" i="6"/>
  <c r="E276" i="6"/>
  <c r="E268" i="6"/>
  <c r="E299" i="6"/>
  <c r="E275" i="6"/>
  <c r="E283" i="6"/>
  <c r="E204" i="6"/>
  <c r="E303" i="6"/>
  <c r="E267" i="6"/>
  <c r="E153" i="6"/>
  <c r="E152" i="6"/>
  <c r="E155" i="6"/>
  <c r="E154" i="6"/>
  <c r="E150" i="6"/>
  <c r="E135" i="6"/>
  <c r="E142" i="6"/>
  <c r="E138" i="6"/>
  <c r="E134" i="6"/>
  <c r="E145" i="6"/>
  <c r="E141" i="6"/>
  <c r="E137" i="6"/>
  <c r="E133" i="6"/>
  <c r="E151" i="6"/>
  <c r="E144" i="6"/>
  <c r="E140" i="6"/>
  <c r="E136" i="6"/>
  <c r="E143" i="6"/>
  <c r="E139" i="6"/>
  <c r="E105" i="6"/>
  <c r="E101" i="6"/>
  <c r="E97" i="6"/>
  <c r="E93" i="6"/>
  <c r="E89" i="6"/>
  <c r="E85" i="6"/>
  <c r="E100" i="6"/>
  <c r="E104" i="6"/>
  <c r="E96" i="6"/>
  <c r="E92" i="6"/>
  <c r="E88" i="6"/>
  <c r="E84" i="6"/>
  <c r="E103" i="6"/>
  <c r="E95" i="6"/>
  <c r="E87" i="6"/>
  <c r="E99" i="6"/>
  <c r="E91" i="6"/>
  <c r="E83" i="6"/>
  <c r="E98" i="6"/>
  <c r="E86" i="6"/>
  <c r="E102" i="6"/>
  <c r="E90" i="6"/>
  <c r="E94" i="6"/>
  <c r="E30" i="6"/>
  <c r="E29" i="6"/>
  <c r="E37" i="6"/>
  <c r="E33" i="6"/>
  <c r="E27" i="6"/>
  <c r="E23" i="6"/>
  <c r="E19" i="6"/>
  <c r="E15" i="6"/>
  <c r="E11" i="6"/>
  <c r="E7" i="6"/>
  <c r="E6" i="6"/>
  <c r="E5" i="6"/>
  <c r="E28" i="6"/>
  <c r="E16" i="6"/>
  <c r="E8" i="6"/>
  <c r="E36" i="6"/>
  <c r="E32" i="6"/>
  <c r="E26" i="6"/>
  <c r="E22" i="6"/>
  <c r="E18" i="6"/>
  <c r="E14" i="6"/>
  <c r="E10" i="6"/>
  <c r="E34" i="6"/>
  <c r="E20" i="6"/>
  <c r="E38" i="6"/>
  <c r="E39" i="6"/>
  <c r="E35" i="6"/>
  <c r="E31" i="6"/>
  <c r="E25" i="6"/>
  <c r="E21" i="6"/>
  <c r="E17" i="6"/>
  <c r="E13" i="6"/>
  <c r="E9" i="6"/>
  <c r="E24" i="6"/>
  <c r="E12" i="6"/>
  <c r="E4" i="6"/>
  <c r="D588" i="2"/>
  <c r="D497" i="2"/>
  <c r="D495" i="2"/>
  <c r="D565" i="2"/>
  <c r="D339" i="2"/>
  <c r="D701" i="2"/>
  <c r="D259" i="2"/>
  <c r="D35" i="2"/>
  <c r="D667" i="2"/>
  <c r="D468" i="2"/>
  <c r="D592" i="2"/>
  <c r="D455" i="2"/>
  <c r="D657" i="2"/>
  <c r="D341" i="2"/>
  <c r="D776" i="2"/>
  <c r="D462" i="2"/>
  <c r="D728" i="2"/>
  <c r="D452" i="2"/>
  <c r="D586" i="2"/>
  <c r="D489" i="2"/>
  <c r="D723" i="2"/>
  <c r="D686" i="2"/>
  <c r="D623" i="2"/>
  <c r="D354" i="2"/>
  <c r="D543" i="2"/>
  <c r="D453" i="2"/>
  <c r="D544" i="2"/>
  <c r="D545" i="2"/>
  <c r="D378" i="2"/>
  <c r="D716" i="2"/>
  <c r="D454" i="2"/>
  <c r="D300" i="2"/>
  <c r="D700" i="2"/>
  <c r="D299" i="2"/>
  <c r="D353" i="2"/>
  <c r="D564" i="2"/>
  <c r="D567" i="2"/>
  <c r="D372" i="2"/>
  <c r="D624" i="2"/>
  <c r="D636" i="2"/>
  <c r="D301" i="2"/>
  <c r="D587" i="2"/>
  <c r="D622" i="2"/>
  <c r="D231" i="2"/>
  <c r="D451" i="2"/>
  <c r="D458" i="2"/>
  <c r="D464" i="2"/>
  <c r="D223" i="2"/>
  <c r="D775" i="2"/>
  <c r="D287" i="2"/>
  <c r="D370" i="2"/>
  <c r="D542" i="2"/>
  <c r="D685" i="2"/>
  <c r="D344" i="2"/>
  <c r="D121" i="2"/>
  <c r="D658" i="2"/>
  <c r="D582" i="2"/>
  <c r="D319" i="2"/>
  <c r="D637" i="2"/>
  <c r="D249" i="2"/>
  <c r="D671" i="2"/>
  <c r="D591" i="2"/>
  <c r="D235" i="2"/>
  <c r="D659" i="2"/>
  <c r="D633" i="2"/>
  <c r="D632" i="2"/>
  <c r="D660" i="2"/>
  <c r="D559" i="2"/>
  <c r="D499" i="2"/>
  <c r="D695" i="2"/>
  <c r="D688" i="2"/>
  <c r="D570" i="2"/>
  <c r="D672" i="2"/>
  <c r="D689" i="2"/>
  <c r="D765" i="2"/>
  <c r="D679" i="2"/>
  <c r="D505" i="2"/>
  <c r="D604" i="2"/>
  <c r="D549" i="2"/>
  <c r="D680" i="2"/>
  <c r="D423" i="2"/>
  <c r="D551" i="2"/>
  <c r="D527" i="2"/>
  <c r="D32" i="2"/>
  <c r="D729" i="2"/>
  <c r="D647" i="2"/>
  <c r="D213" i="2"/>
  <c r="D208" i="2"/>
  <c r="D626" i="2"/>
  <c r="D504" i="2"/>
  <c r="D114" i="2"/>
  <c r="D294" i="2"/>
  <c r="D675" i="2"/>
  <c r="D99" i="2"/>
  <c r="D643" i="2"/>
  <c r="D41" i="2"/>
  <c r="D180" i="2"/>
  <c r="D722" i="2"/>
  <c r="D366" i="2"/>
  <c r="D225" i="2"/>
  <c r="D388" i="2"/>
  <c r="D198" i="2"/>
  <c r="D293" i="2"/>
  <c r="D731" i="2"/>
  <c r="D589" i="2"/>
  <c r="D439" i="2"/>
  <c r="D91" i="2"/>
  <c r="D100" i="2"/>
  <c r="D365" i="2"/>
  <c r="D725" i="2"/>
  <c r="D118" i="2"/>
  <c r="D732" i="2"/>
  <c r="D238" i="2"/>
  <c r="D724" i="2"/>
  <c r="D31" i="2"/>
  <c r="D134" i="2"/>
  <c r="D167" i="2"/>
  <c r="D69" i="2"/>
  <c r="D696" i="2"/>
  <c r="D27" i="2"/>
  <c r="D727" i="2"/>
  <c r="D88" i="2"/>
  <c r="D108" i="2"/>
  <c r="D721" i="2"/>
  <c r="D477" i="2"/>
  <c r="D387" i="2"/>
  <c r="D594" i="2"/>
  <c r="D503" i="2"/>
  <c r="D590" i="2"/>
  <c r="D678" i="2"/>
  <c r="D404" i="2"/>
  <c r="D641" i="2"/>
  <c r="D557" i="2"/>
  <c r="D357" i="2"/>
  <c r="D515" i="2"/>
  <c r="D335" i="2"/>
  <c r="D469" i="2"/>
  <c r="D342" i="2"/>
  <c r="D593" i="2"/>
  <c r="D726" i="2"/>
  <c r="D642" i="2"/>
  <c r="D558" i="2"/>
  <c r="D556" i="2"/>
  <c r="D438" i="2"/>
  <c r="D307" i="2"/>
  <c r="D408" i="2"/>
  <c r="D407" i="2"/>
  <c r="D711" i="2"/>
  <c r="D204" i="2"/>
  <c r="D466" i="2"/>
  <c r="D205" i="2"/>
  <c r="D476" i="2"/>
  <c r="D677" i="2"/>
  <c r="D209" i="2"/>
  <c r="D159" i="2"/>
  <c r="D348" i="2"/>
  <c r="D349" i="2"/>
  <c r="D78" i="2"/>
  <c r="D212" i="2"/>
  <c r="D429" i="2"/>
  <c r="D386" i="2"/>
  <c r="D512" i="2"/>
  <c r="D345" i="2"/>
  <c r="D158" i="2"/>
  <c r="D340" i="2"/>
  <c r="D334" i="2"/>
  <c r="D373" i="2"/>
  <c r="D437" i="2"/>
  <c r="D603" i="2"/>
  <c r="D526" i="2"/>
  <c r="D72" i="2"/>
  <c r="D56" i="2"/>
  <c r="D500" i="2"/>
  <c r="D128" i="2"/>
  <c r="D168" i="2"/>
  <c r="D403" i="2"/>
  <c r="D155" i="2"/>
  <c r="D371" i="2"/>
  <c r="D376" i="2"/>
  <c r="D377" i="2"/>
  <c r="D425" i="2"/>
  <c r="D572" i="2"/>
  <c r="D220" i="2"/>
  <c r="D418" i="2"/>
  <c r="D763" i="2"/>
  <c r="D364" i="2"/>
  <c r="D547" i="2"/>
  <c r="D280" i="2"/>
  <c r="D762" i="2"/>
  <c r="D276" i="2"/>
  <c r="D296" i="2"/>
  <c r="D305" i="2"/>
  <c r="D427" i="2"/>
  <c r="D601" i="2"/>
  <c r="D602" i="2"/>
  <c r="D600" i="2"/>
  <c r="D436" i="2"/>
  <c r="D474" i="2"/>
  <c r="D385" i="2"/>
  <c r="D555" i="2"/>
  <c r="D347" i="2"/>
  <c r="D523" i="2"/>
  <c r="D525" i="2"/>
  <c r="D524" i="2"/>
  <c r="D435" i="2"/>
  <c r="D475" i="2"/>
  <c r="D384" i="2"/>
  <c r="D761" i="2"/>
  <c r="D599" i="2"/>
  <c r="D521" i="2"/>
  <c r="D318" i="2"/>
  <c r="D578" i="2"/>
  <c r="D498" i="2"/>
  <c r="D433" i="2"/>
  <c r="D383" i="2"/>
  <c r="D434" i="2"/>
  <c r="D554" i="2"/>
  <c r="D522" i="2"/>
  <c r="D117" i="2"/>
  <c r="D456" i="2"/>
  <c r="D163" i="2"/>
  <c r="D149" i="2"/>
  <c r="D430" i="2"/>
  <c r="D745" i="2"/>
  <c r="D84" i="2"/>
  <c r="D93" i="2"/>
  <c r="D49" i="2"/>
  <c r="D53" i="2"/>
  <c r="D381" i="2"/>
  <c r="D62" i="2"/>
  <c r="D86" i="2"/>
  <c r="D157" i="2"/>
  <c r="D176" i="2"/>
  <c r="D24" i="2"/>
  <c r="D346" i="2"/>
  <c r="D80" i="2"/>
  <c r="D304" i="2"/>
  <c r="D57" i="2"/>
  <c r="D749" i="2"/>
  <c r="D16" i="2"/>
  <c r="D33" i="2"/>
  <c r="D70" i="2"/>
  <c r="D26" i="2"/>
  <c r="D277" i="2"/>
  <c r="D19" i="2"/>
  <c r="D137" i="2"/>
  <c r="D193" i="2"/>
  <c r="D269" i="2"/>
  <c r="D21" i="2"/>
  <c r="D268" i="2"/>
  <c r="D126" i="2"/>
  <c r="D43" i="2"/>
  <c r="D748" i="2"/>
  <c r="D92" i="2"/>
  <c r="D87" i="2"/>
  <c r="D595" i="2"/>
  <c r="D161" i="2"/>
  <c r="D46" i="2"/>
  <c r="D124" i="2"/>
  <c r="D275" i="2"/>
  <c r="D139" i="2"/>
  <c r="D431" i="2"/>
  <c r="D752" i="2"/>
  <c r="D73" i="2"/>
  <c r="D68" i="2"/>
  <c r="D58" i="2"/>
  <c r="D22" i="2"/>
  <c r="D317" i="2"/>
  <c r="D120" i="2"/>
  <c r="D65" i="2"/>
  <c r="D106" i="2"/>
  <c r="D47" i="2"/>
  <c r="D281" i="2"/>
  <c r="D96" i="2"/>
  <c r="D490" i="2"/>
  <c r="D750" i="2"/>
  <c r="D13" i="2"/>
  <c r="D66" i="2"/>
  <c r="D77" i="2"/>
  <c r="D63" i="2"/>
  <c r="D278" i="2"/>
  <c r="D224" i="2"/>
  <c r="D95" i="2"/>
  <c r="D312" i="2"/>
  <c r="D164" i="2"/>
  <c r="D751" i="2"/>
  <c r="D20" i="2"/>
  <c r="D147" i="2"/>
  <c r="D123" i="2"/>
  <c r="D315" i="2"/>
  <c r="D132" i="2"/>
  <c r="D230" i="2"/>
  <c r="D206" i="2"/>
  <c r="D177" i="2"/>
  <c r="D747" i="2"/>
  <c r="D746" i="2"/>
  <c r="D44" i="2"/>
  <c r="D313" i="2"/>
  <c r="D151" i="2"/>
  <c r="D23" i="2"/>
  <c r="D89" i="2"/>
  <c r="D97" i="2"/>
  <c r="D288" i="2"/>
  <c r="D17" i="2"/>
  <c r="D760" i="2"/>
  <c r="D236" i="2"/>
  <c r="D221" i="2"/>
  <c r="D183" i="2"/>
  <c r="D332" i="2"/>
  <c r="D282" i="2"/>
  <c r="D316" i="2"/>
  <c r="D28" i="2"/>
  <c r="D153" i="2"/>
  <c r="D60" i="2"/>
  <c r="D314" i="2"/>
  <c r="D174" i="2"/>
  <c r="D782" i="2"/>
  <c r="D52" i="2"/>
  <c r="D85" i="2"/>
  <c r="D517" i="2"/>
  <c r="D646" i="2"/>
  <c r="D597" i="2"/>
  <c r="D162" i="2"/>
  <c r="D5" i="2"/>
  <c r="D160" i="2"/>
  <c r="D54" i="2"/>
  <c r="D25" i="2"/>
  <c r="D102" i="2"/>
  <c r="D292" i="2"/>
  <c r="D152" i="2"/>
  <c r="D74" i="2"/>
  <c r="D94" i="2"/>
  <c r="D90" i="2"/>
  <c r="D358" i="2"/>
  <c r="D472" i="2"/>
  <c r="D38" i="2"/>
  <c r="D109" i="2"/>
  <c r="D502" i="2"/>
  <c r="D98" i="2"/>
  <c r="D7" i="2"/>
  <c r="D103" i="2"/>
  <c r="D110" i="2"/>
  <c r="D101" i="2"/>
  <c r="D11" i="2"/>
  <c r="D75" i="2"/>
  <c r="D37" i="2"/>
  <c r="D81" i="2"/>
  <c r="D254" i="2"/>
  <c r="D8" i="2"/>
  <c r="D119" i="2"/>
  <c r="D755" i="2"/>
  <c r="D756" i="2"/>
  <c r="D781" i="2"/>
  <c r="D758" i="2"/>
  <c r="D30" i="2"/>
  <c r="D10" i="2"/>
  <c r="D741" i="2"/>
  <c r="D734" i="2"/>
  <c r="D12" i="2"/>
  <c r="D6" i="2"/>
  <c r="D753" i="2"/>
  <c r="D744" i="2"/>
  <c r="D754" i="2"/>
  <c r="D4" i="2"/>
  <c r="D14" i="2"/>
  <c r="D3" i="2"/>
  <c r="D2" i="2"/>
  <c r="D757" i="2"/>
  <c r="E3" i="6"/>
  <c r="D735" i="2"/>
  <c r="D740" i="2"/>
  <c r="D29" i="2"/>
  <c r="D737" i="2"/>
  <c r="D42" i="2"/>
  <c r="D733" i="2"/>
  <c r="D743" i="2"/>
  <c r="D738" i="2"/>
  <c r="D739" i="2"/>
  <c r="D736" i="2"/>
  <c r="D501" i="2"/>
  <c r="D516" i="2"/>
  <c r="D36" i="2"/>
  <c r="D18" i="2"/>
  <c r="D742" i="2"/>
  <c r="D2" i="6" l="1"/>
  <c r="C2" i="6"/>
  <c r="B15" i="2" l="1"/>
  <c r="B34" i="2"/>
  <c r="C34" i="2" s="1"/>
  <c r="C15" i="2" l="1"/>
  <c r="D15" i="2"/>
  <c r="D34" i="2"/>
  <c r="E2" i="6" l="1"/>
  <c r="D764" i="2" l="1"/>
  <c r="D250" i="2"/>
  <c r="B717" i="2"/>
  <c r="C717" i="2" s="1"/>
  <c r="D717" i="2"/>
  <c r="B669" i="2"/>
  <c r="C669" i="2" s="1"/>
  <c r="B83" i="2"/>
  <c r="C83" i="2" s="1"/>
  <c r="B625" i="2"/>
  <c r="C625" i="2" s="1"/>
  <c r="B779" i="2"/>
  <c r="C779" i="2" s="1"/>
  <c r="B778" i="2"/>
  <c r="C778" i="2" s="1"/>
  <c r="D778" i="2"/>
  <c r="D83" i="2"/>
  <c r="D625" i="2"/>
  <c r="D669" i="2"/>
  <c r="D777" i="2"/>
  <c r="B777" i="2"/>
  <c r="D779" i="2"/>
  <c r="C777" i="2" l="1"/>
  <c r="D6" i="5" l="1"/>
  <c r="O2" i="5"/>
  <c r="D3" i="5"/>
  <c r="D4" i="5"/>
  <c r="D7" i="5"/>
  <c r="D2" i="5"/>
  <c r="F2" i="5"/>
  <c r="L2" i="5"/>
  <c r="D8" i="5"/>
  <c r="J2" i="5"/>
  <c r="H4" i="5"/>
  <c r="N2" i="5"/>
  <c r="K2" i="5" l="1"/>
  <c r="E2" i="5"/>
  <c r="I2" i="5"/>
  <c r="F9" i="5"/>
  <c r="H2" i="5"/>
  <c r="H6" i="5"/>
  <c r="K6" i="5"/>
  <c r="J4" i="5"/>
  <c r="K3" i="5"/>
  <c r="D9" i="5"/>
  <c r="G2" i="5"/>
  <c r="D5" i="5"/>
  <c r="M2" i="5"/>
  <c r="N5" i="5"/>
  <c r="E3" i="5"/>
  <c r="J7" i="5"/>
  <c r="N9" i="5"/>
  <c r="N4" i="5"/>
  <c r="I7" i="5"/>
  <c r="M6" i="5"/>
  <c r="L7" i="5"/>
  <c r="M7" i="5"/>
  <c r="G6" i="5"/>
  <c r="O9" i="5"/>
  <c r="O7" i="5"/>
  <c r="J6" i="5"/>
  <c r="I9" i="5"/>
  <c r="K9" i="5"/>
  <c r="M3" i="5"/>
  <c r="G8" i="5"/>
  <c r="I3" i="5"/>
  <c r="H9" i="5"/>
  <c r="K8" i="5"/>
  <c r="G5" i="5"/>
  <c r="F7" i="5"/>
  <c r="J8" i="5"/>
  <c r="F6" i="5"/>
  <c r="O3" i="5"/>
  <c r="L9" i="5"/>
  <c r="L5" i="5"/>
  <c r="H7" i="5"/>
  <c r="F8" i="5"/>
  <c r="E9" i="5"/>
  <c r="F3" i="5"/>
  <c r="O5" i="5"/>
  <c r="N7" i="5"/>
  <c r="I6" i="5"/>
  <c r="H3" i="5"/>
  <c r="L6" i="5"/>
  <c r="I8" i="5"/>
  <c r="J5" i="5"/>
  <c r="N3" i="5"/>
  <c r="O6" i="5"/>
  <c r="L4" i="5"/>
  <c r="M5" i="5"/>
  <c r="M9" i="5"/>
  <c r="F5" i="5"/>
  <c r="H5" i="5"/>
  <c r="E8" i="5"/>
  <c r="O4" i="5"/>
  <c r="G7" i="5"/>
  <c r="M8" i="5"/>
  <c r="G9" i="5"/>
  <c r="E5" i="5"/>
  <c r="L8" i="5"/>
  <c r="J9" i="5"/>
  <c r="G3" i="5"/>
  <c r="I5" i="5"/>
  <c r="N8" i="5"/>
  <c r="L3" i="5"/>
  <c r="F4" i="5"/>
  <c r="K4" i="5"/>
  <c r="M4" i="5"/>
  <c r="O8" i="5"/>
  <c r="E6" i="5"/>
  <c r="J3" i="5"/>
  <c r="E7" i="5"/>
  <c r="E4" i="5"/>
  <c r="G4" i="5"/>
  <c r="K5" i="5"/>
  <c r="I4" i="5"/>
  <c r="H8" i="5"/>
  <c r="K7" i="5"/>
  <c r="N6" i="5"/>
  <c r="N10" i="5" l="1"/>
  <c r="D10" i="5"/>
  <c r="P2" i="5"/>
  <c r="L10" i="5"/>
  <c r="J10" i="5"/>
  <c r="G10" i="5"/>
  <c r="I10" i="5"/>
  <c r="P4" i="5"/>
  <c r="M10" i="5"/>
  <c r="P5" i="5"/>
  <c r="P6" i="5"/>
  <c r="E10" i="5"/>
  <c r="O10" i="5"/>
  <c r="P7" i="5"/>
  <c r="K10" i="5"/>
  <c r="H10" i="5"/>
  <c r="P8" i="5"/>
  <c r="F10" i="5"/>
  <c r="P9" i="5"/>
  <c r="P3" i="5"/>
  <c r="P10" i="5" l="1"/>
  <c r="D104" i="2" l="1"/>
  <c r="B104" i="2"/>
  <c r="B107" i="2"/>
  <c r="C107" i="2" s="1"/>
  <c r="D107" i="2"/>
  <c r="C104" i="2" l="1"/>
  <c r="D640" i="2"/>
  <c r="B640" i="2"/>
  <c r="B519" i="2"/>
  <c r="C519" i="2" s="1"/>
  <c r="D519" i="2"/>
  <c r="D473" i="2"/>
  <c r="B473" i="2"/>
  <c r="D520" i="2"/>
  <c r="B520" i="2"/>
  <c r="D406" i="2"/>
  <c r="B406" i="2"/>
  <c r="C406" i="2" s="1"/>
  <c r="C520" i="2" l="1"/>
  <c r="C640" i="2"/>
  <c r="C473" i="2"/>
  <c r="D580" i="2"/>
  <c r="B580" i="2"/>
  <c r="C580" i="2" s="1"/>
  <c r="D579" i="2"/>
  <c r="B579" i="2"/>
  <c r="C579" i="2" s="1"/>
  <c r="B670" i="2"/>
  <c r="C670" i="2" s="1"/>
  <c r="D670" i="2"/>
  <c r="B661" i="2"/>
  <c r="D661" i="2"/>
  <c r="C661" i="2" l="1"/>
  <c r="B363" i="2"/>
  <c r="D363" i="2"/>
  <c r="C363" i="2" l="1"/>
  <c r="B598" i="2"/>
  <c r="D598" i="2"/>
  <c r="C598" i="2" l="1"/>
  <c r="D251" i="2"/>
  <c r="B251" i="2"/>
  <c r="C251" i="2" s="1"/>
  <c r="B182" i="2"/>
  <c r="C182" i="2" s="1"/>
  <c r="D182" i="2"/>
  <c r="B457" i="2"/>
  <c r="D457" i="2"/>
  <c r="C457" i="2" l="1"/>
  <c r="B61" i="2"/>
  <c r="D61" i="2"/>
  <c r="B569" i="2"/>
  <c r="C569" i="2" s="1"/>
  <c r="D569" i="2"/>
  <c r="D664" i="2"/>
  <c r="B664" i="2"/>
  <c r="C664" i="2" s="1"/>
  <c r="D419" i="2"/>
  <c r="B419" i="2"/>
  <c r="C419" i="2" s="1"/>
  <c r="B188" i="2"/>
  <c r="C188" i="2" s="1"/>
  <c r="D188" i="2"/>
  <c r="B766" i="2"/>
  <c r="B374" i="2"/>
  <c r="C374" i="2" s="1"/>
  <c r="D374" i="2"/>
  <c r="D766" i="2"/>
  <c r="B767" i="2"/>
  <c r="C767" i="2" s="1"/>
  <c r="D767" i="2"/>
  <c r="D528" i="2"/>
  <c r="B528" i="2"/>
  <c r="C528" i="2" s="1"/>
  <c r="D389" i="2"/>
  <c r="B389" i="2"/>
  <c r="C389" i="2" s="1"/>
  <c r="B178" i="2"/>
  <c r="C178" i="2" s="1"/>
  <c r="D178" i="2"/>
  <c r="C61" i="2" l="1"/>
  <c r="C766" i="2"/>
  <c r="B441" i="2"/>
  <c r="D441" i="2"/>
  <c r="C441" i="2" l="1"/>
  <c r="L321" i="3" l="1"/>
  <c r="K321" i="3" s="1"/>
  <c r="L500" i="3"/>
  <c r="K500" i="3" s="1"/>
  <c r="L591" i="3"/>
  <c r="K591" i="3" s="1"/>
  <c r="L723" i="3"/>
  <c r="K723" i="3" s="1"/>
  <c r="L388" i="3"/>
  <c r="K388" i="3" s="1"/>
  <c r="L526" i="3"/>
  <c r="K526" i="3" s="1"/>
  <c r="L216" i="3"/>
  <c r="K216" i="3" s="1"/>
  <c r="L467" i="3"/>
  <c r="K467" i="3" s="1"/>
  <c r="L548" i="3"/>
  <c r="K548" i="3" s="1"/>
  <c r="L632" i="3"/>
  <c r="K632" i="3" s="1"/>
  <c r="L600" i="3"/>
  <c r="K600" i="3" s="1"/>
  <c r="L469" i="3"/>
  <c r="K469" i="3" s="1"/>
  <c r="L392" i="3"/>
  <c r="K392" i="3" s="1"/>
  <c r="L518" i="3"/>
  <c r="K518" i="3" s="1"/>
  <c r="L626" i="3"/>
  <c r="K626" i="3" s="1"/>
  <c r="L755" i="3"/>
  <c r="K755" i="3" s="1"/>
  <c r="L396" i="3"/>
  <c r="K396" i="3" s="1"/>
  <c r="L531" i="3"/>
  <c r="K531" i="3" s="1"/>
  <c r="L597" i="3"/>
  <c r="K597" i="3" s="1"/>
  <c r="L738" i="3"/>
  <c r="K738" i="3" s="1"/>
  <c r="L424" i="3"/>
  <c r="K424" i="3" s="1"/>
  <c r="L598" i="3"/>
  <c r="K598" i="3" s="1"/>
  <c r="L736" i="3"/>
  <c r="K736" i="3" s="1"/>
  <c r="L581" i="3"/>
  <c r="K581" i="3" s="1"/>
  <c r="L734" i="3"/>
  <c r="K734" i="3" s="1"/>
  <c r="L334" i="3"/>
  <c r="K334" i="3" s="1"/>
  <c r="L498" i="3"/>
  <c r="K498" i="3" s="1"/>
  <c r="L724" i="3"/>
  <c r="K724" i="3" s="1"/>
  <c r="L232" i="3"/>
  <c r="K232" i="3" s="1"/>
  <c r="L468" i="3"/>
  <c r="K468" i="3" s="1"/>
  <c r="L549" i="3"/>
  <c r="K549" i="3" s="1"/>
  <c r="L197" i="3"/>
  <c r="K197" i="3" s="1"/>
  <c r="L601" i="3"/>
  <c r="K601" i="3" s="1"/>
  <c r="L231" i="3"/>
  <c r="K231" i="3" s="1"/>
  <c r="L721" i="3"/>
  <c r="K721" i="3" s="1"/>
  <c r="L764" i="3"/>
  <c r="K764" i="3" s="1"/>
  <c r="L750" i="3"/>
  <c r="K750" i="3" s="1"/>
  <c r="L740" i="3"/>
  <c r="K740" i="3" s="1"/>
  <c r="L751" i="3"/>
  <c r="K751" i="3" s="1"/>
  <c r="L753" i="3"/>
  <c r="K753" i="3" s="1"/>
  <c r="L2" i="3"/>
  <c r="K2" i="3" s="1"/>
  <c r="L757" i="3"/>
  <c r="K757" i="3" s="1"/>
  <c r="L758" i="3"/>
  <c r="K758" i="3" s="1"/>
  <c r="L718" i="3"/>
  <c r="K718" i="3" s="1"/>
  <c r="L735" i="3"/>
  <c r="K735" i="3" s="1"/>
  <c r="L745" i="3"/>
  <c r="K745" i="3" s="1"/>
  <c r="L746" i="3"/>
  <c r="K746" i="3" s="1"/>
  <c r="L768" i="3"/>
  <c r="K768" i="3" s="1"/>
  <c r="L762" i="3"/>
  <c r="K762" i="3" s="1"/>
  <c r="L752" i="3"/>
  <c r="K752" i="3" s="1"/>
  <c r="L744" i="3"/>
  <c r="K744" i="3" s="1"/>
  <c r="L737" i="3"/>
  <c r="K737" i="3" s="1"/>
  <c r="L731" i="3"/>
  <c r="K731" i="3" s="1"/>
  <c r="L728" i="3"/>
  <c r="K728" i="3" s="1"/>
  <c r="L725" i="3"/>
  <c r="K725" i="3" s="1"/>
  <c r="L716" i="3"/>
  <c r="K716" i="3" s="1"/>
  <c r="L713" i="3"/>
  <c r="K713" i="3" s="1"/>
  <c r="L710" i="3"/>
  <c r="K710" i="3" s="1"/>
  <c r="L707" i="3"/>
  <c r="K707" i="3" s="1"/>
  <c r="L704" i="3"/>
  <c r="K704" i="3" s="1"/>
  <c r="L701" i="3"/>
  <c r="K701" i="3" s="1"/>
  <c r="L698" i="3"/>
  <c r="K698" i="3" s="1"/>
  <c r="L695" i="3"/>
  <c r="K695" i="3" s="1"/>
  <c r="L692" i="3"/>
  <c r="K692" i="3" s="1"/>
  <c r="L689" i="3"/>
  <c r="K689" i="3" s="1"/>
  <c r="L686" i="3"/>
  <c r="K686" i="3" s="1"/>
  <c r="L683" i="3"/>
  <c r="K683" i="3" s="1"/>
  <c r="L763" i="3"/>
  <c r="K763" i="3" s="1"/>
  <c r="L719" i="3"/>
  <c r="K719" i="3" s="1"/>
  <c r="L563" i="3"/>
  <c r="K563" i="3" s="1"/>
  <c r="L767" i="3"/>
  <c r="K767" i="3" s="1"/>
  <c r="L754" i="3"/>
  <c r="K754" i="3" s="1"/>
  <c r="L748" i="3"/>
  <c r="K748" i="3" s="1"/>
  <c r="L739" i="3"/>
  <c r="K739" i="3" s="1"/>
  <c r="L732" i="3"/>
  <c r="K732" i="3" s="1"/>
  <c r="L729" i="3"/>
  <c r="K729" i="3" s="1"/>
  <c r="L726" i="3"/>
  <c r="K726" i="3" s="1"/>
  <c r="L717" i="3"/>
  <c r="K717" i="3" s="1"/>
  <c r="L714" i="3"/>
  <c r="K714" i="3" s="1"/>
  <c r="L711" i="3"/>
  <c r="K711" i="3" s="1"/>
  <c r="L741" i="3"/>
  <c r="K741" i="3" s="1"/>
  <c r="L743" i="3"/>
  <c r="K743" i="3" s="1"/>
  <c r="L233" i="3"/>
  <c r="K233" i="3" s="1"/>
  <c r="L759" i="3"/>
  <c r="K759" i="3" s="1"/>
  <c r="L733" i="3"/>
  <c r="K733" i="3" s="1"/>
  <c r="L727" i="3"/>
  <c r="K727" i="3" s="1"/>
  <c r="L712" i="3"/>
  <c r="K712" i="3" s="1"/>
  <c r="L706" i="3"/>
  <c r="K706" i="3" s="1"/>
  <c r="L702" i="3"/>
  <c r="K702" i="3" s="1"/>
  <c r="L697" i="3"/>
  <c r="K697" i="3" s="1"/>
  <c r="L693" i="3"/>
  <c r="K693" i="3" s="1"/>
  <c r="L688" i="3"/>
  <c r="K688" i="3" s="1"/>
  <c r="L684" i="3"/>
  <c r="K684" i="3" s="1"/>
  <c r="L680" i="3"/>
  <c r="K680" i="3" s="1"/>
  <c r="L677" i="3"/>
  <c r="K677" i="3" s="1"/>
  <c r="L674" i="3"/>
  <c r="K674" i="3" s="1"/>
  <c r="L671" i="3"/>
  <c r="K671" i="3" s="1"/>
  <c r="L668" i="3"/>
  <c r="K668" i="3" s="1"/>
  <c r="L665" i="3"/>
  <c r="K665" i="3" s="1"/>
  <c r="L662" i="3"/>
  <c r="K662" i="3" s="1"/>
  <c r="L659" i="3"/>
  <c r="K659" i="3" s="1"/>
  <c r="L656" i="3"/>
  <c r="K656" i="3" s="1"/>
  <c r="L653" i="3"/>
  <c r="K653" i="3" s="1"/>
  <c r="L650" i="3"/>
  <c r="K650" i="3" s="1"/>
  <c r="L647" i="3"/>
  <c r="K647" i="3" s="1"/>
  <c r="L644" i="3"/>
  <c r="K644" i="3" s="1"/>
  <c r="L641" i="3"/>
  <c r="K641" i="3" s="1"/>
  <c r="L638" i="3"/>
  <c r="K638" i="3" s="1"/>
  <c r="L635" i="3"/>
  <c r="K635" i="3" s="1"/>
  <c r="L631" i="3"/>
  <c r="K631" i="3" s="1"/>
  <c r="L628" i="3"/>
  <c r="K628" i="3" s="1"/>
  <c r="L624" i="3"/>
  <c r="K624" i="3" s="1"/>
  <c r="L620" i="3"/>
  <c r="K620" i="3" s="1"/>
  <c r="L617" i="3"/>
  <c r="K617" i="3" s="1"/>
  <c r="L614" i="3"/>
  <c r="K614" i="3" s="1"/>
  <c r="L611" i="3"/>
  <c r="K611" i="3" s="1"/>
  <c r="L607" i="3"/>
  <c r="K607" i="3" s="1"/>
  <c r="L604" i="3"/>
  <c r="K604" i="3" s="1"/>
  <c r="L599" i="3"/>
  <c r="K599" i="3" s="1"/>
  <c r="L594" i="3"/>
  <c r="K594" i="3" s="1"/>
  <c r="L590" i="3"/>
  <c r="K590" i="3" s="1"/>
  <c r="L587" i="3"/>
  <c r="K587" i="3" s="1"/>
  <c r="L584" i="3"/>
  <c r="K584" i="3" s="1"/>
  <c r="L580" i="3"/>
  <c r="K580" i="3" s="1"/>
  <c r="L577" i="3"/>
  <c r="K577" i="3" s="1"/>
  <c r="L574" i="3"/>
  <c r="K574" i="3" s="1"/>
  <c r="L571" i="3"/>
  <c r="K571" i="3" s="1"/>
  <c r="L568" i="3"/>
  <c r="K568" i="3" s="1"/>
  <c r="L562" i="3"/>
  <c r="K562" i="3" s="1"/>
  <c r="L559" i="3"/>
  <c r="K559" i="3" s="1"/>
  <c r="L556" i="3"/>
  <c r="K556" i="3" s="1"/>
  <c r="L553" i="3"/>
  <c r="K553" i="3" s="1"/>
  <c r="L550" i="3"/>
  <c r="K550" i="3" s="1"/>
  <c r="L545" i="3"/>
  <c r="K545" i="3" s="1"/>
  <c r="L542" i="3"/>
  <c r="K542" i="3" s="1"/>
  <c r="L539" i="3"/>
  <c r="K539" i="3" s="1"/>
  <c r="L536" i="3"/>
  <c r="K536" i="3" s="1"/>
  <c r="L533" i="3"/>
  <c r="K533" i="3" s="1"/>
  <c r="L529" i="3"/>
  <c r="K529" i="3" s="1"/>
  <c r="L525" i="3"/>
  <c r="K525" i="3" s="1"/>
  <c r="L522" i="3"/>
  <c r="K522" i="3" s="1"/>
  <c r="L519" i="3"/>
  <c r="K519" i="3" s="1"/>
  <c r="L515" i="3"/>
  <c r="K515" i="3" s="1"/>
  <c r="L512" i="3"/>
  <c r="K512" i="3" s="1"/>
  <c r="L509" i="3"/>
  <c r="K509" i="3" s="1"/>
  <c r="L506" i="3"/>
  <c r="K506" i="3" s="1"/>
  <c r="L503" i="3"/>
  <c r="K503" i="3" s="1"/>
  <c r="L499" i="3"/>
  <c r="K499" i="3" s="1"/>
  <c r="L742" i="3"/>
  <c r="K742" i="3" s="1"/>
  <c r="L722" i="3"/>
  <c r="K722" i="3" s="1"/>
  <c r="L708" i="3"/>
  <c r="K708" i="3" s="1"/>
  <c r="L700" i="3"/>
  <c r="K700" i="3" s="1"/>
  <c r="L694" i="3"/>
  <c r="K694" i="3" s="1"/>
  <c r="L687" i="3"/>
  <c r="K687" i="3" s="1"/>
  <c r="L681" i="3"/>
  <c r="K681" i="3" s="1"/>
  <c r="L676" i="3"/>
  <c r="K676" i="3" s="1"/>
  <c r="L672" i="3"/>
  <c r="K672" i="3" s="1"/>
  <c r="L667" i="3"/>
  <c r="K667" i="3" s="1"/>
  <c r="L663" i="3"/>
  <c r="K663" i="3" s="1"/>
  <c r="L658" i="3"/>
  <c r="K658" i="3" s="1"/>
  <c r="L654" i="3"/>
  <c r="K654" i="3" s="1"/>
  <c r="L649" i="3"/>
  <c r="K649" i="3" s="1"/>
  <c r="L645" i="3"/>
  <c r="K645" i="3" s="1"/>
  <c r="L640" i="3"/>
  <c r="K640" i="3" s="1"/>
  <c r="L636" i="3"/>
  <c r="K636" i="3" s="1"/>
  <c r="L630" i="3"/>
  <c r="K630" i="3" s="1"/>
  <c r="L625" i="3"/>
  <c r="K625" i="3" s="1"/>
  <c r="L619" i="3"/>
  <c r="K619" i="3" s="1"/>
  <c r="L615" i="3"/>
  <c r="K615" i="3" s="1"/>
  <c r="L610" i="3"/>
  <c r="K610" i="3" s="1"/>
  <c r="L605" i="3"/>
  <c r="K605" i="3" s="1"/>
  <c r="L596" i="3"/>
  <c r="K596" i="3" s="1"/>
  <c r="L592" i="3"/>
  <c r="K592" i="3" s="1"/>
  <c r="L586" i="3"/>
  <c r="K586" i="3" s="1"/>
  <c r="L582" i="3"/>
  <c r="K582" i="3" s="1"/>
  <c r="L576" i="3"/>
  <c r="K576" i="3" s="1"/>
  <c r="L572" i="3"/>
  <c r="K572" i="3" s="1"/>
  <c r="L567" i="3"/>
  <c r="K567" i="3" s="1"/>
  <c r="L560" i="3"/>
  <c r="K560" i="3" s="1"/>
  <c r="L555" i="3"/>
  <c r="K555" i="3" s="1"/>
  <c r="L551" i="3"/>
  <c r="K551" i="3" s="1"/>
  <c r="L544" i="3"/>
  <c r="K544" i="3" s="1"/>
  <c r="L540" i="3"/>
  <c r="K540" i="3" s="1"/>
  <c r="L535" i="3"/>
  <c r="K535" i="3" s="1"/>
  <c r="L530" i="3"/>
  <c r="K530" i="3" s="1"/>
  <c r="L524" i="3"/>
  <c r="K524" i="3" s="1"/>
  <c r="L520" i="3"/>
  <c r="K520" i="3" s="1"/>
  <c r="L514" i="3"/>
  <c r="K514" i="3" s="1"/>
  <c r="L510" i="3"/>
  <c r="K510" i="3" s="1"/>
  <c r="L505" i="3"/>
  <c r="K505" i="3" s="1"/>
  <c r="L501" i="3"/>
  <c r="K501" i="3" s="1"/>
  <c r="L492" i="3"/>
  <c r="K492" i="3" s="1"/>
  <c r="L483" i="3"/>
  <c r="K483" i="3" s="1"/>
  <c r="L473" i="3"/>
  <c r="K473" i="3" s="1"/>
  <c r="L461" i="3"/>
  <c r="K461" i="3" s="1"/>
  <c r="L452" i="3"/>
  <c r="K452" i="3" s="1"/>
  <c r="L443" i="3"/>
  <c r="K443" i="3" s="1"/>
  <c r="L434" i="3"/>
  <c r="K434" i="3" s="1"/>
  <c r="L494" i="3"/>
  <c r="K494" i="3" s="1"/>
  <c r="L490" i="3"/>
  <c r="K490" i="3" s="1"/>
  <c r="L485" i="3"/>
  <c r="K485" i="3" s="1"/>
  <c r="L481" i="3"/>
  <c r="K481" i="3" s="1"/>
  <c r="L475" i="3"/>
  <c r="K475" i="3" s="1"/>
  <c r="L471" i="3"/>
  <c r="K471" i="3" s="1"/>
  <c r="L463" i="3"/>
  <c r="K463" i="3" s="1"/>
  <c r="L459" i="3"/>
  <c r="K459" i="3" s="1"/>
  <c r="L454" i="3"/>
  <c r="K454" i="3" s="1"/>
  <c r="L450" i="3"/>
  <c r="K450" i="3" s="1"/>
  <c r="L445" i="3"/>
  <c r="K445" i="3" s="1"/>
  <c r="L441" i="3"/>
  <c r="K441" i="3" s="1"/>
  <c r="L436" i="3"/>
  <c r="K436" i="3" s="1"/>
  <c r="L432" i="3"/>
  <c r="K432" i="3" s="1"/>
  <c r="L428" i="3"/>
  <c r="K428" i="3" s="1"/>
  <c r="L425" i="3"/>
  <c r="K425" i="3" s="1"/>
  <c r="L421" i="3"/>
  <c r="K421" i="3" s="1"/>
  <c r="L418" i="3"/>
  <c r="K418" i="3" s="1"/>
  <c r="L415" i="3"/>
  <c r="K415" i="3" s="1"/>
  <c r="L412" i="3"/>
  <c r="K412" i="3" s="1"/>
  <c r="L409" i="3"/>
  <c r="K409" i="3" s="1"/>
  <c r="L406" i="3"/>
  <c r="K406" i="3" s="1"/>
  <c r="L402" i="3"/>
  <c r="K402" i="3" s="1"/>
  <c r="L399" i="3"/>
  <c r="K399" i="3" s="1"/>
  <c r="L395" i="3"/>
  <c r="K395" i="3" s="1"/>
  <c r="L391" i="3"/>
  <c r="K391" i="3" s="1"/>
  <c r="L387" i="3"/>
  <c r="K387" i="3" s="1"/>
  <c r="L383" i="3"/>
  <c r="K383" i="3" s="1"/>
  <c r="L380" i="3"/>
  <c r="K380" i="3" s="1"/>
  <c r="L376" i="3"/>
  <c r="K376" i="3" s="1"/>
  <c r="L373" i="3"/>
  <c r="K373" i="3" s="1"/>
  <c r="L370" i="3"/>
  <c r="K370" i="3" s="1"/>
  <c r="L367" i="3"/>
  <c r="K367" i="3" s="1"/>
  <c r="L364" i="3"/>
  <c r="K364" i="3" s="1"/>
  <c r="L361" i="3"/>
  <c r="K361" i="3" s="1"/>
  <c r="L358" i="3"/>
  <c r="K358" i="3" s="1"/>
  <c r="L355" i="3"/>
  <c r="K355" i="3" s="1"/>
  <c r="L352" i="3"/>
  <c r="K352" i="3" s="1"/>
  <c r="L349" i="3"/>
  <c r="K349" i="3" s="1"/>
  <c r="L346" i="3"/>
  <c r="K346" i="3" s="1"/>
  <c r="L340" i="3"/>
  <c r="K340" i="3" s="1"/>
  <c r="L330" i="3"/>
  <c r="K330" i="3" s="1"/>
  <c r="L320" i="3"/>
  <c r="K320" i="3" s="1"/>
  <c r="L311" i="3"/>
  <c r="K311" i="3" s="1"/>
  <c r="L302" i="3"/>
  <c r="K302" i="3" s="1"/>
  <c r="L293" i="3"/>
  <c r="K293" i="3" s="1"/>
  <c r="L217" i="3"/>
  <c r="K217" i="3" s="1"/>
  <c r="L219" i="3"/>
  <c r="K219" i="3" s="1"/>
  <c r="L342" i="3"/>
  <c r="K342" i="3" s="1"/>
  <c r="L338" i="3"/>
  <c r="K338" i="3" s="1"/>
  <c r="L332" i="3"/>
  <c r="K332" i="3" s="1"/>
  <c r="L167" i="3"/>
  <c r="K167" i="3" s="1"/>
  <c r="L163" i="3"/>
  <c r="K163" i="3" s="1"/>
  <c r="L154" i="3"/>
  <c r="K154" i="3" s="1"/>
  <c r="L169" i="3"/>
  <c r="K169" i="3" s="1"/>
  <c r="L164" i="3"/>
  <c r="K164" i="3" s="1"/>
  <c r="L159" i="3"/>
  <c r="K159" i="3" s="1"/>
  <c r="L155" i="3"/>
  <c r="K155" i="3" s="1"/>
  <c r="L149" i="3"/>
  <c r="K149" i="3" s="1"/>
  <c r="L328" i="3"/>
  <c r="K328" i="3" s="1"/>
  <c r="L313" i="3"/>
  <c r="K313" i="3" s="1"/>
  <c r="L300" i="3"/>
  <c r="K300" i="3" s="1"/>
  <c r="L223" i="3"/>
  <c r="K223" i="3" s="1"/>
  <c r="L215" i="3"/>
  <c r="K215" i="3" s="1"/>
  <c r="L325" i="3"/>
  <c r="K325" i="3" s="1"/>
  <c r="L316" i="3"/>
  <c r="K316" i="3" s="1"/>
  <c r="L310" i="3"/>
  <c r="K310" i="3" s="1"/>
  <c r="L303" i="3"/>
  <c r="K303" i="3" s="1"/>
  <c r="L297" i="3"/>
  <c r="K297" i="3" s="1"/>
  <c r="L289" i="3"/>
  <c r="K289" i="3" s="1"/>
  <c r="L213" i="3"/>
  <c r="K213" i="3" s="1"/>
  <c r="L221" i="3"/>
  <c r="K221" i="3" s="1"/>
  <c r="L211" i="3"/>
  <c r="K211" i="3" s="1"/>
  <c r="L168" i="3"/>
  <c r="K168" i="3" s="1"/>
  <c r="L286" i="3"/>
  <c r="K286" i="3" s="1"/>
  <c r="L283" i="3"/>
  <c r="K283" i="3" s="1"/>
  <c r="L280" i="3"/>
  <c r="K280" i="3" s="1"/>
  <c r="L277" i="3"/>
  <c r="K277" i="3" s="1"/>
  <c r="L274" i="3"/>
  <c r="K274" i="3" s="1"/>
  <c r="L271" i="3"/>
  <c r="K271" i="3" s="1"/>
  <c r="L268" i="3"/>
  <c r="K268" i="3" s="1"/>
  <c r="L265" i="3"/>
  <c r="K265" i="3" s="1"/>
  <c r="L262" i="3"/>
  <c r="K262" i="3" s="1"/>
  <c r="L259" i="3"/>
  <c r="K259" i="3" s="1"/>
  <c r="L256" i="3"/>
  <c r="K256" i="3" s="1"/>
  <c r="L253" i="3"/>
  <c r="K253" i="3" s="1"/>
  <c r="L250" i="3"/>
  <c r="K250" i="3" s="1"/>
  <c r="L247" i="3"/>
  <c r="K247" i="3" s="1"/>
  <c r="L244" i="3"/>
  <c r="K244" i="3" s="1"/>
  <c r="L241" i="3"/>
  <c r="K241" i="3" s="1"/>
  <c r="L238" i="3"/>
  <c r="K238" i="3" s="1"/>
  <c r="L235" i="3"/>
  <c r="K235" i="3" s="1"/>
  <c r="L209" i="3"/>
  <c r="K209" i="3" s="1"/>
  <c r="L206" i="3"/>
  <c r="K206" i="3" s="1"/>
  <c r="L720" i="3"/>
  <c r="K720" i="3" s="1"/>
  <c r="L777" i="3"/>
  <c r="K777" i="3" s="1"/>
  <c r="L715" i="3"/>
  <c r="K715" i="3" s="1"/>
  <c r="L705" i="3"/>
  <c r="K705" i="3" s="1"/>
  <c r="L699" i="3"/>
  <c r="K699" i="3" s="1"/>
  <c r="L691" i="3"/>
  <c r="K691" i="3" s="1"/>
  <c r="L685" i="3"/>
  <c r="K685" i="3" s="1"/>
  <c r="L679" i="3"/>
  <c r="K679" i="3" s="1"/>
  <c r="L675" i="3"/>
  <c r="K675" i="3" s="1"/>
  <c r="L670" i="3"/>
  <c r="K670" i="3" s="1"/>
  <c r="L666" i="3"/>
  <c r="K666" i="3" s="1"/>
  <c r="L661" i="3"/>
  <c r="K661" i="3" s="1"/>
  <c r="L657" i="3"/>
  <c r="K657" i="3" s="1"/>
  <c r="L652" i="3"/>
  <c r="K652" i="3" s="1"/>
  <c r="L648" i="3"/>
  <c r="K648" i="3" s="1"/>
  <c r="L643" i="3"/>
  <c r="K643" i="3" s="1"/>
  <c r="L639" i="3"/>
  <c r="K639" i="3" s="1"/>
  <c r="L634" i="3"/>
  <c r="K634" i="3" s="1"/>
  <c r="L629" i="3"/>
  <c r="K629" i="3" s="1"/>
  <c r="L622" i="3"/>
  <c r="K622" i="3" s="1"/>
  <c r="L618" i="3"/>
  <c r="K618" i="3" s="1"/>
  <c r="L613" i="3"/>
  <c r="K613" i="3" s="1"/>
  <c r="L609" i="3"/>
  <c r="K609" i="3" s="1"/>
  <c r="L603" i="3"/>
  <c r="K603" i="3" s="1"/>
  <c r="L595" i="3"/>
  <c r="K595" i="3" s="1"/>
  <c r="L589" i="3"/>
  <c r="K589" i="3" s="1"/>
  <c r="L585" i="3"/>
  <c r="K585" i="3" s="1"/>
  <c r="L579" i="3"/>
  <c r="K579" i="3" s="1"/>
  <c r="L575" i="3"/>
  <c r="K575" i="3" s="1"/>
  <c r="L570" i="3"/>
  <c r="K570" i="3" s="1"/>
  <c r="L564" i="3"/>
  <c r="K564" i="3" s="1"/>
  <c r="L558" i="3"/>
  <c r="K558" i="3" s="1"/>
  <c r="L554" i="3"/>
  <c r="K554" i="3" s="1"/>
  <c r="L547" i="3"/>
  <c r="K547" i="3" s="1"/>
  <c r="L543" i="3"/>
  <c r="K543" i="3" s="1"/>
  <c r="L538" i="3"/>
  <c r="K538" i="3" s="1"/>
  <c r="L534" i="3"/>
  <c r="K534" i="3" s="1"/>
  <c r="L528" i="3"/>
  <c r="K528" i="3" s="1"/>
  <c r="L523" i="3"/>
  <c r="K523" i="3" s="1"/>
  <c r="L517" i="3"/>
  <c r="K517" i="3" s="1"/>
  <c r="L513" i="3"/>
  <c r="K513" i="3" s="1"/>
  <c r="L508" i="3"/>
  <c r="K508" i="3" s="1"/>
  <c r="L504" i="3"/>
  <c r="K504" i="3" s="1"/>
  <c r="L497" i="3"/>
  <c r="K497" i="3" s="1"/>
  <c r="L489" i="3"/>
  <c r="K489" i="3" s="1"/>
  <c r="L480" i="3"/>
  <c r="K480" i="3" s="1"/>
  <c r="L470" i="3"/>
  <c r="K470" i="3" s="1"/>
  <c r="L458" i="3"/>
  <c r="K458" i="3" s="1"/>
  <c r="L449" i="3"/>
  <c r="K449" i="3" s="1"/>
  <c r="L440" i="3"/>
  <c r="K440" i="3" s="1"/>
  <c r="L431" i="3"/>
  <c r="K431" i="3" s="1"/>
  <c r="L493" i="3"/>
  <c r="K493" i="3" s="1"/>
  <c r="L488" i="3"/>
  <c r="K488" i="3" s="1"/>
  <c r="L484" i="3"/>
  <c r="K484" i="3" s="1"/>
  <c r="L479" i="3"/>
  <c r="K479" i="3" s="1"/>
  <c r="L474" i="3"/>
  <c r="K474" i="3" s="1"/>
  <c r="L466" i="3"/>
  <c r="K466" i="3" s="1"/>
  <c r="L462" i="3"/>
  <c r="K462" i="3" s="1"/>
  <c r="L457" i="3"/>
  <c r="K457" i="3" s="1"/>
  <c r="L453" i="3"/>
  <c r="K453" i="3" s="1"/>
  <c r="L448" i="3"/>
  <c r="K448" i="3" s="1"/>
  <c r="L444" i="3"/>
  <c r="K444" i="3" s="1"/>
  <c r="L439" i="3"/>
  <c r="K439" i="3" s="1"/>
  <c r="L435" i="3"/>
  <c r="K435" i="3" s="1"/>
  <c r="L430" i="3"/>
  <c r="K430" i="3" s="1"/>
  <c r="L427" i="3"/>
  <c r="K427" i="3" s="1"/>
  <c r="L423" i="3"/>
  <c r="K423" i="3" s="1"/>
  <c r="L420" i="3"/>
  <c r="K420" i="3" s="1"/>
  <c r="L417" i="3"/>
  <c r="K417" i="3" s="1"/>
  <c r="L414" i="3"/>
  <c r="K414" i="3" s="1"/>
  <c r="L411" i="3"/>
  <c r="K411" i="3" s="1"/>
  <c r="L408" i="3"/>
  <c r="K408" i="3" s="1"/>
  <c r="L404" i="3"/>
  <c r="K404" i="3" s="1"/>
  <c r="L401" i="3"/>
  <c r="K401" i="3" s="1"/>
  <c r="L398" i="3"/>
  <c r="K398" i="3" s="1"/>
  <c r="L394" i="3"/>
  <c r="K394" i="3" s="1"/>
  <c r="L390" i="3"/>
  <c r="K390" i="3" s="1"/>
  <c r="L386" i="3"/>
  <c r="K386" i="3" s="1"/>
  <c r="L382" i="3"/>
  <c r="K382" i="3" s="1"/>
  <c r="L378" i="3"/>
  <c r="K378" i="3" s="1"/>
  <c r="L375" i="3"/>
  <c r="K375" i="3" s="1"/>
  <c r="L372" i="3"/>
  <c r="K372" i="3" s="1"/>
  <c r="L369" i="3"/>
  <c r="K369" i="3" s="1"/>
  <c r="L366" i="3"/>
  <c r="K366" i="3" s="1"/>
  <c r="L363" i="3"/>
  <c r="K363" i="3" s="1"/>
  <c r="L360" i="3"/>
  <c r="K360" i="3" s="1"/>
  <c r="L357" i="3"/>
  <c r="K357" i="3" s="1"/>
  <c r="L354" i="3"/>
  <c r="K354" i="3" s="1"/>
  <c r="L351" i="3"/>
  <c r="K351" i="3" s="1"/>
  <c r="L348" i="3"/>
  <c r="K348" i="3" s="1"/>
  <c r="L345" i="3"/>
  <c r="K345" i="3" s="1"/>
  <c r="L337" i="3"/>
  <c r="K337" i="3" s="1"/>
  <c r="L327" i="3"/>
  <c r="K327" i="3" s="1"/>
  <c r="L317" i="3"/>
  <c r="K317" i="3" s="1"/>
  <c r="L308" i="3"/>
  <c r="K308" i="3" s="1"/>
  <c r="L299" i="3"/>
  <c r="K299" i="3" s="1"/>
  <c r="L290" i="3"/>
  <c r="K290" i="3" s="1"/>
  <c r="L228" i="3"/>
  <c r="K228" i="3" s="1"/>
  <c r="L214" i="3"/>
  <c r="K214" i="3" s="1"/>
  <c r="L341" i="3"/>
  <c r="K341" i="3" s="1"/>
  <c r="L336" i="3"/>
  <c r="K336" i="3" s="1"/>
  <c r="L331" i="3"/>
  <c r="K331" i="3" s="1"/>
  <c r="L288" i="3"/>
  <c r="K288" i="3" s="1"/>
  <c r="L285" i="3"/>
  <c r="K285" i="3" s="1"/>
  <c r="L282" i="3"/>
  <c r="K282" i="3" s="1"/>
  <c r="L279" i="3"/>
  <c r="K279" i="3" s="1"/>
  <c r="L276" i="3"/>
  <c r="K276" i="3" s="1"/>
  <c r="L273" i="3"/>
  <c r="K273" i="3" s="1"/>
  <c r="L270" i="3"/>
  <c r="K270" i="3" s="1"/>
  <c r="L267" i="3"/>
  <c r="K267" i="3" s="1"/>
  <c r="L264" i="3"/>
  <c r="K264" i="3" s="1"/>
  <c r="L261" i="3"/>
  <c r="K261" i="3" s="1"/>
  <c r="L258" i="3"/>
  <c r="K258" i="3" s="1"/>
  <c r="L255" i="3"/>
  <c r="K255" i="3" s="1"/>
  <c r="L252" i="3"/>
  <c r="K252" i="3" s="1"/>
  <c r="L249" i="3"/>
  <c r="K249" i="3" s="1"/>
  <c r="L246" i="3"/>
  <c r="K246" i="3" s="1"/>
  <c r="L243" i="3"/>
  <c r="K243" i="3" s="1"/>
  <c r="L240" i="3"/>
  <c r="K240" i="3" s="1"/>
  <c r="L237" i="3"/>
  <c r="K237" i="3" s="1"/>
  <c r="L234" i="3"/>
  <c r="K234" i="3" s="1"/>
  <c r="L208" i="3"/>
  <c r="K208" i="3" s="1"/>
  <c r="L205" i="3"/>
  <c r="K205" i="3" s="1"/>
  <c r="L160" i="3"/>
  <c r="K160" i="3" s="1"/>
  <c r="L150" i="3"/>
  <c r="K150" i="3" s="1"/>
  <c r="L166" i="3"/>
  <c r="K166" i="3" s="1"/>
  <c r="L162" i="3"/>
  <c r="K162" i="3" s="1"/>
  <c r="L158" i="3"/>
  <c r="K158" i="3" s="1"/>
  <c r="L152" i="3"/>
  <c r="K152" i="3" s="1"/>
  <c r="L147" i="3"/>
  <c r="K147" i="3" s="1"/>
  <c r="L323" i="3"/>
  <c r="K323" i="3" s="1"/>
  <c r="L309" i="3"/>
  <c r="K309" i="3" s="1"/>
  <c r="L295" i="3"/>
  <c r="K295" i="3" s="1"/>
  <c r="L230" i="3"/>
  <c r="K230" i="3" s="1"/>
  <c r="L329" i="3"/>
  <c r="K329" i="3" s="1"/>
  <c r="L322" i="3"/>
  <c r="K322" i="3" s="1"/>
  <c r="L315" i="3"/>
  <c r="K315" i="3" s="1"/>
  <c r="L307" i="3"/>
  <c r="K307" i="3" s="1"/>
  <c r="L301" i="3"/>
  <c r="K301" i="3" s="1"/>
  <c r="L294" i="3"/>
  <c r="K294" i="3" s="1"/>
  <c r="L229" i="3"/>
  <c r="K229" i="3" s="1"/>
  <c r="L227" i="3"/>
  <c r="K227" i="3" s="1"/>
  <c r="L218" i="3"/>
  <c r="K218" i="3" s="1"/>
  <c r="L192" i="3"/>
  <c r="K192" i="3" s="1"/>
  <c r="L189" i="3"/>
  <c r="K189" i="3" s="1"/>
  <c r="L186" i="3"/>
  <c r="K186" i="3" s="1"/>
  <c r="L183" i="3"/>
  <c r="K183" i="3" s="1"/>
  <c r="L180" i="3"/>
  <c r="K180" i="3" s="1"/>
  <c r="L177" i="3"/>
  <c r="K177" i="3" s="1"/>
  <c r="L174" i="3"/>
  <c r="K174" i="3" s="1"/>
  <c r="L204" i="3"/>
  <c r="K204" i="3" s="1"/>
  <c r="L749" i="3"/>
  <c r="K749" i="3" s="1"/>
  <c r="L730" i="3"/>
  <c r="K730" i="3" s="1"/>
  <c r="L709" i="3"/>
  <c r="K709" i="3" s="1"/>
  <c r="L703" i="3"/>
  <c r="K703" i="3" s="1"/>
  <c r="L696" i="3"/>
  <c r="K696" i="3" s="1"/>
  <c r="L690" i="3"/>
  <c r="K690" i="3" s="1"/>
  <c r="L682" i="3"/>
  <c r="K682" i="3" s="1"/>
  <c r="L678" i="3"/>
  <c r="K678" i="3" s="1"/>
  <c r="L673" i="3"/>
  <c r="K673" i="3" s="1"/>
  <c r="L669" i="3"/>
  <c r="K669" i="3" s="1"/>
  <c r="L664" i="3"/>
  <c r="K664" i="3" s="1"/>
  <c r="L660" i="3"/>
  <c r="K660" i="3" s="1"/>
  <c r="L655" i="3"/>
  <c r="K655" i="3" s="1"/>
  <c r="L651" i="3"/>
  <c r="K651" i="3" s="1"/>
  <c r="L646" i="3"/>
  <c r="K646" i="3" s="1"/>
  <c r="L642" i="3"/>
  <c r="K642" i="3" s="1"/>
  <c r="L637" i="3"/>
  <c r="K637" i="3" s="1"/>
  <c r="L633" i="3"/>
  <c r="K633" i="3" s="1"/>
  <c r="L627" i="3"/>
  <c r="K627" i="3" s="1"/>
  <c r="L621" i="3"/>
  <c r="K621" i="3" s="1"/>
  <c r="L616" i="3"/>
  <c r="K616" i="3" s="1"/>
  <c r="L612" i="3"/>
  <c r="K612" i="3" s="1"/>
  <c r="L606" i="3"/>
  <c r="K606" i="3" s="1"/>
  <c r="L602" i="3"/>
  <c r="K602" i="3" s="1"/>
  <c r="L593" i="3"/>
  <c r="K593" i="3" s="1"/>
  <c r="L588" i="3"/>
  <c r="K588" i="3" s="1"/>
  <c r="L583" i="3"/>
  <c r="K583" i="3" s="1"/>
  <c r="L578" i="3"/>
  <c r="K578" i="3" s="1"/>
  <c r="L573" i="3"/>
  <c r="K573" i="3" s="1"/>
  <c r="L569" i="3"/>
  <c r="K569" i="3" s="1"/>
  <c r="L561" i="3"/>
  <c r="K561" i="3" s="1"/>
  <c r="L557" i="3"/>
  <c r="K557" i="3" s="1"/>
  <c r="L552" i="3"/>
  <c r="K552" i="3" s="1"/>
  <c r="L546" i="3"/>
  <c r="K546" i="3" s="1"/>
  <c r="L541" i="3"/>
  <c r="K541" i="3" s="1"/>
  <c r="L537" i="3"/>
  <c r="K537" i="3" s="1"/>
  <c r="L532" i="3"/>
  <c r="K532" i="3" s="1"/>
  <c r="L527" i="3"/>
  <c r="K527" i="3" s="1"/>
  <c r="L521" i="3"/>
  <c r="K521" i="3" s="1"/>
  <c r="L516" i="3"/>
  <c r="K516" i="3" s="1"/>
  <c r="L511" i="3"/>
  <c r="K511" i="3" s="1"/>
  <c r="L507" i="3"/>
  <c r="K507" i="3" s="1"/>
  <c r="L502" i="3"/>
  <c r="K502" i="3" s="1"/>
  <c r="L495" i="3"/>
  <c r="K495" i="3" s="1"/>
  <c r="L486" i="3"/>
  <c r="K486" i="3" s="1"/>
  <c r="L476" i="3"/>
  <c r="K476" i="3" s="1"/>
  <c r="L464" i="3"/>
  <c r="K464" i="3" s="1"/>
  <c r="L455" i="3"/>
  <c r="K455" i="3" s="1"/>
  <c r="L446" i="3"/>
  <c r="K446" i="3" s="1"/>
  <c r="L437" i="3"/>
  <c r="K437" i="3" s="1"/>
  <c r="L496" i="3"/>
  <c r="K496" i="3" s="1"/>
  <c r="L491" i="3"/>
  <c r="K491" i="3" s="1"/>
  <c r="L487" i="3"/>
  <c r="K487" i="3" s="1"/>
  <c r="L482" i="3"/>
  <c r="K482" i="3" s="1"/>
  <c r="L477" i="3"/>
  <c r="K477" i="3" s="1"/>
  <c r="L472" i="3"/>
  <c r="K472" i="3" s="1"/>
  <c r="L465" i="3"/>
  <c r="K465" i="3" s="1"/>
  <c r="L460" i="3"/>
  <c r="K460" i="3" s="1"/>
  <c r="L456" i="3"/>
  <c r="K456" i="3" s="1"/>
  <c r="L451" i="3"/>
  <c r="K451" i="3" s="1"/>
  <c r="L447" i="3"/>
  <c r="K447" i="3" s="1"/>
  <c r="L442" i="3"/>
  <c r="K442" i="3" s="1"/>
  <c r="L438" i="3"/>
  <c r="K438" i="3" s="1"/>
  <c r="L433" i="3"/>
  <c r="K433" i="3" s="1"/>
  <c r="L429" i="3"/>
  <c r="K429" i="3" s="1"/>
  <c r="L426" i="3"/>
  <c r="K426" i="3" s="1"/>
  <c r="L422" i="3"/>
  <c r="K422" i="3" s="1"/>
  <c r="L419" i="3"/>
  <c r="K419" i="3" s="1"/>
  <c r="L416" i="3"/>
  <c r="K416" i="3" s="1"/>
  <c r="L413" i="3"/>
  <c r="K413" i="3" s="1"/>
  <c r="L410" i="3"/>
  <c r="K410" i="3" s="1"/>
  <c r="L407" i="3"/>
  <c r="K407" i="3" s="1"/>
  <c r="L403" i="3"/>
  <c r="K403" i="3" s="1"/>
  <c r="L400" i="3"/>
  <c r="K400" i="3" s="1"/>
  <c r="L397" i="3"/>
  <c r="K397" i="3" s="1"/>
  <c r="L393" i="3"/>
  <c r="K393" i="3" s="1"/>
  <c r="L389" i="3"/>
  <c r="K389" i="3" s="1"/>
  <c r="L385" i="3"/>
  <c r="K385" i="3" s="1"/>
  <c r="L381" i="3"/>
  <c r="K381" i="3" s="1"/>
  <c r="L377" i="3"/>
  <c r="K377" i="3" s="1"/>
  <c r="L374" i="3"/>
  <c r="K374" i="3" s="1"/>
  <c r="L371" i="3"/>
  <c r="K371" i="3" s="1"/>
  <c r="L368" i="3"/>
  <c r="K368" i="3" s="1"/>
  <c r="L365" i="3"/>
  <c r="K365" i="3" s="1"/>
  <c r="L362" i="3"/>
  <c r="K362" i="3" s="1"/>
  <c r="L359" i="3"/>
  <c r="K359" i="3" s="1"/>
  <c r="L356" i="3"/>
  <c r="K356" i="3" s="1"/>
  <c r="L353" i="3"/>
  <c r="K353" i="3" s="1"/>
  <c r="L350" i="3"/>
  <c r="K350" i="3" s="1"/>
  <c r="L347" i="3"/>
  <c r="K347" i="3" s="1"/>
  <c r="L343" i="3"/>
  <c r="K343" i="3" s="1"/>
  <c r="L333" i="3"/>
  <c r="K333" i="3" s="1"/>
  <c r="L324" i="3"/>
  <c r="K324" i="3" s="1"/>
  <c r="L314" i="3"/>
  <c r="K314" i="3" s="1"/>
  <c r="L305" i="3"/>
  <c r="K305" i="3" s="1"/>
  <c r="L296" i="3"/>
  <c r="K296" i="3" s="1"/>
  <c r="L226" i="3"/>
  <c r="K226" i="3" s="1"/>
  <c r="L224" i="3"/>
  <c r="K224" i="3" s="1"/>
  <c r="L344" i="3"/>
  <c r="K344" i="3" s="1"/>
  <c r="L339" i="3"/>
  <c r="K339" i="3" s="1"/>
  <c r="L335" i="3"/>
  <c r="K335" i="3" s="1"/>
  <c r="L157" i="3"/>
  <c r="K157" i="3" s="1"/>
  <c r="L146" i="3"/>
  <c r="K146" i="3" s="1"/>
  <c r="L165" i="3"/>
  <c r="K165" i="3" s="1"/>
  <c r="L151" i="3"/>
  <c r="K151" i="3" s="1"/>
  <c r="L304" i="3"/>
  <c r="K304" i="3" s="1"/>
  <c r="L326" i="3"/>
  <c r="K326" i="3" s="1"/>
  <c r="L306" i="3"/>
  <c r="K306" i="3" s="1"/>
  <c r="L220" i="3"/>
  <c r="K220" i="3" s="1"/>
  <c r="L284" i="3"/>
  <c r="K284" i="3" s="1"/>
  <c r="L275" i="3"/>
  <c r="K275" i="3" s="1"/>
  <c r="L266" i="3"/>
  <c r="K266" i="3" s="1"/>
  <c r="L257" i="3"/>
  <c r="K257" i="3" s="1"/>
  <c r="L248" i="3"/>
  <c r="K248" i="3" s="1"/>
  <c r="L239" i="3"/>
  <c r="K239" i="3" s="1"/>
  <c r="L207" i="3"/>
  <c r="K207" i="3" s="1"/>
  <c r="L193" i="3"/>
  <c r="K193" i="3" s="1"/>
  <c r="L188" i="3"/>
  <c r="K188" i="3" s="1"/>
  <c r="L184" i="3"/>
  <c r="K184" i="3" s="1"/>
  <c r="L179" i="3"/>
  <c r="K179" i="3" s="1"/>
  <c r="L175" i="3"/>
  <c r="K175" i="3" s="1"/>
  <c r="L203" i="3"/>
  <c r="K203" i="3" s="1"/>
  <c r="L196" i="3"/>
  <c r="K196" i="3" s="1"/>
  <c r="L201" i="3"/>
  <c r="K201" i="3" s="1"/>
  <c r="L97" i="3"/>
  <c r="K97" i="3" s="1"/>
  <c r="L88" i="3"/>
  <c r="K88" i="3" s="1"/>
  <c r="L79" i="3"/>
  <c r="K79" i="3" s="1"/>
  <c r="L143" i="3"/>
  <c r="K143" i="3" s="1"/>
  <c r="L140" i="3"/>
  <c r="K140" i="3" s="1"/>
  <c r="L136" i="3"/>
  <c r="K136" i="3" s="1"/>
  <c r="L130" i="3"/>
  <c r="K130" i="3" s="1"/>
  <c r="L126" i="3"/>
  <c r="K126" i="3" s="1"/>
  <c r="L123" i="3"/>
  <c r="K123" i="3" s="1"/>
  <c r="L120" i="3"/>
  <c r="K120" i="3" s="1"/>
  <c r="L117" i="3"/>
  <c r="K117" i="3" s="1"/>
  <c r="L112" i="3"/>
  <c r="K112" i="3" s="1"/>
  <c r="L109" i="3"/>
  <c r="K109" i="3" s="1"/>
  <c r="L106" i="3"/>
  <c r="K106" i="3" s="1"/>
  <c r="L103" i="3"/>
  <c r="K103" i="3" s="1"/>
  <c r="L100" i="3"/>
  <c r="K100" i="3" s="1"/>
  <c r="L96" i="3"/>
  <c r="K96" i="3" s="1"/>
  <c r="L92" i="3"/>
  <c r="K92" i="3" s="1"/>
  <c r="L87" i="3"/>
  <c r="K87" i="3" s="1"/>
  <c r="L83" i="3"/>
  <c r="K83" i="3" s="1"/>
  <c r="L78" i="3"/>
  <c r="K78" i="3" s="1"/>
  <c r="L72" i="3"/>
  <c r="K72" i="3" s="1"/>
  <c r="L37" i="3"/>
  <c r="K37" i="3" s="1"/>
  <c r="L34" i="3"/>
  <c r="K34" i="3" s="1"/>
  <c r="L31" i="3"/>
  <c r="K31" i="3" s="1"/>
  <c r="L28" i="3"/>
  <c r="K28" i="3" s="1"/>
  <c r="L24" i="3"/>
  <c r="K24" i="3" s="1"/>
  <c r="L21" i="3"/>
  <c r="K21" i="3" s="1"/>
  <c r="L18" i="3"/>
  <c r="K18" i="3" s="1"/>
  <c r="L14" i="3"/>
  <c r="K14" i="3" s="1"/>
  <c r="L10" i="3"/>
  <c r="K10" i="3" s="1"/>
  <c r="L7" i="3"/>
  <c r="K7" i="3" s="1"/>
  <c r="L4" i="3"/>
  <c r="K4" i="3" s="1"/>
  <c r="L566" i="3"/>
  <c r="K566" i="3" s="1"/>
  <c r="L128" i="3"/>
  <c r="K128" i="3" s="1"/>
  <c r="L202" i="3"/>
  <c r="K202" i="3" s="1"/>
  <c r="L760" i="3"/>
  <c r="K760" i="3" s="1"/>
  <c r="L478" i="3"/>
  <c r="K478" i="3" s="1"/>
  <c r="L771" i="3"/>
  <c r="K771" i="3" s="1"/>
  <c r="L769" i="3"/>
  <c r="K769" i="3" s="1"/>
  <c r="L15" i="3"/>
  <c r="K15" i="3" s="1"/>
  <c r="L113" i="3"/>
  <c r="K113" i="3" s="1"/>
  <c r="L139" i="3"/>
  <c r="K139" i="3" s="1"/>
  <c r="L772" i="3"/>
  <c r="K772" i="3" s="1"/>
  <c r="L39" i="3"/>
  <c r="K39" i="3" s="1"/>
  <c r="L66" i="3"/>
  <c r="K66" i="3" s="1"/>
  <c r="L63" i="3"/>
  <c r="K63" i="3" s="1"/>
  <c r="L40" i="3"/>
  <c r="K40" i="3" s="1"/>
  <c r="L59" i="3"/>
  <c r="K59" i="3" s="1"/>
  <c r="L56" i="3"/>
  <c r="K56" i="3" s="1"/>
  <c r="L53" i="3"/>
  <c r="K53" i="3" s="1"/>
  <c r="L50" i="3"/>
  <c r="K50" i="3" s="1"/>
  <c r="L47" i="3"/>
  <c r="K47" i="3" s="1"/>
  <c r="L44" i="3"/>
  <c r="K44" i="3" s="1"/>
  <c r="L41" i="3"/>
  <c r="K41" i="3" s="1"/>
  <c r="L198" i="3"/>
  <c r="K198" i="3" s="1"/>
  <c r="L94" i="3"/>
  <c r="K94" i="3" s="1"/>
  <c r="L85" i="3"/>
  <c r="K85" i="3" s="1"/>
  <c r="L75" i="3"/>
  <c r="K75" i="3" s="1"/>
  <c r="L142" i="3"/>
  <c r="K142" i="3" s="1"/>
  <c r="L138" i="3"/>
  <c r="K138" i="3" s="1"/>
  <c r="L135" i="3"/>
  <c r="K135" i="3" s="1"/>
  <c r="L132" i="3"/>
  <c r="K132" i="3" s="1"/>
  <c r="L129" i="3"/>
  <c r="K129" i="3" s="1"/>
  <c r="L125" i="3"/>
  <c r="K125" i="3" s="1"/>
  <c r="L122" i="3"/>
  <c r="K122" i="3" s="1"/>
  <c r="L119" i="3"/>
  <c r="K119" i="3" s="1"/>
  <c r="L116" i="3"/>
  <c r="K116" i="3" s="1"/>
  <c r="L111" i="3"/>
  <c r="K111" i="3" s="1"/>
  <c r="L108" i="3"/>
  <c r="K108" i="3" s="1"/>
  <c r="L105" i="3"/>
  <c r="K105" i="3" s="1"/>
  <c r="L102" i="3"/>
  <c r="K102" i="3" s="1"/>
  <c r="L99" i="3"/>
  <c r="K99" i="3" s="1"/>
  <c r="L95" i="3"/>
  <c r="K95" i="3" s="1"/>
  <c r="L90" i="3"/>
  <c r="K90" i="3" s="1"/>
  <c r="L86" i="3"/>
  <c r="K86" i="3" s="1"/>
  <c r="L81" i="3"/>
  <c r="K81" i="3" s="1"/>
  <c r="L76" i="3"/>
  <c r="K76" i="3" s="1"/>
  <c r="L70" i="3"/>
  <c r="K70" i="3" s="1"/>
  <c r="L61" i="3"/>
  <c r="K61" i="3" s="1"/>
  <c r="L58" i="3"/>
  <c r="K58" i="3" s="1"/>
  <c r="L55" i="3"/>
  <c r="K55" i="3" s="1"/>
  <c r="L52" i="3"/>
  <c r="K52" i="3" s="1"/>
  <c r="L49" i="3"/>
  <c r="K49" i="3" s="1"/>
  <c r="L46" i="3"/>
  <c r="K46" i="3" s="1"/>
  <c r="L43" i="3"/>
  <c r="K43" i="3" s="1"/>
  <c r="L161" i="3"/>
  <c r="K161" i="3" s="1"/>
  <c r="L145" i="3"/>
  <c r="K145" i="3" s="1"/>
  <c r="L291" i="3"/>
  <c r="K291" i="3" s="1"/>
  <c r="L319" i="3"/>
  <c r="K319" i="3" s="1"/>
  <c r="L298" i="3"/>
  <c r="K298" i="3" s="1"/>
  <c r="L225" i="3"/>
  <c r="K225" i="3" s="1"/>
  <c r="L171" i="3"/>
  <c r="K171" i="3" s="1"/>
  <c r="L281" i="3"/>
  <c r="K281" i="3" s="1"/>
  <c r="L272" i="3"/>
  <c r="K272" i="3" s="1"/>
  <c r="L263" i="3"/>
  <c r="K263" i="3" s="1"/>
  <c r="L254" i="3"/>
  <c r="K254" i="3" s="1"/>
  <c r="L245" i="3"/>
  <c r="K245" i="3" s="1"/>
  <c r="L236" i="3"/>
  <c r="K236" i="3" s="1"/>
  <c r="L191" i="3"/>
  <c r="K191" i="3" s="1"/>
  <c r="L187" i="3"/>
  <c r="K187" i="3" s="1"/>
  <c r="L182" i="3"/>
  <c r="K182" i="3" s="1"/>
  <c r="L178" i="3"/>
  <c r="K178" i="3" s="1"/>
  <c r="L173" i="3"/>
  <c r="K173" i="3" s="1"/>
  <c r="L200" i="3"/>
  <c r="K200" i="3" s="1"/>
  <c r="L195" i="3"/>
  <c r="K195" i="3" s="1"/>
  <c r="L68" i="3"/>
  <c r="K68" i="3" s="1"/>
  <c r="L65" i="3"/>
  <c r="K65" i="3" s="1"/>
  <c r="L62" i="3"/>
  <c r="K62" i="3" s="1"/>
  <c r="L38" i="3"/>
  <c r="K38" i="3" s="1"/>
  <c r="L36" i="3"/>
  <c r="K36" i="3" s="1"/>
  <c r="L33" i="3"/>
  <c r="K33" i="3" s="1"/>
  <c r="L30" i="3"/>
  <c r="K30" i="3" s="1"/>
  <c r="L27" i="3"/>
  <c r="K27" i="3" s="1"/>
  <c r="L23" i="3"/>
  <c r="K23" i="3" s="1"/>
  <c r="L20" i="3"/>
  <c r="K20" i="3" s="1"/>
  <c r="L17" i="3"/>
  <c r="K17" i="3" s="1"/>
  <c r="L13" i="3"/>
  <c r="K13" i="3" s="1"/>
  <c r="L9" i="3"/>
  <c r="K9" i="3" s="1"/>
  <c r="L6" i="3"/>
  <c r="K6" i="3" s="1"/>
  <c r="L3" i="3"/>
  <c r="K3" i="3" s="1"/>
  <c r="L26" i="3"/>
  <c r="K26" i="3" s="1"/>
  <c r="L148" i="3"/>
  <c r="K148" i="3" s="1"/>
  <c r="L756" i="3"/>
  <c r="K756" i="3" s="1"/>
  <c r="L765" i="3"/>
  <c r="K765" i="3" s="1"/>
  <c r="L608" i="3"/>
  <c r="K608" i="3" s="1"/>
  <c r="L776" i="3"/>
  <c r="K776" i="3" s="1"/>
  <c r="L774" i="3"/>
  <c r="K774" i="3" s="1"/>
  <c r="L775" i="3"/>
  <c r="K775" i="3" s="1"/>
  <c r="L405" i="3"/>
  <c r="K405" i="3" s="1"/>
  <c r="L74" i="3"/>
  <c r="K74" i="3" s="1"/>
  <c r="L114" i="3"/>
  <c r="K114" i="3" s="1"/>
  <c r="L153" i="3"/>
  <c r="K153" i="3" s="1"/>
  <c r="L170" i="3"/>
  <c r="K170" i="3" s="1"/>
  <c r="L156" i="3"/>
  <c r="K156" i="3" s="1"/>
  <c r="L318" i="3"/>
  <c r="K318" i="3" s="1"/>
  <c r="L222" i="3"/>
  <c r="K222" i="3" s="1"/>
  <c r="L312" i="3"/>
  <c r="K312" i="3" s="1"/>
  <c r="L292" i="3"/>
  <c r="K292" i="3" s="1"/>
  <c r="L194" i="3"/>
  <c r="K194" i="3" s="1"/>
  <c r="L91" i="3"/>
  <c r="K91" i="3" s="1"/>
  <c r="L82" i="3"/>
  <c r="K82" i="3" s="1"/>
  <c r="L71" i="3"/>
  <c r="K71" i="3" s="1"/>
  <c r="L144" i="3"/>
  <c r="K144" i="3" s="1"/>
  <c r="L141" i="3"/>
  <c r="K141" i="3" s="1"/>
  <c r="L137" i="3"/>
  <c r="K137" i="3" s="1"/>
  <c r="L134" i="3"/>
  <c r="K134" i="3" s="1"/>
  <c r="L131" i="3"/>
  <c r="K131" i="3" s="1"/>
  <c r="L127" i="3"/>
  <c r="K127" i="3" s="1"/>
  <c r="L124" i="3"/>
  <c r="K124" i="3" s="1"/>
  <c r="L121" i="3"/>
  <c r="K121" i="3" s="1"/>
  <c r="L118" i="3"/>
  <c r="K118" i="3" s="1"/>
  <c r="L115" i="3"/>
  <c r="K115" i="3" s="1"/>
  <c r="L110" i="3"/>
  <c r="K110" i="3" s="1"/>
  <c r="L107" i="3"/>
  <c r="K107" i="3" s="1"/>
  <c r="L104" i="3"/>
  <c r="K104" i="3" s="1"/>
  <c r="L101" i="3"/>
  <c r="K101" i="3" s="1"/>
  <c r="L98" i="3"/>
  <c r="K98" i="3" s="1"/>
  <c r="L93" i="3"/>
  <c r="K93" i="3" s="1"/>
  <c r="L89" i="3"/>
  <c r="K89" i="3" s="1"/>
  <c r="L84" i="3"/>
  <c r="K84" i="3" s="1"/>
  <c r="L80" i="3"/>
  <c r="K80" i="3" s="1"/>
  <c r="L73" i="3"/>
  <c r="K73" i="3" s="1"/>
  <c r="L69" i="3"/>
  <c r="K69" i="3" s="1"/>
  <c r="L212" i="3"/>
  <c r="K212" i="3" s="1"/>
  <c r="L287" i="3"/>
  <c r="K287" i="3" s="1"/>
  <c r="L278" i="3"/>
  <c r="K278" i="3" s="1"/>
  <c r="L269" i="3"/>
  <c r="K269" i="3" s="1"/>
  <c r="L260" i="3"/>
  <c r="K260" i="3" s="1"/>
  <c r="L251" i="3"/>
  <c r="K251" i="3" s="1"/>
  <c r="L242" i="3"/>
  <c r="K242" i="3" s="1"/>
  <c r="L210" i="3"/>
  <c r="K210" i="3" s="1"/>
  <c r="L190" i="3"/>
  <c r="K190" i="3" s="1"/>
  <c r="L185" i="3"/>
  <c r="K185" i="3" s="1"/>
  <c r="L181" i="3"/>
  <c r="K181" i="3" s="1"/>
  <c r="L176" i="3"/>
  <c r="K176" i="3" s="1"/>
  <c r="L172" i="3"/>
  <c r="K172" i="3" s="1"/>
  <c r="L199" i="3"/>
  <c r="K199" i="3" s="1"/>
  <c r="L67" i="3"/>
  <c r="K67" i="3" s="1"/>
  <c r="L64" i="3"/>
  <c r="K64" i="3" s="1"/>
  <c r="L60" i="3"/>
  <c r="K60" i="3" s="1"/>
  <c r="L57" i="3"/>
  <c r="K57" i="3" s="1"/>
  <c r="L54" i="3"/>
  <c r="K54" i="3" s="1"/>
  <c r="L51" i="3"/>
  <c r="K51" i="3" s="1"/>
  <c r="L48" i="3"/>
  <c r="K48" i="3" s="1"/>
  <c r="L45" i="3"/>
  <c r="K45" i="3" s="1"/>
  <c r="L42" i="3"/>
  <c r="K42" i="3" s="1"/>
  <c r="L35" i="3"/>
  <c r="K35" i="3" s="1"/>
  <c r="L32" i="3"/>
  <c r="K32" i="3" s="1"/>
  <c r="L29" i="3"/>
  <c r="K29" i="3" s="1"/>
  <c r="L25" i="3"/>
  <c r="K25" i="3" s="1"/>
  <c r="L22" i="3"/>
  <c r="K22" i="3" s="1"/>
  <c r="L19" i="3"/>
  <c r="K19" i="3" s="1"/>
  <c r="L16" i="3"/>
  <c r="K16" i="3" s="1"/>
  <c r="L12" i="3"/>
  <c r="K12" i="3" s="1"/>
  <c r="L8" i="3"/>
  <c r="K8" i="3" s="1"/>
  <c r="L5" i="3"/>
  <c r="K5" i="3" s="1"/>
  <c r="L565" i="3"/>
  <c r="K565" i="3" s="1"/>
  <c r="L11" i="3"/>
  <c r="K11" i="3" s="1"/>
  <c r="L747" i="3"/>
  <c r="K747" i="3" s="1"/>
  <c r="L761" i="3"/>
  <c r="K761" i="3" s="1"/>
  <c r="L766" i="3"/>
  <c r="K766" i="3" s="1"/>
  <c r="L770" i="3"/>
  <c r="K770" i="3" s="1"/>
  <c r="L623" i="3"/>
  <c r="K623" i="3" s="1"/>
  <c r="L77" i="3"/>
  <c r="K77" i="3" s="1"/>
  <c r="L773" i="3"/>
  <c r="K773" i="3" s="1"/>
  <c r="B577" i="2"/>
  <c r="C16" i="5" s="1"/>
  <c r="D577" i="2"/>
  <c r="T232" i="3" l="1"/>
  <c r="T396" i="3"/>
  <c r="T392" i="3"/>
  <c r="T388" i="3"/>
  <c r="T952" i="3"/>
  <c r="T773" i="3"/>
  <c r="T11" i="3"/>
  <c r="T29" i="3"/>
  <c r="T42" i="3"/>
  <c r="T199" i="3"/>
  <c r="T210" i="3"/>
  <c r="T73" i="3"/>
  <c r="T101" i="3"/>
  <c r="T121" i="3"/>
  <c r="T141" i="3"/>
  <c r="T292" i="3"/>
  <c r="T775" i="3"/>
  <c r="T6" i="3"/>
  <c r="T27" i="3"/>
  <c r="T65" i="3"/>
  <c r="T182" i="3"/>
  <c r="T319" i="3"/>
  <c r="T58" i="3"/>
  <c r="T102" i="3"/>
  <c r="T122" i="3"/>
  <c r="T94" i="3"/>
  <c r="T53" i="3"/>
  <c r="T39" i="3"/>
  <c r="T760" i="3"/>
  <c r="T21" i="3"/>
  <c r="T87" i="3"/>
  <c r="T130" i="3"/>
  <c r="T179" i="3"/>
  <c r="T306" i="3"/>
  <c r="T157" i="3"/>
  <c r="T623" i="3"/>
  <c r="T565" i="3"/>
  <c r="T22" i="3"/>
  <c r="T45" i="3"/>
  <c r="T172" i="3"/>
  <c r="T242" i="3"/>
  <c r="T212" i="3"/>
  <c r="T93" i="3"/>
  <c r="T115" i="3"/>
  <c r="T134" i="3"/>
  <c r="T91" i="3"/>
  <c r="T74" i="3"/>
  <c r="T765" i="3"/>
  <c r="T9" i="3"/>
  <c r="T30" i="3"/>
  <c r="T38" i="3"/>
  <c r="T173" i="3"/>
  <c r="T245" i="3"/>
  <c r="T225" i="3"/>
  <c r="T43" i="3"/>
  <c r="T61" i="3"/>
  <c r="T105" i="3"/>
  <c r="T125" i="3"/>
  <c r="T198" i="3"/>
  <c r="T772" i="3"/>
  <c r="T113" i="3"/>
  <c r="T202" i="3"/>
  <c r="T14" i="3"/>
  <c r="T34" i="3"/>
  <c r="T92" i="3"/>
  <c r="T103" i="3"/>
  <c r="T123" i="3"/>
  <c r="T143" i="3"/>
  <c r="T203" i="3"/>
  <c r="T207" i="3"/>
  <c r="T284" i="3"/>
  <c r="T165" i="3"/>
  <c r="T224" i="3"/>
  <c r="T333" i="3"/>
  <c r="T359" i="3"/>
  <c r="T368" i="3"/>
  <c r="T389" i="3"/>
  <c r="T410" i="3"/>
  <c r="T442" i="3"/>
  <c r="T770" i="3"/>
  <c r="T747" i="3"/>
  <c r="T5" i="3"/>
  <c r="T16" i="3"/>
  <c r="T25" i="3"/>
  <c r="T35" i="3"/>
  <c r="T48" i="3"/>
  <c r="T57" i="3"/>
  <c r="T67" i="3"/>
  <c r="T176" i="3"/>
  <c r="T190" i="3"/>
  <c r="T251" i="3"/>
  <c r="T278" i="3"/>
  <c r="T69" i="3"/>
  <c r="T84" i="3"/>
  <c r="T98" i="3"/>
  <c r="T107" i="3"/>
  <c r="T118" i="3"/>
  <c r="T127" i="3"/>
  <c r="T137" i="3"/>
  <c r="T71" i="3"/>
  <c r="T194" i="3"/>
  <c r="T222" i="3"/>
  <c r="T170" i="3"/>
  <c r="T153" i="3"/>
  <c r="T405" i="3"/>
  <c r="T776" i="3"/>
  <c r="T766" i="3"/>
  <c r="T19" i="3"/>
  <c r="T51" i="3"/>
  <c r="T181" i="3"/>
  <c r="T260" i="3"/>
  <c r="T89" i="3"/>
  <c r="T110" i="3"/>
  <c r="T131" i="3"/>
  <c r="T82" i="3"/>
  <c r="T318" i="3"/>
  <c r="T608" i="3"/>
  <c r="T17" i="3"/>
  <c r="T200" i="3"/>
  <c r="T263" i="3"/>
  <c r="T171" i="3"/>
  <c r="T49" i="3"/>
  <c r="T90" i="3"/>
  <c r="T111" i="3"/>
  <c r="T142" i="3"/>
  <c r="T40" i="3"/>
  <c r="T769" i="3"/>
  <c r="T10" i="3"/>
  <c r="T31" i="3"/>
  <c r="T100" i="3"/>
  <c r="T120" i="3"/>
  <c r="T88" i="3"/>
  <c r="T193" i="3"/>
  <c r="T248" i="3"/>
  <c r="T151" i="3"/>
  <c r="T344" i="3"/>
  <c r="T296" i="3"/>
  <c r="T324" i="3"/>
  <c r="T347" i="3"/>
  <c r="T356" i="3"/>
  <c r="T365" i="3"/>
  <c r="T374" i="3"/>
  <c r="T385" i="3"/>
  <c r="T397" i="3"/>
  <c r="T407" i="3"/>
  <c r="T416" i="3"/>
  <c r="T426" i="3"/>
  <c r="T438" i="3"/>
  <c r="T451" i="3"/>
  <c r="T465" i="3"/>
  <c r="T482" i="3"/>
  <c r="T496" i="3"/>
  <c r="T455" i="3"/>
  <c r="T486" i="3"/>
  <c r="T507" i="3"/>
  <c r="T521" i="3"/>
  <c r="T537" i="3"/>
  <c r="T552" i="3"/>
  <c r="T569" i="3"/>
  <c r="T583" i="3"/>
  <c r="T602" i="3"/>
  <c r="T616" i="3"/>
  <c r="T633" i="3"/>
  <c r="T646" i="3"/>
  <c r="T660" i="3"/>
  <c r="T77" i="3"/>
  <c r="T8" i="3"/>
  <c r="T60" i="3"/>
  <c r="T287" i="3"/>
  <c r="T114" i="3"/>
  <c r="T148" i="3"/>
  <c r="T36" i="3"/>
  <c r="T236" i="3"/>
  <c r="T161" i="3"/>
  <c r="T76" i="3"/>
  <c r="T132" i="3"/>
  <c r="T44" i="3"/>
  <c r="T139" i="3"/>
  <c r="T566" i="3"/>
  <c r="T72" i="3"/>
  <c r="T109" i="3"/>
  <c r="T140" i="3"/>
  <c r="T196" i="3"/>
  <c r="T275" i="3"/>
  <c r="T761" i="3"/>
  <c r="T12" i="3"/>
  <c r="T32" i="3"/>
  <c r="T54" i="3"/>
  <c r="T64" i="3"/>
  <c r="T185" i="3"/>
  <c r="T269" i="3"/>
  <c r="T80" i="3"/>
  <c r="T104" i="3"/>
  <c r="T124" i="3"/>
  <c r="T144" i="3"/>
  <c r="T312" i="3"/>
  <c r="T156" i="3"/>
  <c r="T774" i="3"/>
  <c r="T26" i="3"/>
  <c r="T20" i="3"/>
  <c r="T68" i="3"/>
  <c r="T187" i="3"/>
  <c r="T272" i="3"/>
  <c r="T291" i="3"/>
  <c r="T52" i="3"/>
  <c r="T81" i="3"/>
  <c r="T95" i="3"/>
  <c r="T116" i="3"/>
  <c r="T135" i="3"/>
  <c r="T75" i="3"/>
  <c r="T47" i="3"/>
  <c r="T56" i="3"/>
  <c r="T63" i="3"/>
  <c r="T771" i="3"/>
  <c r="T4" i="3"/>
  <c r="T24" i="3"/>
  <c r="T78" i="3"/>
  <c r="T112" i="3"/>
  <c r="T97" i="3"/>
  <c r="T184" i="3"/>
  <c r="T257" i="3"/>
  <c r="T326" i="3"/>
  <c r="T335" i="3"/>
  <c r="T305" i="3"/>
  <c r="T350" i="3"/>
  <c r="T377" i="3"/>
  <c r="T400" i="3"/>
  <c r="T419" i="3"/>
  <c r="T429" i="3"/>
  <c r="T456" i="3"/>
  <c r="T472" i="3"/>
  <c r="T487" i="3"/>
  <c r="T437" i="3"/>
  <c r="T464" i="3"/>
  <c r="T495" i="3"/>
  <c r="T511" i="3"/>
  <c r="T527" i="3"/>
  <c r="T541" i="3"/>
  <c r="T557" i="3"/>
  <c r="T573" i="3"/>
  <c r="T588" i="3"/>
  <c r="T606" i="3"/>
  <c r="T621" i="3"/>
  <c r="T637" i="3"/>
  <c r="T756" i="3"/>
  <c r="T3" i="3"/>
  <c r="T13" i="3"/>
  <c r="T23" i="3"/>
  <c r="T33" i="3"/>
  <c r="T62" i="3"/>
  <c r="T195" i="3"/>
  <c r="T178" i="3"/>
  <c r="T191" i="3"/>
  <c r="T254" i="3"/>
  <c r="T281" i="3"/>
  <c r="T298" i="3"/>
  <c r="T145" i="3"/>
  <c r="T46" i="3"/>
  <c r="T55" i="3"/>
  <c r="T70" i="3"/>
  <c r="T86" i="3"/>
  <c r="T99" i="3"/>
  <c r="T108" i="3"/>
  <c r="T119" i="3"/>
  <c r="T129" i="3"/>
  <c r="T138" i="3"/>
  <c r="T85" i="3"/>
  <c r="T41" i="3"/>
  <c r="T50" i="3"/>
  <c r="T59" i="3"/>
  <c r="T66" i="3"/>
  <c r="T15" i="3"/>
  <c r="T478" i="3"/>
  <c r="T128" i="3"/>
  <c r="T7" i="3"/>
  <c r="T18" i="3"/>
  <c r="T28" i="3"/>
  <c r="T37" i="3"/>
  <c r="T83" i="3"/>
  <c r="T96" i="3"/>
  <c r="T106" i="3"/>
  <c r="T117" i="3"/>
  <c r="T126" i="3"/>
  <c r="T136" i="3"/>
  <c r="T79" i="3"/>
  <c r="T201" i="3"/>
  <c r="T175" i="3"/>
  <c r="T188" i="3"/>
  <c r="T239" i="3"/>
  <c r="T266" i="3"/>
  <c r="T220" i="3"/>
  <c r="T304" i="3"/>
  <c r="T146" i="3"/>
  <c r="T339" i="3"/>
  <c r="T226" i="3"/>
  <c r="T314" i="3"/>
  <c r="T343" i="3"/>
  <c r="T353" i="3"/>
  <c r="T362" i="3"/>
  <c r="T371" i="3"/>
  <c r="T381" i="3"/>
  <c r="T393" i="3"/>
  <c r="T403" i="3"/>
  <c r="T413" i="3"/>
  <c r="T422" i="3"/>
  <c r="T433" i="3"/>
  <c r="T447" i="3"/>
  <c r="T460" i="3"/>
  <c r="T477" i="3"/>
  <c r="T491" i="3"/>
  <c r="T446" i="3"/>
  <c r="T476" i="3"/>
  <c r="T502" i="3"/>
  <c r="T516" i="3"/>
  <c r="T532" i="3"/>
  <c r="T546" i="3"/>
  <c r="T561" i="3"/>
  <c r="T578" i="3"/>
  <c r="T593" i="3"/>
  <c r="T612" i="3"/>
  <c r="T627" i="3"/>
  <c r="T642" i="3"/>
  <c r="T655" i="3"/>
  <c r="T669" i="3"/>
  <c r="T682" i="3"/>
  <c r="T703" i="3"/>
  <c r="T749" i="3"/>
  <c r="T177" i="3"/>
  <c r="T186" i="3"/>
  <c r="T218" i="3"/>
  <c r="T294" i="3"/>
  <c r="T315" i="3"/>
  <c r="T230" i="3"/>
  <c r="T323" i="3"/>
  <c r="T158" i="3"/>
  <c r="T150" i="3"/>
  <c r="T208" i="3"/>
  <c r="T240" i="3"/>
  <c r="T249" i="3"/>
  <c r="T258" i="3"/>
  <c r="T267" i="3"/>
  <c r="T276" i="3"/>
  <c r="T285" i="3"/>
  <c r="T336" i="3"/>
  <c r="T228" i="3"/>
  <c r="T308" i="3"/>
  <c r="T337" i="3"/>
  <c r="T351" i="3"/>
  <c r="T360" i="3"/>
  <c r="T369" i="3"/>
  <c r="T378" i="3"/>
  <c r="T390" i="3"/>
  <c r="T401" i="3"/>
  <c r="T411" i="3"/>
  <c r="T420" i="3"/>
  <c r="T430" i="3"/>
  <c r="T444" i="3"/>
  <c r="T457" i="3"/>
  <c r="T474" i="3"/>
  <c r="T488" i="3"/>
  <c r="T440" i="3"/>
  <c r="T470" i="3"/>
  <c r="T497" i="3"/>
  <c r="T513" i="3"/>
  <c r="T528" i="3"/>
  <c r="T543" i="3"/>
  <c r="T558" i="3"/>
  <c r="T575" i="3"/>
  <c r="T589" i="3"/>
  <c r="T609" i="3"/>
  <c r="T622" i="3"/>
  <c r="T639" i="3"/>
  <c r="T652" i="3"/>
  <c r="T666" i="3"/>
  <c r="T679" i="3"/>
  <c r="T699" i="3"/>
  <c r="T777" i="3"/>
  <c r="T209" i="3"/>
  <c r="T241" i="3"/>
  <c r="T250" i="3"/>
  <c r="T259" i="3"/>
  <c r="T268" i="3"/>
  <c r="T277" i="3"/>
  <c r="T286" i="3"/>
  <c r="T221" i="3"/>
  <c r="T297" i="3"/>
  <c r="T316" i="3"/>
  <c r="T223" i="3"/>
  <c r="T328" i="3"/>
  <c r="T159" i="3"/>
  <c r="T154" i="3"/>
  <c r="T332" i="3"/>
  <c r="T219" i="3"/>
  <c r="T302" i="3"/>
  <c r="T330" i="3"/>
  <c r="T349" i="3"/>
  <c r="T358" i="3"/>
  <c r="T367" i="3"/>
  <c r="T376" i="3"/>
  <c r="T387" i="3"/>
  <c r="T399" i="3"/>
  <c r="T409" i="3"/>
  <c r="T418" i="3"/>
  <c r="T428" i="3"/>
  <c r="T441" i="3"/>
  <c r="T454" i="3"/>
  <c r="T471" i="3"/>
  <c r="T485" i="3"/>
  <c r="T434" i="3"/>
  <c r="T461" i="3"/>
  <c r="T492" i="3"/>
  <c r="T510" i="3"/>
  <c r="T524" i="3"/>
  <c r="T540" i="3"/>
  <c r="T555" i="3"/>
  <c r="T572" i="3"/>
  <c r="T586" i="3"/>
  <c r="T605" i="3"/>
  <c r="T619" i="3"/>
  <c r="T636" i="3"/>
  <c r="T649" i="3"/>
  <c r="T663" i="3"/>
  <c r="T676" i="3"/>
  <c r="T694" i="3"/>
  <c r="T722" i="3"/>
  <c r="T499" i="3"/>
  <c r="T509" i="3"/>
  <c r="T519" i="3"/>
  <c r="T529" i="3"/>
  <c r="T539" i="3"/>
  <c r="T550" i="3"/>
  <c r="T559" i="3"/>
  <c r="T571" i="3"/>
  <c r="T580" i="3"/>
  <c r="T590" i="3"/>
  <c r="T604" i="3"/>
  <c r="T614" i="3"/>
  <c r="T624" i="3"/>
  <c r="T635" i="3"/>
  <c r="T644" i="3"/>
  <c r="T653" i="3"/>
  <c r="T662" i="3"/>
  <c r="T671" i="3"/>
  <c r="T680" i="3"/>
  <c r="T693" i="3"/>
  <c r="T706" i="3"/>
  <c r="T733" i="3"/>
  <c r="T233" i="3"/>
  <c r="T711" i="3"/>
  <c r="T726" i="3"/>
  <c r="T739" i="3"/>
  <c r="T767" i="3"/>
  <c r="T683" i="3"/>
  <c r="T692" i="3"/>
  <c r="T701" i="3"/>
  <c r="T710" i="3"/>
  <c r="T725" i="3"/>
  <c r="T737" i="3"/>
  <c r="T762" i="3"/>
  <c r="T673" i="3"/>
  <c r="T690" i="3"/>
  <c r="T709" i="3"/>
  <c r="T204" i="3"/>
  <c r="T180" i="3"/>
  <c r="T189" i="3"/>
  <c r="T227" i="3"/>
  <c r="T301" i="3"/>
  <c r="T322" i="3"/>
  <c r="T295" i="3"/>
  <c r="T147" i="3"/>
  <c r="T162" i="3"/>
  <c r="T160" i="3"/>
  <c r="T234" i="3"/>
  <c r="T243" i="3"/>
  <c r="T252" i="3"/>
  <c r="T261" i="3"/>
  <c r="T270" i="3"/>
  <c r="T279" i="3"/>
  <c r="T288" i="3"/>
  <c r="T341" i="3"/>
  <c r="T290" i="3"/>
  <c r="T317" i="3"/>
  <c r="T345" i="3"/>
  <c r="T354" i="3"/>
  <c r="T363" i="3"/>
  <c r="T372" i="3"/>
  <c r="T382" i="3"/>
  <c r="T394" i="3"/>
  <c r="T404" i="3"/>
  <c r="T414" i="3"/>
  <c r="T423" i="3"/>
  <c r="T435" i="3"/>
  <c r="T448" i="3"/>
  <c r="T462" i="3"/>
  <c r="T479" i="3"/>
  <c r="T493" i="3"/>
  <c r="T449" i="3"/>
  <c r="T480" i="3"/>
  <c r="T504" i="3"/>
  <c r="T517" i="3"/>
  <c r="T534" i="3"/>
  <c r="T547" i="3"/>
  <c r="T564" i="3"/>
  <c r="T579" i="3"/>
  <c r="T595" i="3"/>
  <c r="T613" i="3"/>
  <c r="T629" i="3"/>
  <c r="T643" i="3"/>
  <c r="T657" i="3"/>
  <c r="T670" i="3"/>
  <c r="T685" i="3"/>
  <c r="T705" i="3"/>
  <c r="T720" i="3"/>
  <c r="T235" i="3"/>
  <c r="T244" i="3"/>
  <c r="T253" i="3"/>
  <c r="T262" i="3"/>
  <c r="T271" i="3"/>
  <c r="T280" i="3"/>
  <c r="T168" i="3"/>
  <c r="T213" i="3"/>
  <c r="T303" i="3"/>
  <c r="T325" i="3"/>
  <c r="T300" i="3"/>
  <c r="T149" i="3"/>
  <c r="T164" i="3"/>
  <c r="T163" i="3"/>
  <c r="T338" i="3"/>
  <c r="T217" i="3"/>
  <c r="T311" i="3"/>
  <c r="T340" i="3"/>
  <c r="T352" i="3"/>
  <c r="T361" i="3"/>
  <c r="T370" i="3"/>
  <c r="T380" i="3"/>
  <c r="T391" i="3"/>
  <c r="T402" i="3"/>
  <c r="T412" i="3"/>
  <c r="T421" i="3"/>
  <c r="T432" i="3"/>
  <c r="T445" i="3"/>
  <c r="T459" i="3"/>
  <c r="T475" i="3"/>
  <c r="T490" i="3"/>
  <c r="T443" i="3"/>
  <c r="T473" i="3"/>
  <c r="T501" i="3"/>
  <c r="T514" i="3"/>
  <c r="T530" i="3"/>
  <c r="T544" i="3"/>
  <c r="T560" i="3"/>
  <c r="T576" i="3"/>
  <c r="T592" i="3"/>
  <c r="T610" i="3"/>
  <c r="T625" i="3"/>
  <c r="T640" i="3"/>
  <c r="T654" i="3"/>
  <c r="T667" i="3"/>
  <c r="T681" i="3"/>
  <c r="T700" i="3"/>
  <c r="T742" i="3"/>
  <c r="T503" i="3"/>
  <c r="T512" i="3"/>
  <c r="T522" i="3"/>
  <c r="T533" i="3"/>
  <c r="T542" i="3"/>
  <c r="T553" i="3"/>
  <c r="T562" i="3"/>
  <c r="T574" i="3"/>
  <c r="T584" i="3"/>
  <c r="T594" i="3"/>
  <c r="T607" i="3"/>
  <c r="T617" i="3"/>
  <c r="T628" i="3"/>
  <c r="T638" i="3"/>
  <c r="T647" i="3"/>
  <c r="T656" i="3"/>
  <c r="T665" i="3"/>
  <c r="T674" i="3"/>
  <c r="T684" i="3"/>
  <c r="T697" i="3"/>
  <c r="T712" i="3"/>
  <c r="T759" i="3"/>
  <c r="T743" i="3"/>
  <c r="T714" i="3"/>
  <c r="T729" i="3"/>
  <c r="T748" i="3"/>
  <c r="T563" i="3"/>
  <c r="T686" i="3"/>
  <c r="T695" i="3"/>
  <c r="T704" i="3"/>
  <c r="T713" i="3"/>
  <c r="T728" i="3"/>
  <c r="T744" i="3"/>
  <c r="T746" i="3"/>
  <c r="T735" i="3"/>
  <c r="T651" i="3"/>
  <c r="T664" i="3"/>
  <c r="T678" i="3"/>
  <c r="T696" i="3"/>
  <c r="T730" i="3"/>
  <c r="T174" i="3"/>
  <c r="T183" i="3"/>
  <c r="T192" i="3"/>
  <c r="T229" i="3"/>
  <c r="T307" i="3"/>
  <c r="T329" i="3"/>
  <c r="T309" i="3"/>
  <c r="T152" i="3"/>
  <c r="T166" i="3"/>
  <c r="T205" i="3"/>
  <c r="T237" i="3"/>
  <c r="T246" i="3"/>
  <c r="T255" i="3"/>
  <c r="T264" i="3"/>
  <c r="T273" i="3"/>
  <c r="T282" i="3"/>
  <c r="T331" i="3"/>
  <c r="T214" i="3"/>
  <c r="T299" i="3"/>
  <c r="T327" i="3"/>
  <c r="T348" i="3"/>
  <c r="T357" i="3"/>
  <c r="T366" i="3"/>
  <c r="T375" i="3"/>
  <c r="T386" i="3"/>
  <c r="T398" i="3"/>
  <c r="T408" i="3"/>
  <c r="T417" i="3"/>
  <c r="T427" i="3"/>
  <c r="T439" i="3"/>
  <c r="T453" i="3"/>
  <c r="T466" i="3"/>
  <c r="T484" i="3"/>
  <c r="T431" i="3"/>
  <c r="T458" i="3"/>
  <c r="T489" i="3"/>
  <c r="T508" i="3"/>
  <c r="T523" i="3"/>
  <c r="T538" i="3"/>
  <c r="T554" i="3"/>
  <c r="T570" i="3"/>
  <c r="T585" i="3"/>
  <c r="T603" i="3"/>
  <c r="T618" i="3"/>
  <c r="T634" i="3"/>
  <c r="T648" i="3"/>
  <c r="T661" i="3"/>
  <c r="T675" i="3"/>
  <c r="T691" i="3"/>
  <c r="T715" i="3"/>
  <c r="T206" i="3"/>
  <c r="T238" i="3"/>
  <c r="T247" i="3"/>
  <c r="T256" i="3"/>
  <c r="T265" i="3"/>
  <c r="T274" i="3"/>
  <c r="T283" i="3"/>
  <c r="T211" i="3"/>
  <c r="T289" i="3"/>
  <c r="T310" i="3"/>
  <c r="T215" i="3"/>
  <c r="T313" i="3"/>
  <c r="T155" i="3"/>
  <c r="T169" i="3"/>
  <c r="T167" i="3"/>
  <c r="T342" i="3"/>
  <c r="T293" i="3"/>
  <c r="T320" i="3"/>
  <c r="T346" i="3"/>
  <c r="T355" i="3"/>
  <c r="T364" i="3"/>
  <c r="T373" i="3"/>
  <c r="T383" i="3"/>
  <c r="T395" i="3"/>
  <c r="T406" i="3"/>
  <c r="T415" i="3"/>
  <c r="T425" i="3"/>
  <c r="T436" i="3"/>
  <c r="T450" i="3"/>
  <c r="T463" i="3"/>
  <c r="T481" i="3"/>
  <c r="T494" i="3"/>
  <c r="T452" i="3"/>
  <c r="T483" i="3"/>
  <c r="T505" i="3"/>
  <c r="T520" i="3"/>
  <c r="T535" i="3"/>
  <c r="T551" i="3"/>
  <c r="T567" i="3"/>
  <c r="T582" i="3"/>
  <c r="T596" i="3"/>
  <c r="T615" i="3"/>
  <c r="T630" i="3"/>
  <c r="T645" i="3"/>
  <c r="T658" i="3"/>
  <c r="T672" i="3"/>
  <c r="T687" i="3"/>
  <c r="T708" i="3"/>
  <c r="T506" i="3"/>
  <c r="T515" i="3"/>
  <c r="T525" i="3"/>
  <c r="T536" i="3"/>
  <c r="T545" i="3"/>
  <c r="T556" i="3"/>
  <c r="T568" i="3"/>
  <c r="T577" i="3"/>
  <c r="T587" i="3"/>
  <c r="T599" i="3"/>
  <c r="T611" i="3"/>
  <c r="T620" i="3"/>
  <c r="T631" i="3"/>
  <c r="T641" i="3"/>
  <c r="T650" i="3"/>
  <c r="T659" i="3"/>
  <c r="T668" i="3"/>
  <c r="T677" i="3"/>
  <c r="T688" i="3"/>
  <c r="T702" i="3"/>
  <c r="T727" i="3"/>
  <c r="T741" i="3"/>
  <c r="T717" i="3"/>
  <c r="T732" i="3"/>
  <c r="T754" i="3"/>
  <c r="T719" i="3"/>
  <c r="T763" i="3"/>
  <c r="T689" i="3"/>
  <c r="T698" i="3"/>
  <c r="T707" i="3"/>
  <c r="T716" i="3"/>
  <c r="T731" i="3"/>
  <c r="T752" i="3"/>
  <c r="T768" i="3"/>
  <c r="T745" i="3"/>
  <c r="T718" i="3"/>
  <c r="T758" i="3"/>
  <c r="T757" i="3"/>
  <c r="T2" i="3"/>
  <c r="T753" i="3"/>
  <c r="T751" i="3"/>
  <c r="T740" i="3"/>
  <c r="T750" i="3"/>
  <c r="T764" i="3"/>
  <c r="T721" i="3"/>
  <c r="T231" i="3"/>
  <c r="C27" i="5"/>
  <c r="C17" i="5"/>
  <c r="C8" i="5"/>
  <c r="C6" i="5"/>
  <c r="C23" i="5"/>
  <c r="C15" i="5"/>
  <c r="C46" i="5"/>
  <c r="C29" i="5"/>
  <c r="C9" i="5"/>
  <c r="C39" i="5"/>
  <c r="C5" i="5"/>
  <c r="C7" i="5"/>
  <c r="C2" i="5"/>
  <c r="C28" i="5"/>
  <c r="C43" i="5"/>
  <c r="C42" i="5"/>
  <c r="C41" i="5"/>
  <c r="C20" i="5"/>
  <c r="C18" i="5"/>
  <c r="C3" i="5"/>
  <c r="C22" i="5"/>
  <c r="C21" i="5"/>
  <c r="C40" i="5"/>
  <c r="C30" i="5"/>
  <c r="C44" i="5"/>
  <c r="C33" i="5"/>
  <c r="C37" i="5"/>
  <c r="C34" i="5"/>
  <c r="C36" i="5"/>
  <c r="C24" i="5"/>
  <c r="C32" i="5"/>
  <c r="C14" i="5"/>
  <c r="C35" i="5"/>
  <c r="C19" i="5"/>
  <c r="C31" i="5"/>
  <c r="C45" i="5"/>
  <c r="C25" i="5"/>
  <c r="C577" i="2"/>
  <c r="C4" i="5"/>
  <c r="C38" i="5"/>
  <c r="C26" i="5"/>
  <c r="C10" i="5" l="1"/>
  <c r="C47" i="5"/>
  <c r="C49" i="5" l="1"/>
  <c r="L961" i="3" l="1"/>
  <c r="K961" i="3" s="1"/>
  <c r="L854" i="3"/>
  <c r="K854" i="3" s="1"/>
  <c r="L954" i="3"/>
  <c r="K954" i="3" s="1"/>
  <c r="L836" i="3"/>
  <c r="K836" i="3" s="1"/>
  <c r="L785" i="3"/>
  <c r="K785" i="3" s="1"/>
  <c r="L787" i="3"/>
  <c r="K787" i="3" s="1"/>
  <c r="L786" i="3"/>
  <c r="K786" i="3" s="1"/>
  <c r="L783" i="3"/>
  <c r="K783" i="3" s="1"/>
  <c r="L784" i="3"/>
  <c r="K784" i="3" s="1"/>
  <c r="L789" i="3"/>
  <c r="K789" i="3" s="1"/>
  <c r="L781" i="3"/>
  <c r="K781" i="3" s="1"/>
  <c r="L780" i="3"/>
  <c r="K780" i="3" s="1"/>
  <c r="L782" i="3"/>
  <c r="K782" i="3" s="1"/>
  <c r="L788" i="3"/>
  <c r="K788" i="3" s="1"/>
  <c r="L790" i="3"/>
  <c r="K790" i="3" s="1"/>
  <c r="L964" i="3"/>
  <c r="K964" i="3" s="1"/>
  <c r="L963" i="3"/>
  <c r="K963" i="3" s="1"/>
  <c r="L962" i="3"/>
  <c r="K962" i="3" s="1"/>
  <c r="L960" i="3"/>
  <c r="K960" i="3" s="1"/>
  <c r="L959" i="3"/>
  <c r="K959" i="3" s="1"/>
  <c r="L958" i="3"/>
  <c r="K958" i="3" s="1"/>
  <c r="L957" i="3"/>
  <c r="K957" i="3" s="1"/>
  <c r="L956" i="3"/>
  <c r="K956" i="3" s="1"/>
  <c r="L951" i="3"/>
  <c r="K951" i="3" s="1"/>
  <c r="L950" i="3"/>
  <c r="K950" i="3" s="1"/>
  <c r="L949" i="3"/>
  <c r="K949" i="3" s="1"/>
  <c r="L948" i="3"/>
  <c r="K948" i="3" s="1"/>
  <c r="L947" i="3"/>
  <c r="K947" i="3" s="1"/>
  <c r="L946" i="3"/>
  <c r="K946" i="3" s="1"/>
  <c r="L945" i="3"/>
  <c r="K945" i="3" s="1"/>
  <c r="L944" i="3"/>
  <c r="K944" i="3" s="1"/>
  <c r="L943" i="3"/>
  <c r="K943" i="3" s="1"/>
  <c r="L942" i="3"/>
  <c r="K942" i="3" s="1"/>
  <c r="L941" i="3"/>
  <c r="K941" i="3" s="1"/>
  <c r="L940" i="3"/>
  <c r="K940" i="3" s="1"/>
  <c r="L939" i="3"/>
  <c r="K939" i="3" s="1"/>
  <c r="L938" i="3"/>
  <c r="K938" i="3" s="1"/>
  <c r="L937" i="3"/>
  <c r="K937" i="3" s="1"/>
  <c r="L936" i="3"/>
  <c r="K936" i="3" s="1"/>
  <c r="L934" i="3"/>
  <c r="K934" i="3" s="1"/>
  <c r="L933" i="3"/>
  <c r="K933" i="3" s="1"/>
  <c r="L932" i="3"/>
  <c r="K932" i="3" s="1"/>
  <c r="L931" i="3"/>
  <c r="K931" i="3" s="1"/>
  <c r="L930" i="3"/>
  <c r="K930" i="3" s="1"/>
  <c r="L953" i="3"/>
  <c r="K953" i="3" s="1"/>
  <c r="L918" i="3"/>
  <c r="K918" i="3" s="1"/>
  <c r="L917" i="3"/>
  <c r="K917" i="3" s="1"/>
  <c r="L916" i="3"/>
  <c r="K916" i="3" s="1"/>
  <c r="L915" i="3"/>
  <c r="K915" i="3" s="1"/>
  <c r="L914" i="3"/>
  <c r="K914" i="3" s="1"/>
  <c r="L912" i="3"/>
  <c r="K912" i="3" s="1"/>
  <c r="L911" i="3"/>
  <c r="K911" i="3" s="1"/>
  <c r="L910" i="3"/>
  <c r="K910" i="3" s="1"/>
  <c r="L909" i="3"/>
  <c r="K909" i="3" s="1"/>
  <c r="L908" i="3"/>
  <c r="K908" i="3" s="1"/>
  <c r="L907" i="3"/>
  <c r="K907" i="3" s="1"/>
  <c r="L906" i="3"/>
  <c r="K906" i="3" s="1"/>
  <c r="L905" i="3"/>
  <c r="K905" i="3" s="1"/>
  <c r="L904" i="3"/>
  <c r="K904" i="3" s="1"/>
  <c r="L903" i="3"/>
  <c r="K903" i="3" s="1"/>
  <c r="L902" i="3"/>
  <c r="K902" i="3" s="1"/>
  <c r="L901" i="3"/>
  <c r="K901" i="3" s="1"/>
  <c r="L900" i="3"/>
  <c r="K900" i="3" s="1"/>
  <c r="L899" i="3"/>
  <c r="K899" i="3" s="1"/>
  <c r="L898" i="3"/>
  <c r="K898" i="3" s="1"/>
  <c r="L897" i="3"/>
  <c r="K897" i="3" s="1"/>
  <c r="L896" i="3"/>
  <c r="K896" i="3" s="1"/>
  <c r="L895" i="3"/>
  <c r="K895" i="3" s="1"/>
  <c r="L894" i="3"/>
  <c r="K894" i="3" s="1"/>
  <c r="L893" i="3"/>
  <c r="K893" i="3" s="1"/>
  <c r="L892" i="3"/>
  <c r="K892" i="3" s="1"/>
  <c r="L891" i="3"/>
  <c r="K891" i="3" s="1"/>
  <c r="L890" i="3"/>
  <c r="K890" i="3" s="1"/>
  <c r="L889" i="3"/>
  <c r="K889" i="3" s="1"/>
  <c r="L888" i="3"/>
  <c r="K888" i="3" s="1"/>
  <c r="L887" i="3"/>
  <c r="K887" i="3" s="1"/>
  <c r="L886" i="3"/>
  <c r="K886" i="3" s="1"/>
  <c r="L885" i="3"/>
  <c r="K885" i="3" s="1"/>
  <c r="L884" i="3"/>
  <c r="K884" i="3" s="1"/>
  <c r="L883" i="3"/>
  <c r="K883" i="3" s="1"/>
  <c r="L882" i="3"/>
  <c r="K882" i="3" s="1"/>
  <c r="L881" i="3"/>
  <c r="K881" i="3" s="1"/>
  <c r="L880" i="3"/>
  <c r="K880" i="3" s="1"/>
  <c r="L879" i="3"/>
  <c r="K879" i="3" s="1"/>
  <c r="L878" i="3"/>
  <c r="K878" i="3" s="1"/>
  <c r="L877" i="3"/>
  <c r="K877" i="3" s="1"/>
  <c r="L876" i="3"/>
  <c r="K876" i="3" s="1"/>
  <c r="L875" i="3"/>
  <c r="K875" i="3" s="1"/>
  <c r="L874" i="3"/>
  <c r="K874" i="3" s="1"/>
  <c r="L873" i="3"/>
  <c r="K873" i="3" s="1"/>
  <c r="L872" i="3"/>
  <c r="K872" i="3" s="1"/>
  <c r="L871" i="3"/>
  <c r="K871" i="3" s="1"/>
  <c r="L870" i="3"/>
  <c r="K870" i="3" s="1"/>
  <c r="L869" i="3"/>
  <c r="K869" i="3" s="1"/>
  <c r="L868" i="3"/>
  <c r="K868" i="3" s="1"/>
  <c r="L867" i="3"/>
  <c r="K867" i="3" s="1"/>
  <c r="L866" i="3"/>
  <c r="K866" i="3" s="1"/>
  <c r="L865" i="3"/>
  <c r="K865" i="3" s="1"/>
  <c r="L864" i="3"/>
  <c r="K864" i="3" s="1"/>
  <c r="L863" i="3"/>
  <c r="K863" i="3" s="1"/>
  <c r="L862" i="3"/>
  <c r="K862" i="3" s="1"/>
  <c r="L861" i="3"/>
  <c r="K861" i="3" s="1"/>
  <c r="L860" i="3"/>
  <c r="K860" i="3" s="1"/>
  <c r="L929" i="3"/>
  <c r="K929" i="3" s="1"/>
  <c r="L928" i="3"/>
  <c r="K928" i="3" s="1"/>
  <c r="L927" i="3"/>
  <c r="K927" i="3" s="1"/>
  <c r="L926" i="3"/>
  <c r="K926" i="3" s="1"/>
  <c r="L925" i="3"/>
  <c r="K925" i="3" s="1"/>
  <c r="L924" i="3"/>
  <c r="K924" i="3" s="1"/>
  <c r="L923" i="3"/>
  <c r="K923" i="3" s="1"/>
  <c r="L922" i="3"/>
  <c r="K922" i="3" s="1"/>
  <c r="L921" i="3"/>
  <c r="K921" i="3" s="1"/>
  <c r="L920" i="3"/>
  <c r="K920" i="3" s="1"/>
  <c r="L848" i="3"/>
  <c r="K848" i="3" s="1"/>
  <c r="L847" i="3"/>
  <c r="K847" i="3" s="1"/>
  <c r="L846" i="3"/>
  <c r="K846" i="3" s="1"/>
  <c r="L845" i="3"/>
  <c r="K845" i="3" s="1"/>
  <c r="L844" i="3"/>
  <c r="K844" i="3" s="1"/>
  <c r="L843" i="3"/>
  <c r="K843" i="3" s="1"/>
  <c r="L842" i="3"/>
  <c r="K842" i="3" s="1"/>
  <c r="L841" i="3"/>
  <c r="K841" i="3" s="1"/>
  <c r="L840" i="3"/>
  <c r="K840" i="3" s="1"/>
  <c r="L839" i="3"/>
  <c r="K839" i="3" s="1"/>
  <c r="L838" i="3"/>
  <c r="K838" i="3" s="1"/>
  <c r="L837" i="3"/>
  <c r="K837" i="3" s="1"/>
  <c r="L822" i="3"/>
  <c r="K822" i="3" s="1"/>
  <c r="L821" i="3"/>
  <c r="K821" i="3" s="1"/>
  <c r="L820" i="3"/>
  <c r="K820" i="3" s="1"/>
  <c r="L819" i="3"/>
  <c r="K819" i="3" s="1"/>
  <c r="L818" i="3"/>
  <c r="K818" i="3" s="1"/>
  <c r="L817" i="3"/>
  <c r="K817" i="3" s="1"/>
  <c r="L816" i="3"/>
  <c r="K816" i="3" s="1"/>
  <c r="L815" i="3"/>
  <c r="K815" i="3" s="1"/>
  <c r="L814" i="3"/>
  <c r="K814" i="3" s="1"/>
  <c r="L813" i="3"/>
  <c r="K813" i="3" s="1"/>
  <c r="L812" i="3"/>
  <c r="K812" i="3" s="1"/>
  <c r="L811" i="3"/>
  <c r="K811" i="3" s="1"/>
  <c r="L810" i="3"/>
  <c r="K810" i="3" s="1"/>
  <c r="L808" i="3"/>
  <c r="K808" i="3" s="1"/>
  <c r="L807" i="3"/>
  <c r="K807" i="3" s="1"/>
  <c r="L806" i="3"/>
  <c r="K806" i="3" s="1"/>
  <c r="L805" i="3"/>
  <c r="K805" i="3" s="1"/>
  <c r="L804" i="3"/>
  <c r="K804" i="3" s="1"/>
  <c r="L803" i="3"/>
  <c r="K803" i="3" s="1"/>
  <c r="L802" i="3"/>
  <c r="K802" i="3" s="1"/>
  <c r="L801" i="3"/>
  <c r="K801" i="3" s="1"/>
  <c r="L800" i="3"/>
  <c r="K800" i="3" s="1"/>
  <c r="L799" i="3"/>
  <c r="K799" i="3" s="1"/>
  <c r="L798" i="3"/>
  <c r="K798" i="3" s="1"/>
  <c r="L797" i="3"/>
  <c r="K797" i="3" s="1"/>
  <c r="L796" i="3"/>
  <c r="K796" i="3" s="1"/>
  <c r="L795" i="3"/>
  <c r="K795" i="3" s="1"/>
  <c r="L794" i="3"/>
  <c r="K794" i="3" s="1"/>
  <c r="L793" i="3"/>
  <c r="K793" i="3" s="1"/>
  <c r="L792" i="3"/>
  <c r="K792" i="3" s="1"/>
  <c r="L835" i="3"/>
  <c r="K835" i="3" s="1"/>
  <c r="L834" i="3"/>
  <c r="K834" i="3" s="1"/>
  <c r="L833" i="3"/>
  <c r="K833" i="3" s="1"/>
  <c r="L832" i="3"/>
  <c r="K832" i="3" s="1"/>
  <c r="L831" i="3"/>
  <c r="K831" i="3" s="1"/>
  <c r="L830" i="3"/>
  <c r="K830" i="3" s="1"/>
  <c r="L829" i="3"/>
  <c r="K829" i="3" s="1"/>
  <c r="L828" i="3"/>
  <c r="K828" i="3" s="1"/>
  <c r="L827" i="3"/>
  <c r="K827" i="3" s="1"/>
  <c r="L826" i="3"/>
  <c r="K826" i="3" s="1"/>
  <c r="L825" i="3"/>
  <c r="K825" i="3" s="1"/>
  <c r="L849" i="3"/>
  <c r="K849" i="3" s="1"/>
  <c r="L791" i="3"/>
  <c r="K791" i="3" s="1"/>
  <c r="L965" i="3"/>
  <c r="K965" i="3" s="1"/>
  <c r="L853" i="3"/>
  <c r="K853" i="3" s="1"/>
  <c r="L850" i="3"/>
  <c r="K850" i="3" s="1"/>
  <c r="L855" i="3"/>
  <c r="K855" i="3" s="1"/>
  <c r="L858" i="3"/>
  <c r="K858" i="3" s="1"/>
  <c r="L857" i="3"/>
  <c r="K857" i="3" s="1"/>
  <c r="L852" i="3"/>
  <c r="K852" i="3" s="1"/>
  <c r="L851" i="3"/>
  <c r="K851" i="3" s="1"/>
  <c r="L955" i="3"/>
  <c r="K955" i="3" s="1"/>
  <c r="L856" i="3"/>
  <c r="K856" i="3" s="1"/>
  <c r="L859" i="3"/>
  <c r="K859" i="3" s="1"/>
  <c r="L935" i="3"/>
  <c r="K935" i="3" s="1"/>
  <c r="L952" i="3"/>
  <c r="K952" i="3" s="1"/>
  <c r="L809" i="3"/>
  <c r="K809" i="3" s="1"/>
  <c r="L779" i="3"/>
  <c r="K779" i="3" s="1"/>
  <c r="L778" i="3"/>
  <c r="K778" i="3" s="1"/>
  <c r="L913" i="3"/>
  <c r="K913" i="3" s="1"/>
  <c r="L919" i="3"/>
  <c r="K919" i="3" s="1"/>
  <c r="L823" i="3"/>
  <c r="K823" i="3" s="1"/>
  <c r="L824" i="3"/>
  <c r="K824" i="3" s="1"/>
  <c r="T1397" i="3" l="1"/>
  <c r="T1399" i="3"/>
  <c r="T1398" i="3"/>
  <c r="T791" i="3"/>
  <c r="T829" i="3"/>
  <c r="T835" i="3"/>
  <c r="T797" i="3"/>
  <c r="T803" i="3"/>
  <c r="T810" i="3"/>
  <c r="T816" i="3"/>
  <c r="T822" i="3"/>
  <c r="T842" i="3"/>
  <c r="T848" i="3"/>
  <c r="T925" i="3"/>
  <c r="T954" i="3"/>
  <c r="T859" i="3"/>
  <c r="T850" i="3"/>
  <c r="T965" i="3"/>
  <c r="T827" i="3"/>
  <c r="T833" i="3"/>
  <c r="T795" i="3"/>
  <c r="T801" i="3"/>
  <c r="T807" i="3"/>
  <c r="T814" i="3"/>
  <c r="T820" i="3"/>
  <c r="T840" i="3"/>
  <c r="T846" i="3"/>
  <c r="T923" i="3"/>
  <c r="T929" i="3"/>
  <c r="T854" i="3"/>
  <c r="T825" i="3"/>
  <c r="T831" i="3"/>
  <c r="T793" i="3"/>
  <c r="T799" i="3"/>
  <c r="T805" i="3"/>
  <c r="T812" i="3"/>
  <c r="T818" i="3"/>
  <c r="T838" i="3"/>
  <c r="T844" i="3"/>
  <c r="T921" i="3"/>
  <c r="T927" i="3"/>
  <c r="T782" i="3"/>
  <c r="T961" i="3"/>
  <c r="T836" i="3"/>
  <c r="T780" i="3"/>
  <c r="T789" i="3"/>
  <c r="T955" i="3"/>
  <c r="T779" i="3"/>
  <c r="T858" i="3"/>
  <c r="T937" i="3"/>
  <c r="T856" i="3"/>
  <c r="T852" i="3"/>
  <c r="T855" i="3"/>
  <c r="T853" i="3"/>
  <c r="T857" i="3"/>
  <c r="T778" i="3"/>
  <c r="T851" i="3"/>
  <c r="T863" i="3"/>
  <c r="T849" i="3"/>
  <c r="T826" i="3"/>
  <c r="T828" i="3"/>
  <c r="T830" i="3"/>
  <c r="T832" i="3"/>
  <c r="T834" i="3"/>
  <c r="T792" i="3"/>
  <c r="T794" i="3"/>
  <c r="T796" i="3"/>
  <c r="T798" i="3"/>
  <c r="T800" i="3"/>
  <c r="T802" i="3"/>
  <c r="T804" i="3"/>
  <c r="T806" i="3"/>
  <c r="T808" i="3"/>
  <c r="T811" i="3"/>
  <c r="T813" i="3"/>
  <c r="T815" i="3"/>
  <c r="T817" i="3"/>
  <c r="T819" i="3"/>
  <c r="T821" i="3"/>
  <c r="T837" i="3"/>
  <c r="T839" i="3"/>
  <c r="T841" i="3"/>
  <c r="T843" i="3"/>
  <c r="T845" i="3"/>
  <c r="T847" i="3"/>
  <c r="T920" i="3"/>
  <c r="T922" i="3"/>
  <c r="T924" i="3"/>
  <c r="T926" i="3"/>
  <c r="T928" i="3"/>
  <c r="T860" i="3"/>
  <c r="T864" i="3"/>
  <c r="T868" i="3"/>
  <c r="T872" i="3"/>
  <c r="T876" i="3"/>
  <c r="T880" i="3"/>
  <c r="T884" i="3"/>
  <c r="T888" i="3"/>
  <c r="T861" i="3"/>
  <c r="T865" i="3"/>
  <c r="T862" i="3"/>
  <c r="T866" i="3"/>
  <c r="T870" i="3"/>
  <c r="T874" i="3"/>
  <c r="T878" i="3"/>
  <c r="T882" i="3"/>
  <c r="T886" i="3"/>
  <c r="T890" i="3"/>
  <c r="T938" i="3"/>
  <c r="T892" i="3"/>
  <c r="T894" i="3"/>
  <c r="T896" i="3"/>
  <c r="T898" i="3"/>
  <c r="T900" i="3"/>
  <c r="T902" i="3"/>
  <c r="T904" i="3"/>
  <c r="T906" i="3"/>
  <c r="T908" i="3"/>
  <c r="T910" i="3"/>
  <c r="T912" i="3"/>
  <c r="T915" i="3"/>
  <c r="T917" i="3"/>
  <c r="T953" i="3"/>
  <c r="T931" i="3"/>
  <c r="T933" i="3"/>
  <c r="T936" i="3"/>
  <c r="T941" i="3"/>
  <c r="T944" i="3"/>
  <c r="T947" i="3"/>
  <c r="T950" i="3"/>
  <c r="T957" i="3"/>
  <c r="T960" i="3"/>
  <c r="T867" i="3"/>
  <c r="T869" i="3"/>
  <c r="T871" i="3"/>
  <c r="T873" i="3"/>
  <c r="T875" i="3"/>
  <c r="T877" i="3"/>
  <c r="T879" i="3"/>
  <c r="T881" i="3"/>
  <c r="T883" i="3"/>
  <c r="T885" i="3"/>
  <c r="T887" i="3"/>
  <c r="T889" i="3"/>
  <c r="T891" i="3"/>
  <c r="T893" i="3"/>
  <c r="T895" i="3"/>
  <c r="T897" i="3"/>
  <c r="T899" i="3"/>
  <c r="T901" i="3"/>
  <c r="T903" i="3"/>
  <c r="T905" i="3"/>
  <c r="T907" i="3"/>
  <c r="T909" i="3"/>
  <c r="T911" i="3"/>
  <c r="T914" i="3"/>
  <c r="T916" i="3"/>
  <c r="T918" i="3"/>
  <c r="T930" i="3"/>
  <c r="T932" i="3"/>
  <c r="T934" i="3"/>
  <c r="T940" i="3"/>
  <c r="T943" i="3"/>
  <c r="T946" i="3"/>
  <c r="T949" i="3"/>
  <c r="T956" i="3"/>
  <c r="T959" i="3"/>
  <c r="T963" i="3"/>
  <c r="T788" i="3"/>
  <c r="T781" i="3"/>
  <c r="T784" i="3"/>
  <c r="T783" i="3"/>
  <c r="T787" i="3"/>
  <c r="T785" i="3"/>
  <c r="T939" i="3"/>
  <c r="T942" i="3"/>
  <c r="T945" i="3"/>
  <c r="T948" i="3"/>
  <c r="T951" i="3"/>
  <c r="T958" i="3"/>
  <c r="T962" i="3"/>
  <c r="T964" i="3"/>
  <c r="T790" i="3"/>
  <c r="T786" i="3"/>
  <c r="T1401" i="3" l="1"/>
  <c r="T1400" i="3"/>
  <c r="L1567" i="3"/>
  <c r="K1567" i="3" s="1"/>
  <c r="L1671" i="3"/>
  <c r="K1671" i="3" s="1"/>
  <c r="L1529" i="3"/>
  <c r="K1529" i="3" s="1"/>
  <c r="L1441" i="3"/>
  <c r="K1441" i="3" s="1"/>
  <c r="L1658" i="3"/>
  <c r="K1658" i="3" s="1"/>
  <c r="L1505" i="3"/>
  <c r="K1505" i="3" s="1"/>
  <c r="L1682" i="3"/>
  <c r="K1682" i="3" s="1"/>
  <c r="L1605" i="3"/>
  <c r="K1605" i="3" s="1"/>
  <c r="L1438" i="3"/>
  <c r="K1438" i="3" s="1"/>
  <c r="L1675" i="3"/>
  <c r="K1675" i="3" s="1"/>
  <c r="L1538" i="3"/>
  <c r="K1538" i="3" s="1"/>
  <c r="L1532" i="3"/>
  <c r="K1532" i="3" s="1"/>
  <c r="L1593" i="3"/>
  <c r="K1593" i="3" s="1"/>
  <c r="L1393" i="3"/>
  <c r="K1393" i="3" s="1"/>
  <c r="L1586" i="3"/>
  <c r="K1586" i="3" s="1"/>
  <c r="L1640" i="3"/>
  <c r="K1640" i="3" s="1"/>
  <c r="L1575" i="3"/>
  <c r="K1575" i="3" s="1"/>
  <c r="L1653" i="3"/>
  <c r="K1653" i="3" s="1"/>
  <c r="L1444" i="3"/>
  <c r="K1444" i="3" s="1"/>
  <c r="L1651" i="3"/>
  <c r="K1651" i="3" s="1"/>
  <c r="L1531" i="3"/>
  <c r="K1531" i="3" s="1"/>
  <c r="L1410" i="3"/>
  <c r="L1607" i="3"/>
  <c r="K1607" i="3" s="1"/>
  <c r="L1534" i="3"/>
  <c r="K1534" i="3" s="1"/>
  <c r="L1549" i="3"/>
  <c r="K1549" i="3" s="1"/>
  <c r="L1291" i="3"/>
  <c r="L1568" i="3"/>
  <c r="K1568" i="3" s="1"/>
  <c r="L1175" i="3"/>
  <c r="K1175" i="3" s="1"/>
  <c r="L1528" i="3"/>
  <c r="K1528" i="3" s="1"/>
  <c r="L1642" i="3"/>
  <c r="K1642" i="3" s="1"/>
  <c r="L1436" i="3"/>
  <c r="K1436" i="3" s="1"/>
  <c r="L1610" i="3"/>
  <c r="K1610" i="3" s="1"/>
  <c r="L1600" i="3"/>
  <c r="K1600" i="3" s="1"/>
  <c r="L1412" i="3"/>
  <c r="L1665" i="3"/>
  <c r="K1665" i="3" s="1"/>
  <c r="L1292" i="3"/>
  <c r="K1292" i="3" s="1"/>
  <c r="L1491" i="3"/>
  <c r="K1491" i="3" s="1"/>
  <c r="L1427" i="3"/>
  <c r="K1427" i="3" s="1"/>
  <c r="L1639" i="3"/>
  <c r="K1639" i="3" s="1"/>
  <c r="L1488" i="3"/>
  <c r="K1488" i="3" s="1"/>
  <c r="L1468" i="3"/>
  <c r="K1468" i="3" s="1"/>
  <c r="L1559" i="3"/>
  <c r="K1559" i="3" s="1"/>
  <c r="L1661" i="3"/>
  <c r="K1661" i="3" s="1"/>
  <c r="L1541" i="3"/>
  <c r="K1541" i="3" s="1"/>
  <c r="L1414" i="3"/>
  <c r="K1414" i="3" s="1"/>
  <c r="L1428" i="3"/>
  <c r="K1428" i="3" s="1"/>
  <c r="L1620" i="3"/>
  <c r="K1620" i="3" s="1"/>
  <c r="L1467" i="3"/>
  <c r="K1467" i="3" s="1"/>
  <c r="L1580" i="3"/>
  <c r="K1580" i="3" s="1"/>
  <c r="L1503" i="3"/>
  <c r="K1503" i="3" s="1"/>
  <c r="L1385" i="3"/>
  <c r="L1652" i="3"/>
  <c r="K1652" i="3" s="1"/>
  <c r="L1329" i="3"/>
  <c r="K1329" i="3" s="1"/>
  <c r="L1286" i="3"/>
  <c r="L1470" i="3"/>
  <c r="K1470" i="3" s="1"/>
  <c r="L1481" i="3"/>
  <c r="K1481" i="3" s="1"/>
  <c r="L1630" i="3"/>
  <c r="K1630" i="3" s="1"/>
  <c r="L1662" i="3"/>
  <c r="K1662" i="3" s="1"/>
  <c r="L1513" i="3"/>
  <c r="K1513" i="3" s="1"/>
  <c r="L1417" i="3"/>
  <c r="K1417" i="3" s="1"/>
  <c r="L1482" i="3"/>
  <c r="K1482" i="3" s="1"/>
  <c r="L1624" i="3"/>
  <c r="K1624" i="3" s="1"/>
  <c r="L1582" i="3"/>
  <c r="K1582" i="3" s="1"/>
  <c r="L1472" i="3"/>
  <c r="K1472" i="3" s="1"/>
  <c r="L1517" i="3"/>
  <c r="K1517" i="3" s="1"/>
  <c r="L1634" i="3"/>
  <c r="K1634" i="3" s="1"/>
  <c r="L1474" i="3"/>
  <c r="K1474" i="3" s="1"/>
  <c r="L1486" i="3"/>
  <c r="K1486" i="3" s="1"/>
  <c r="L1496" i="3"/>
  <c r="K1496" i="3" s="1"/>
  <c r="L1504" i="3"/>
  <c r="K1504" i="3" s="1"/>
  <c r="L1570" i="3"/>
  <c r="K1570" i="3" s="1"/>
  <c r="L1537" i="3"/>
  <c r="K1537" i="3" s="1"/>
  <c r="L1407" i="3"/>
  <c r="L1515" i="3"/>
  <c r="K1515" i="3" s="1"/>
  <c r="L1282" i="3"/>
  <c r="K1282" i="3" s="1"/>
  <c r="L1565" i="3"/>
  <c r="K1565" i="3" s="1"/>
  <c r="L1411" i="3"/>
  <c r="L1479" i="3"/>
  <c r="K1479" i="3" s="1"/>
  <c r="L1522" i="3"/>
  <c r="K1522" i="3" s="1"/>
  <c r="L1394" i="3"/>
  <c r="K1394" i="3" s="1"/>
  <c r="L1494" i="3"/>
  <c r="K1494" i="3" s="1"/>
  <c r="L1650" i="3"/>
  <c r="K1650" i="3" s="1"/>
  <c r="L1619" i="3"/>
  <c r="K1619" i="3" s="1"/>
  <c r="L1371" i="3"/>
  <c r="L1489" i="3"/>
  <c r="K1489" i="3" s="1"/>
  <c r="L1654" i="3"/>
  <c r="K1654" i="3" s="1"/>
  <c r="L1686" i="3"/>
  <c r="K1686" i="3" s="1"/>
  <c r="L1576" i="3"/>
  <c r="K1576" i="3" s="1"/>
  <c r="L1687" i="3"/>
  <c r="K1687" i="3" s="1"/>
  <c r="L1664" i="3"/>
  <c r="K1664" i="3" s="1"/>
  <c r="L1256" i="3"/>
  <c r="K1256" i="3" s="1"/>
  <c r="L1669" i="3"/>
  <c r="K1669" i="3" s="1"/>
  <c r="L1613" i="3"/>
  <c r="K1613" i="3" s="1"/>
  <c r="L1473" i="3"/>
  <c r="K1473" i="3" s="1"/>
  <c r="L1162" i="3"/>
  <c r="K1162" i="3" s="1"/>
  <c r="L1583" i="3"/>
  <c r="K1583" i="3" s="1"/>
  <c r="L1584" i="3"/>
  <c r="K1584" i="3" s="1"/>
  <c r="L1415" i="3"/>
  <c r="K1415" i="3" s="1"/>
  <c r="L1281" i="3"/>
  <c r="K1281" i="3" s="1"/>
  <c r="L1520" i="3"/>
  <c r="K1520" i="3" s="1"/>
  <c r="L1499" i="3"/>
  <c r="K1499" i="3" s="1"/>
  <c r="L1480" i="3"/>
  <c r="K1480" i="3" s="1"/>
  <c r="L1587" i="3"/>
  <c r="K1587" i="3" s="1"/>
  <c r="L1547" i="3"/>
  <c r="K1547" i="3" s="1"/>
  <c r="L1434" i="3"/>
  <c r="K1434" i="3" s="1"/>
  <c r="L1594" i="3"/>
  <c r="K1594" i="3" s="1"/>
  <c r="L1599" i="3"/>
  <c r="K1599" i="3" s="1"/>
  <c r="L1585" i="3"/>
  <c r="K1585" i="3" s="1"/>
  <c r="L1554" i="3"/>
  <c r="K1554" i="3" s="1"/>
  <c r="L1563" i="3"/>
  <c r="K1563" i="3" s="1"/>
  <c r="L1506" i="3"/>
  <c r="K1506" i="3" s="1"/>
  <c r="L1616" i="3"/>
  <c r="K1616" i="3" s="1"/>
  <c r="L1328" i="3"/>
  <c r="K1328" i="3" s="1"/>
  <c r="L1566" i="3"/>
  <c r="K1566" i="3" s="1"/>
  <c r="L1440" i="3"/>
  <c r="K1440" i="3" s="1"/>
  <c r="L1456" i="3"/>
  <c r="K1456" i="3" s="1"/>
  <c r="L1523" i="3"/>
  <c r="K1523" i="3" s="1"/>
  <c r="L1577" i="3"/>
  <c r="K1577" i="3" s="1"/>
  <c r="L1431" i="3"/>
  <c r="K1431" i="3" s="1"/>
  <c r="L1409" i="3"/>
  <c r="L1437" i="3"/>
  <c r="K1437" i="3" s="1"/>
  <c r="L1679" i="3"/>
  <c r="K1679" i="3" s="1"/>
  <c r="L1638" i="3"/>
  <c r="K1638" i="3" s="1"/>
  <c r="L1406" i="3"/>
  <c r="L1405" i="3"/>
  <c r="K1405" i="3" s="1"/>
  <c r="L1569" i="3"/>
  <c r="K1569" i="3" s="1"/>
  <c r="L1430" i="3"/>
  <c r="K1430" i="3" s="1"/>
  <c r="L1533" i="3"/>
  <c r="K1533" i="3" s="1"/>
  <c r="L1685" i="3"/>
  <c r="K1685" i="3" s="1"/>
  <c r="L1590" i="3"/>
  <c r="K1590" i="3" s="1"/>
  <c r="L1672" i="3"/>
  <c r="K1672" i="3" s="1"/>
  <c r="L1403" i="3"/>
  <c r="K1403" i="3" s="1"/>
  <c r="L1445" i="3"/>
  <c r="K1445" i="3" s="1"/>
  <c r="L1673" i="3"/>
  <c r="K1673" i="3" s="1"/>
  <c r="L1615" i="3"/>
  <c r="K1615" i="3" s="1"/>
  <c r="L1516" i="3"/>
  <c r="K1516" i="3" s="1"/>
  <c r="L1419" i="3"/>
  <c r="K1419" i="3" s="1"/>
  <c r="L1648" i="3"/>
  <c r="K1648" i="3" s="1"/>
  <c r="L1492" i="3"/>
  <c r="K1492" i="3" s="1"/>
  <c r="L1454" i="3"/>
  <c r="K1454" i="3" s="1"/>
  <c r="L1392" i="3"/>
  <c r="K1392" i="3" s="1"/>
  <c r="L1519" i="3"/>
  <c r="K1519" i="3" s="1"/>
  <c r="L1462" i="3"/>
  <c r="K1462" i="3" s="1"/>
  <c r="L1449" i="3"/>
  <c r="K1449" i="3" s="1"/>
  <c r="L1581" i="3"/>
  <c r="K1581" i="3" s="1"/>
  <c r="L1663" i="3"/>
  <c r="K1663" i="3" s="1"/>
  <c r="L1659" i="3"/>
  <c r="K1659" i="3" s="1"/>
  <c r="L1508" i="3"/>
  <c r="K1508" i="3" s="1"/>
  <c r="L1424" i="3"/>
  <c r="K1424" i="3" s="1"/>
  <c r="L1442" i="3"/>
  <c r="K1442" i="3" s="1"/>
  <c r="L1464" i="3"/>
  <c r="K1464" i="3" s="1"/>
  <c r="L1323" i="3"/>
  <c r="K1323" i="3" s="1"/>
  <c r="L1501" i="3"/>
  <c r="K1501" i="3" s="1"/>
  <c r="L1322" i="3"/>
  <c r="K1322" i="3" s="1"/>
  <c r="L1579" i="3"/>
  <c r="K1579" i="3" s="1"/>
  <c r="L1588" i="3"/>
  <c r="K1588" i="3" s="1"/>
  <c r="L1564" i="3"/>
  <c r="K1564" i="3" s="1"/>
  <c r="L1421" i="3"/>
  <c r="K1421" i="3" s="1"/>
  <c r="L1391" i="3"/>
  <c r="K1391" i="3" s="1"/>
  <c r="L1598" i="3"/>
  <c r="K1598" i="3" s="1"/>
  <c r="L1589" i="3"/>
  <c r="K1589" i="3" s="1"/>
  <c r="L1553" i="3"/>
  <c r="K1553" i="3" s="1"/>
  <c r="L1643" i="3"/>
  <c r="K1643" i="3" s="1"/>
  <c r="L1478" i="3"/>
  <c r="K1478" i="3" s="1"/>
  <c r="L1475" i="3"/>
  <c r="K1475" i="3" s="1"/>
  <c r="L1471" i="3"/>
  <c r="K1471" i="3" s="1"/>
  <c r="L1511" i="3"/>
  <c r="K1511" i="3" s="1"/>
  <c r="L1609" i="3"/>
  <c r="K1609" i="3" s="1"/>
  <c r="L1458" i="3"/>
  <c r="K1458" i="3" s="1"/>
  <c r="L1390" i="3"/>
  <c r="L1495" i="3"/>
  <c r="K1495" i="3" s="1"/>
  <c r="L1536" i="3"/>
  <c r="K1536" i="3" s="1"/>
  <c r="L1530" i="3"/>
  <c r="K1530" i="3" s="1"/>
  <c r="L1618" i="3"/>
  <c r="K1618" i="3" s="1"/>
  <c r="L1525" i="3"/>
  <c r="K1525" i="3" s="1"/>
  <c r="L1548" i="3"/>
  <c r="K1548" i="3" s="1"/>
  <c r="L1551" i="3"/>
  <c r="K1551" i="3" s="1"/>
  <c r="L1633" i="3"/>
  <c r="K1633" i="3" s="1"/>
  <c r="L1416" i="3"/>
  <c r="K1416" i="3" s="1"/>
  <c r="L1674" i="3"/>
  <c r="K1674" i="3" s="1"/>
  <c r="L1325" i="3"/>
  <c r="K1325" i="3" s="1"/>
  <c r="L1451" i="3"/>
  <c r="K1451" i="3" s="1"/>
  <c r="L1628" i="3"/>
  <c r="K1628" i="3" s="1"/>
  <c r="L1546" i="3"/>
  <c r="K1546" i="3" s="1"/>
  <c r="L1376" i="3"/>
  <c r="L1408" i="3"/>
  <c r="L1578" i="3"/>
  <c r="K1578" i="3" s="1"/>
  <c r="L1655" i="3"/>
  <c r="K1655" i="3" s="1"/>
  <c r="L1459" i="3"/>
  <c r="K1459" i="3" s="1"/>
  <c r="L1550" i="3"/>
  <c r="K1550" i="3" s="1"/>
  <c r="L1460" i="3"/>
  <c r="K1460" i="3" s="1"/>
  <c r="L1668" i="3"/>
  <c r="K1668" i="3" s="1"/>
  <c r="L1285" i="3"/>
  <c r="L1384" i="3"/>
  <c r="L1418" i="3"/>
  <c r="K1418" i="3" s="1"/>
  <c r="L1447" i="3"/>
  <c r="K1447" i="3" s="1"/>
  <c r="L1558" i="3"/>
  <c r="K1558" i="3" s="1"/>
  <c r="L1507" i="3"/>
  <c r="K1507" i="3" s="1"/>
  <c r="L1644" i="3"/>
  <c r="K1644" i="3" s="1"/>
  <c r="L1284" i="3"/>
  <c r="L1681" i="3"/>
  <c r="K1681" i="3" s="1"/>
  <c r="L1646" i="3"/>
  <c r="K1646" i="3" s="1"/>
  <c r="L1544" i="3"/>
  <c r="K1544" i="3" s="1"/>
  <c r="L1450" i="3"/>
  <c r="K1450" i="3" s="1"/>
  <c r="L1452" i="3"/>
  <c r="K1452" i="3" s="1"/>
  <c r="L1678" i="3"/>
  <c r="K1678" i="3" s="1"/>
  <c r="L1426" i="3"/>
  <c r="K1426" i="3" s="1"/>
  <c r="L1500" i="3"/>
  <c r="K1500" i="3" s="1"/>
  <c r="L1637" i="3"/>
  <c r="K1637" i="3" s="1"/>
  <c r="L1526" i="3"/>
  <c r="K1526" i="3" s="1"/>
  <c r="L1670" i="3"/>
  <c r="K1670" i="3" s="1"/>
  <c r="L1611" i="3"/>
  <c r="K1611" i="3" s="1"/>
  <c r="L1443" i="3"/>
  <c r="K1443" i="3" s="1"/>
  <c r="L1545" i="3"/>
  <c r="K1545" i="3" s="1"/>
  <c r="L1667" i="3"/>
  <c r="K1667" i="3" s="1"/>
  <c r="L1476" i="3"/>
  <c r="K1476" i="3" s="1"/>
  <c r="L1404" i="3"/>
  <c r="K1404" i="3" s="1"/>
  <c r="L1626" i="3"/>
  <c r="K1626" i="3" s="1"/>
  <c r="L1572" i="3"/>
  <c r="K1572" i="3" s="1"/>
  <c r="L1645" i="3"/>
  <c r="K1645" i="3" s="1"/>
  <c r="L1461" i="3"/>
  <c r="K1461" i="3" s="1"/>
  <c r="L1597" i="3"/>
  <c r="K1597" i="3" s="1"/>
  <c r="L1657" i="3"/>
  <c r="K1657" i="3" s="1"/>
  <c r="L1676" i="3"/>
  <c r="K1676" i="3" s="1"/>
  <c r="L1413" i="3"/>
  <c r="K1413" i="3" s="1"/>
  <c r="L1603" i="3"/>
  <c r="K1603" i="3" s="1"/>
  <c r="L1614" i="3"/>
  <c r="K1614" i="3" s="1"/>
  <c r="L1561" i="3"/>
  <c r="K1561" i="3" s="1"/>
  <c r="L1002" i="3"/>
  <c r="K1002" i="3" s="1"/>
  <c r="L992" i="3"/>
  <c r="K992" i="3" s="1"/>
  <c r="L1423" i="3"/>
  <c r="K1423" i="3" s="1"/>
  <c r="L1574" i="3"/>
  <c r="K1574" i="3" s="1"/>
  <c r="L1688" i="3"/>
  <c r="K1688" i="3" s="1"/>
  <c r="L1524" i="3"/>
  <c r="K1524" i="3" s="1"/>
  <c r="L1627" i="3"/>
  <c r="K1627" i="3" s="1"/>
  <c r="L1677" i="3"/>
  <c r="K1677" i="3" s="1"/>
  <c r="L1487" i="3"/>
  <c r="K1487" i="3" s="1"/>
  <c r="L1556" i="3"/>
  <c r="K1556" i="3" s="1"/>
  <c r="L1509" i="3"/>
  <c r="K1509" i="3" s="1"/>
  <c r="L1420" i="3"/>
  <c r="K1420" i="3" s="1"/>
  <c r="L1477" i="3"/>
  <c r="K1477" i="3" s="1"/>
  <c r="L1649" i="3"/>
  <c r="K1649" i="3" s="1"/>
  <c r="L1666" i="3"/>
  <c r="K1666" i="3" s="1"/>
  <c r="L1483" i="3"/>
  <c r="K1483" i="3" s="1"/>
  <c r="L1439" i="3"/>
  <c r="K1439" i="3" s="1"/>
  <c r="L1606" i="3"/>
  <c r="K1606" i="3" s="1"/>
  <c r="L1573" i="3"/>
  <c r="K1573" i="3" s="1"/>
  <c r="L1552" i="3"/>
  <c r="K1552" i="3" s="1"/>
  <c r="L1596" i="3"/>
  <c r="K1596" i="3" s="1"/>
  <c r="L1680" i="3"/>
  <c r="K1680" i="3" s="1"/>
  <c r="L1656" i="3"/>
  <c r="K1656" i="3" s="1"/>
  <c r="L1632" i="3"/>
  <c r="K1632" i="3" s="1"/>
  <c r="L1601" i="3"/>
  <c r="K1601" i="3" s="1"/>
  <c r="L1463" i="3"/>
  <c r="K1463" i="3" s="1"/>
  <c r="L1608" i="3"/>
  <c r="K1608" i="3" s="1"/>
  <c r="L1562" i="3"/>
  <c r="K1562" i="3" s="1"/>
  <c r="L1660" i="3"/>
  <c r="K1660" i="3" s="1"/>
  <c r="L1635" i="3"/>
  <c r="K1635" i="3" s="1"/>
  <c r="L1641" i="3"/>
  <c r="K1641" i="3" s="1"/>
  <c r="L1512" i="3"/>
  <c r="K1512" i="3" s="1"/>
  <c r="L1542" i="3"/>
  <c r="K1542" i="3" s="1"/>
  <c r="L1527" i="3"/>
  <c r="K1527" i="3" s="1"/>
  <c r="L1602" i="3"/>
  <c r="K1602" i="3" s="1"/>
  <c r="L1539" i="3"/>
  <c r="K1539" i="3" s="1"/>
  <c r="L1557" i="3"/>
  <c r="K1557" i="3" s="1"/>
  <c r="L1435" i="3"/>
  <c r="K1435" i="3" s="1"/>
  <c r="L1555" i="3"/>
  <c r="K1555" i="3" s="1"/>
  <c r="L1484" i="3"/>
  <c r="K1484" i="3" s="1"/>
  <c r="L1465" i="3"/>
  <c r="K1465" i="3" s="1"/>
  <c r="L1535" i="3"/>
  <c r="K1535" i="3" s="1"/>
  <c r="L1498" i="3"/>
  <c r="K1498" i="3" s="1"/>
  <c r="L1003" i="3"/>
  <c r="K1003" i="3" s="1"/>
  <c r="L1006" i="3"/>
  <c r="K1006" i="3" s="1"/>
  <c r="L1001" i="3"/>
  <c r="K1001" i="3" s="1"/>
  <c r="L1395" i="3"/>
  <c r="L1617" i="3"/>
  <c r="K1617" i="3" s="1"/>
  <c r="L1453" i="3"/>
  <c r="K1453" i="3" s="1"/>
  <c r="L1466" i="3"/>
  <c r="K1466" i="3" s="1"/>
  <c r="L1625" i="3"/>
  <c r="K1625" i="3" s="1"/>
  <c r="L1604" i="3"/>
  <c r="K1604" i="3" s="1"/>
  <c r="L1560" i="3"/>
  <c r="K1560" i="3" s="1"/>
  <c r="L1433" i="3"/>
  <c r="K1433" i="3" s="1"/>
  <c r="L1490" i="3"/>
  <c r="K1490" i="3" s="1"/>
  <c r="L1469" i="3"/>
  <c r="K1469" i="3" s="1"/>
  <c r="L1422" i="3"/>
  <c r="K1422" i="3" s="1"/>
  <c r="L1623" i="3"/>
  <c r="K1623" i="3" s="1"/>
  <c r="L1571" i="3"/>
  <c r="K1571" i="3" s="1"/>
  <c r="L1543" i="3"/>
  <c r="K1543" i="3" s="1"/>
  <c r="L1432" i="3"/>
  <c r="K1432" i="3" s="1"/>
  <c r="L1429" i="3"/>
  <c r="K1429" i="3" s="1"/>
  <c r="L1457" i="3"/>
  <c r="K1457" i="3" s="1"/>
  <c r="L1485" i="3"/>
  <c r="K1485" i="3" s="1"/>
  <c r="L1622" i="3"/>
  <c r="K1622" i="3" s="1"/>
  <c r="L1514" i="3"/>
  <c r="K1514" i="3" s="1"/>
  <c r="L1321" i="3"/>
  <c r="K1321" i="3" s="1"/>
  <c r="L1510" i="3"/>
  <c r="K1510" i="3" s="1"/>
  <c r="L1684" i="3"/>
  <c r="K1684" i="3" s="1"/>
  <c r="L1612" i="3"/>
  <c r="K1612" i="3" s="1"/>
  <c r="L1446" i="3"/>
  <c r="K1446" i="3" s="1"/>
  <c r="L1502" i="3"/>
  <c r="K1502" i="3" s="1"/>
  <c r="L1683" i="3"/>
  <c r="K1683" i="3" s="1"/>
  <c r="L1629" i="3"/>
  <c r="K1629" i="3" s="1"/>
  <c r="L1455" i="3"/>
  <c r="K1455" i="3" s="1"/>
  <c r="L1372" i="3"/>
  <c r="L1425" i="3"/>
  <c r="K1425" i="3" s="1"/>
  <c r="L1493" i="3"/>
  <c r="K1493" i="3" s="1"/>
  <c r="L1448" i="3"/>
  <c r="K1448" i="3" s="1"/>
  <c r="L1591" i="3"/>
  <c r="K1591" i="3" s="1"/>
  <c r="L1631" i="3"/>
  <c r="K1631" i="3" s="1"/>
  <c r="L1521" i="3"/>
  <c r="K1521" i="3" s="1"/>
  <c r="L1647" i="3"/>
  <c r="K1647" i="3" s="1"/>
  <c r="L1298" i="3"/>
  <c r="K1298" i="3" s="1"/>
  <c r="L1497" i="3"/>
  <c r="K1497" i="3" s="1"/>
  <c r="L1592" i="3"/>
  <c r="K1592" i="3" s="1"/>
  <c r="L1636" i="3"/>
  <c r="K1636" i="3" s="1"/>
  <c r="L1540" i="3"/>
  <c r="K1540" i="3" s="1"/>
  <c r="L1518" i="3"/>
  <c r="K1518" i="3" s="1"/>
  <c r="L1595" i="3"/>
  <c r="K1595" i="3" s="1"/>
  <c r="L1621" i="3"/>
  <c r="K1621" i="3" s="1"/>
  <c r="L1004" i="3"/>
  <c r="K1004" i="3" s="1"/>
  <c r="L1005" i="3"/>
  <c r="K1005" i="3" s="1"/>
  <c r="L966" i="3"/>
  <c r="K966" i="3" s="1"/>
  <c r="J966" i="3"/>
  <c r="L1326" i="3"/>
  <c r="K1326" i="3" s="1"/>
  <c r="T1326" i="3" s="1"/>
  <c r="L1402" i="3"/>
  <c r="L1400" i="3"/>
  <c r="K1400" i="3" s="1"/>
  <c r="L1299" i="3"/>
  <c r="L1301" i="3"/>
  <c r="L1386" i="3"/>
  <c r="L1388" i="3"/>
  <c r="L1300" i="3"/>
  <c r="L1370" i="3"/>
  <c r="L1369" i="3"/>
  <c r="L1366" i="3"/>
  <c r="L1361" i="3"/>
  <c r="L1357" i="3"/>
  <c r="L1351" i="3"/>
  <c r="L1356" i="3"/>
  <c r="L1346" i="3"/>
  <c r="L1363" i="3"/>
  <c r="L1332" i="3"/>
  <c r="L1331" i="3"/>
  <c r="L1337" i="3"/>
  <c r="L1204" i="3"/>
  <c r="L1278" i="3"/>
  <c r="L969" i="3"/>
  <c r="L1141" i="3"/>
  <c r="L1247" i="3"/>
  <c r="L1057" i="3"/>
  <c r="L1248" i="3"/>
  <c r="L1048" i="3"/>
  <c r="L1072" i="3"/>
  <c r="L1230" i="3"/>
  <c r="L1069" i="3"/>
  <c r="L1117" i="3"/>
  <c r="L997" i="3"/>
  <c r="L1008" i="3"/>
  <c r="L1107" i="3"/>
  <c r="L1122" i="3"/>
  <c r="L1231" i="3"/>
  <c r="L1197" i="3"/>
  <c r="L1166" i="3"/>
  <c r="L987" i="3"/>
  <c r="L1172" i="3"/>
  <c r="L1160" i="3"/>
  <c r="L1277" i="3"/>
  <c r="L1177" i="3"/>
  <c r="L1037" i="3"/>
  <c r="K1037" i="3" s="1"/>
  <c r="L1203" i="3"/>
  <c r="K1203" i="3" s="1"/>
  <c r="L1041" i="3"/>
  <c r="K1041" i="3" s="1"/>
  <c r="L1188" i="3"/>
  <c r="K1188" i="3" s="1"/>
  <c r="L988" i="3"/>
  <c r="L1105" i="3"/>
  <c r="K1105" i="3" s="1"/>
  <c r="L1040" i="3"/>
  <c r="K1040" i="3" s="1"/>
  <c r="L1098" i="3"/>
  <c r="K1098" i="3" s="1"/>
  <c r="L1238" i="3"/>
  <c r="K1238" i="3" s="1"/>
  <c r="L1243" i="3"/>
  <c r="K1243" i="3" s="1"/>
  <c r="L1099" i="3"/>
  <c r="K1099" i="3" s="1"/>
  <c r="L1245" i="3"/>
  <c r="K1245" i="3" s="1"/>
  <c r="L1036" i="3"/>
  <c r="K1036" i="3" s="1"/>
  <c r="L1234" i="3"/>
  <c r="L1251" i="3"/>
  <c r="K1251" i="3" s="1"/>
  <c r="L1213" i="3"/>
  <c r="K1213" i="3" s="1"/>
  <c r="L1208" i="3"/>
  <c r="K1208" i="3" s="1"/>
  <c r="L1074" i="3"/>
  <c r="K1074" i="3" s="1"/>
  <c r="L1148" i="3"/>
  <c r="K1148" i="3" s="1"/>
  <c r="L1108" i="3"/>
  <c r="K1108" i="3" s="1"/>
  <c r="L1190" i="3"/>
  <c r="K1190" i="3" s="1"/>
  <c r="L1106" i="3"/>
  <c r="K1106" i="3" s="1"/>
  <c r="L1022" i="3"/>
  <c r="L1194" i="3"/>
  <c r="K1194" i="3" s="1"/>
  <c r="L1397" i="3"/>
  <c r="K1397" i="3" s="1"/>
  <c r="L1398" i="3"/>
  <c r="K1398" i="3" s="1"/>
  <c r="L1327" i="3"/>
  <c r="K1327" i="3" s="1"/>
  <c r="L1295" i="3"/>
  <c r="L1378" i="3"/>
  <c r="K1378" i="3" s="1"/>
  <c r="L1389" i="3"/>
  <c r="K1389" i="3" s="1"/>
  <c r="L1383" i="3"/>
  <c r="L1165" i="3"/>
  <c r="K1165" i="3" s="1"/>
  <c r="L1368" i="3"/>
  <c r="K1368" i="3" s="1"/>
  <c r="L1347" i="3"/>
  <c r="L1355" i="3"/>
  <c r="K1355" i="3" s="1"/>
  <c r="L1360" i="3"/>
  <c r="K1360" i="3" s="1"/>
  <c r="L1352" i="3"/>
  <c r="L1345" i="3"/>
  <c r="K1345" i="3" s="1"/>
  <c r="L1359" i="3"/>
  <c r="L1344" i="3"/>
  <c r="L1333" i="3"/>
  <c r="K1333" i="3" s="1"/>
  <c r="L1330" i="3"/>
  <c r="L1334" i="3"/>
  <c r="L1205" i="3"/>
  <c r="K1205" i="3" s="1"/>
  <c r="L1000" i="3"/>
  <c r="L1076" i="3"/>
  <c r="L1137" i="3"/>
  <c r="K1137" i="3" s="1"/>
  <c r="L1150" i="3"/>
  <c r="L1034" i="3"/>
  <c r="L1263" i="3"/>
  <c r="K1263" i="3" s="1"/>
  <c r="L1067" i="3"/>
  <c r="L973" i="3"/>
  <c r="L1127" i="3"/>
  <c r="L1206" i="3"/>
  <c r="L1126" i="3"/>
  <c r="L1017" i="3"/>
  <c r="L1113" i="3"/>
  <c r="L1218" i="3"/>
  <c r="L1221" i="3"/>
  <c r="L1115" i="3"/>
  <c r="L1217" i="3"/>
  <c r="L1131" i="3"/>
  <c r="L1083" i="3"/>
  <c r="L1044" i="3"/>
  <c r="L1164" i="3"/>
  <c r="L1279" i="3"/>
  <c r="L984" i="3"/>
  <c r="L1085" i="3"/>
  <c r="L1228" i="3"/>
  <c r="L1399" i="3"/>
  <c r="K1399" i="3" s="1"/>
  <c r="L1302" i="3"/>
  <c r="K1302" i="3" s="1"/>
  <c r="T1302" i="3" s="1"/>
  <c r="L1320" i="3"/>
  <c r="K1320" i="3" s="1"/>
  <c r="T1320" i="3" s="1"/>
  <c r="L1387" i="3"/>
  <c r="K1387" i="3" s="1"/>
  <c r="T1387" i="3" s="1"/>
  <c r="L1374" i="3"/>
  <c r="K1374" i="3" s="1"/>
  <c r="T1374" i="3" s="1"/>
  <c r="L1381" i="3"/>
  <c r="K1381" i="3" s="1"/>
  <c r="T1381" i="3" s="1"/>
  <c r="L1287" i="3"/>
  <c r="K1287" i="3" s="1"/>
  <c r="T1287" i="3" s="1"/>
  <c r="L1367" i="3"/>
  <c r="K1367" i="3" s="1"/>
  <c r="T1367" i="3" s="1"/>
  <c r="L1364" i="3"/>
  <c r="K1364" i="3" s="1"/>
  <c r="T1364" i="3" s="1"/>
  <c r="L1349" i="3"/>
  <c r="K1349" i="3" s="1"/>
  <c r="L1350" i="3"/>
  <c r="K1350" i="3" s="1"/>
  <c r="L1353" i="3"/>
  <c r="L1362" i="3"/>
  <c r="L1341" i="3"/>
  <c r="L1288" i="3"/>
  <c r="L1336" i="3"/>
  <c r="L1339" i="3"/>
  <c r="L1290" i="3"/>
  <c r="L1202" i="3"/>
  <c r="L1158" i="3"/>
  <c r="L1050" i="3"/>
  <c r="L1009" i="3"/>
  <c r="L1128" i="3"/>
  <c r="L1100" i="3"/>
  <c r="L1146" i="3"/>
  <c r="L1136" i="3"/>
  <c r="L1223" i="3"/>
  <c r="L972" i="3"/>
  <c r="L967" i="3"/>
  <c r="L1181" i="3"/>
  <c r="L1068" i="3"/>
  <c r="L1010" i="3"/>
  <c r="L1140" i="3"/>
  <c r="L1130" i="3"/>
  <c r="L995" i="3"/>
  <c r="L1275" i="3"/>
  <c r="L1239" i="3"/>
  <c r="L1265" i="3"/>
  <c r="L1259" i="3"/>
  <c r="L1258" i="3"/>
  <c r="L1401" i="3"/>
  <c r="K1401" i="3" s="1"/>
  <c r="L1396" i="3"/>
  <c r="K1396" i="3" s="1"/>
  <c r="L1324" i="3"/>
  <c r="K1324" i="3" s="1"/>
  <c r="L1293" i="3"/>
  <c r="K1293" i="3" s="1"/>
  <c r="L1375" i="3"/>
  <c r="K1375" i="3" s="1"/>
  <c r="L1373" i="3"/>
  <c r="K1373" i="3" s="1"/>
  <c r="L1380" i="3"/>
  <c r="K1380" i="3" s="1"/>
  <c r="L1303" i="3"/>
  <c r="K1303" i="3" s="1"/>
  <c r="L1340" i="3"/>
  <c r="K1340" i="3" s="1"/>
  <c r="L1348" i="3"/>
  <c r="K1348" i="3" s="1"/>
  <c r="L1343" i="3"/>
  <c r="K1343" i="3" s="1"/>
  <c r="L1358" i="3"/>
  <c r="K1358" i="3" s="1"/>
  <c r="L1342" i="3"/>
  <c r="K1342" i="3" s="1"/>
  <c r="L1365" i="3"/>
  <c r="K1365" i="3" s="1"/>
  <c r="L1354" i="3"/>
  <c r="K1354" i="3" s="1"/>
  <c r="L1289" i="3"/>
  <c r="K1289" i="3" s="1"/>
  <c r="L1335" i="3"/>
  <c r="K1335" i="3" s="1"/>
  <c r="L1338" i="3"/>
  <c r="K1338" i="3" s="1"/>
  <c r="L1171" i="3"/>
  <c r="K1171" i="3" s="1"/>
  <c r="L1283" i="3"/>
  <c r="K1283" i="3" s="1"/>
  <c r="L983" i="3"/>
  <c r="K983" i="3" s="1"/>
  <c r="L968" i="3"/>
  <c r="K968" i="3" s="1"/>
  <c r="L1026" i="3"/>
  <c r="K1026" i="3" s="1"/>
  <c r="L1043" i="3"/>
  <c r="L1071" i="3"/>
  <c r="L979" i="3"/>
  <c r="L981" i="3"/>
  <c r="L1156" i="3"/>
  <c r="L974" i="3"/>
  <c r="L1274" i="3"/>
  <c r="L1101" i="3"/>
  <c r="L1232" i="3"/>
  <c r="L971" i="3"/>
  <c r="L1025" i="3"/>
  <c r="L998" i="3"/>
  <c r="L1183" i="3"/>
  <c r="L1262" i="3"/>
  <c r="L1088" i="3"/>
  <c r="L1193" i="3"/>
  <c r="L1132" i="3"/>
  <c r="L1267" i="3"/>
  <c r="L1280" i="3"/>
  <c r="L1257" i="3"/>
  <c r="L1207" i="3"/>
  <c r="L1169" i="3"/>
  <c r="K1169" i="3" s="1"/>
  <c r="T1169" i="3" s="1"/>
  <c r="L1220" i="3"/>
  <c r="K1220" i="3" s="1"/>
  <c r="L1174" i="3"/>
  <c r="K1174" i="3" s="1"/>
  <c r="L1151" i="3"/>
  <c r="K1151" i="3" s="1"/>
  <c r="L1200" i="3"/>
  <c r="K1200" i="3" s="1"/>
  <c r="L1095" i="3"/>
  <c r="K1095" i="3" s="1"/>
  <c r="L996" i="3"/>
  <c r="K996" i="3" s="1"/>
  <c r="L1053" i="3"/>
  <c r="K1053" i="3" s="1"/>
  <c r="L1242" i="3"/>
  <c r="K1242" i="3" s="1"/>
  <c r="L1210" i="3"/>
  <c r="K1210" i="3" s="1"/>
  <c r="L991" i="3"/>
  <c r="K991" i="3" s="1"/>
  <c r="L1254" i="3"/>
  <c r="K1254" i="3" s="1"/>
  <c r="L1142" i="3"/>
  <c r="K1142" i="3" s="1"/>
  <c r="L1161" i="3"/>
  <c r="K1161" i="3" s="1"/>
  <c r="L1147" i="3"/>
  <c r="K1147" i="3" s="1"/>
  <c r="L1051" i="3"/>
  <c r="K1051" i="3" s="1"/>
  <c r="L1133" i="3"/>
  <c r="K1133" i="3" s="1"/>
  <c r="L1086" i="3"/>
  <c r="K1086" i="3" s="1"/>
  <c r="L1240" i="3"/>
  <c r="K1240" i="3" s="1"/>
  <c r="L1054" i="3"/>
  <c r="K1054" i="3" s="1"/>
  <c r="L1018" i="3"/>
  <c r="K1018" i="3" s="1"/>
  <c r="L1250" i="3"/>
  <c r="K1250" i="3" s="1"/>
  <c r="L1109" i="3"/>
  <c r="K1109" i="3" s="1"/>
  <c r="L1032" i="3"/>
  <c r="K1032" i="3" s="1"/>
  <c r="L1149" i="3"/>
  <c r="K1149" i="3" s="1"/>
  <c r="L1235" i="3"/>
  <c r="K1235" i="3" s="1"/>
  <c r="L1123" i="3"/>
  <c r="K1123" i="3" s="1"/>
  <c r="L1134" i="3"/>
  <c r="K1134" i="3" s="1"/>
  <c r="L1182" i="3"/>
  <c r="K1182" i="3" s="1"/>
  <c r="L1222" i="3"/>
  <c r="K1222" i="3" s="1"/>
  <c r="T1222" i="3" s="1"/>
  <c r="L1185" i="3"/>
  <c r="K1185" i="3" s="1"/>
  <c r="L1237" i="3"/>
  <c r="K1237" i="3" s="1"/>
  <c r="T1237" i="3" s="1"/>
  <c r="L1065" i="3"/>
  <c r="L1073" i="3"/>
  <c r="L1096" i="3"/>
  <c r="K1096" i="3" s="1"/>
  <c r="L1024" i="3"/>
  <c r="K1024" i="3" s="1"/>
  <c r="T1024" i="3" s="1"/>
  <c r="L1089" i="3"/>
  <c r="L993" i="3"/>
  <c r="K993" i="3" s="1"/>
  <c r="L1159" i="3"/>
  <c r="K1159" i="3" s="1"/>
  <c r="L1198" i="3"/>
  <c r="K1198" i="3" s="1"/>
  <c r="T1198" i="3" s="1"/>
  <c r="L1012" i="3"/>
  <c r="L1114" i="3"/>
  <c r="L1180" i="3"/>
  <c r="K1180" i="3" s="1"/>
  <c r="L976" i="3"/>
  <c r="K976" i="3" s="1"/>
  <c r="L1045" i="3"/>
  <c r="L1187" i="3"/>
  <c r="K1187" i="3" s="1"/>
  <c r="T1187" i="3" s="1"/>
  <c r="L1104" i="3"/>
  <c r="K1104" i="3" s="1"/>
  <c r="L1173" i="3"/>
  <c r="L1038" i="3"/>
  <c r="L1111" i="3"/>
  <c r="K1111" i="3" s="1"/>
  <c r="L1028" i="3"/>
  <c r="K1028" i="3" s="1"/>
  <c r="L999" i="3"/>
  <c r="K999" i="3" s="1"/>
  <c r="T999" i="3" s="1"/>
  <c r="L1030" i="3"/>
  <c r="L1056" i="3"/>
  <c r="K1056" i="3" s="1"/>
  <c r="T1056" i="3" s="1"/>
  <c r="L1253" i="3"/>
  <c r="K1253" i="3" s="1"/>
  <c r="L1081" i="3"/>
  <c r="L1082" i="3"/>
  <c r="L1033" i="3"/>
  <c r="K1033" i="3" s="1"/>
  <c r="T1033" i="3" s="1"/>
  <c r="L1014" i="3"/>
  <c r="K1014" i="3" s="1"/>
  <c r="L1244" i="3"/>
  <c r="K1244" i="3" s="1"/>
  <c r="L1079" i="3"/>
  <c r="L1153" i="3"/>
  <c r="K1153" i="3" s="1"/>
  <c r="T1153" i="3" s="1"/>
  <c r="L1199" i="3"/>
  <c r="K1199" i="3" s="1"/>
  <c r="L1078" i="3"/>
  <c r="L975" i="3"/>
  <c r="L1066" i="3"/>
  <c r="K1066" i="3" s="1"/>
  <c r="T1066" i="3" s="1"/>
  <c r="L1176" i="3"/>
  <c r="K1176" i="3" s="1"/>
  <c r="L1236" i="3"/>
  <c r="L1212" i="3"/>
  <c r="L1260" i="3"/>
  <c r="K1260" i="3" s="1"/>
  <c r="T1260" i="3" s="1"/>
  <c r="L1192" i="3"/>
  <c r="K1192" i="3" s="1"/>
  <c r="L1233" i="3"/>
  <c r="L1013" i="3"/>
  <c r="L1062" i="3"/>
  <c r="K1062" i="3" s="1"/>
  <c r="T1062" i="3" s="1"/>
  <c r="L1189" i="3"/>
  <c r="K1189" i="3" s="1"/>
  <c r="L1191" i="3"/>
  <c r="K1191" i="3" s="1"/>
  <c r="L1201" i="3"/>
  <c r="L1007" i="3"/>
  <c r="L1229" i="3"/>
  <c r="K1229" i="3" s="1"/>
  <c r="T1229" i="3" s="1"/>
  <c r="L990" i="3"/>
  <c r="K990" i="3" s="1"/>
  <c r="L1246" i="3"/>
  <c r="L1097" i="3"/>
  <c r="L1059" i="3"/>
  <c r="K1059" i="3" s="1"/>
  <c r="T1059" i="3" s="1"/>
  <c r="L1055" i="3"/>
  <c r="K1055" i="3" s="1"/>
  <c r="L1225" i="3"/>
  <c r="K1225" i="3" s="1"/>
  <c r="T1225" i="3" s="1"/>
  <c r="L1058" i="3"/>
  <c r="L1264" i="3"/>
  <c r="K1264" i="3" s="1"/>
  <c r="T1264" i="3" s="1"/>
  <c r="L1124" i="3"/>
  <c r="K1124" i="3" s="1"/>
  <c r="L1129" i="3"/>
  <c r="L1011" i="3"/>
  <c r="L1209" i="3"/>
  <c r="K1209" i="3" s="1"/>
  <c r="T1209" i="3" s="1"/>
  <c r="L1112" i="3"/>
  <c r="K1112" i="3" s="1"/>
  <c r="L1119" i="3"/>
  <c r="K1119" i="3" s="1"/>
  <c r="L1255" i="3"/>
  <c r="L1084" i="3"/>
  <c r="K1084" i="3" s="1"/>
  <c r="T1084" i="3" s="1"/>
  <c r="L1186" i="3"/>
  <c r="K1186" i="3" s="1"/>
  <c r="L1102" i="3"/>
  <c r="K1102" i="3" s="1"/>
  <c r="T1102" i="3" s="1"/>
  <c r="L1139" i="3"/>
  <c r="L1031" i="3"/>
  <c r="K1031" i="3" s="1"/>
  <c r="T1031" i="3" s="1"/>
  <c r="L1064" i="3"/>
  <c r="K1064" i="3" s="1"/>
  <c r="L1016" i="3"/>
  <c r="L1060" i="3"/>
  <c r="L1020" i="3"/>
  <c r="K1020" i="3" s="1"/>
  <c r="T1020" i="3" s="1"/>
  <c r="L1103" i="3"/>
  <c r="K1103" i="3" s="1"/>
  <c r="L1219" i="3"/>
  <c r="L1110" i="3"/>
  <c r="L1154" i="3"/>
  <c r="K1154" i="3" s="1"/>
  <c r="T1154" i="3" s="1"/>
  <c r="L1042" i="3"/>
  <c r="K1042" i="3" s="1"/>
  <c r="L1087" i="3"/>
  <c r="L1093" i="3"/>
  <c r="L1094" i="3"/>
  <c r="K1094" i="3" s="1"/>
  <c r="T1094" i="3" s="1"/>
  <c r="L1241" i="3"/>
  <c r="K1241" i="3" s="1"/>
  <c r="L1052" i="3"/>
  <c r="L1273" i="3"/>
  <c r="L1215" i="3"/>
  <c r="K1215" i="3" s="1"/>
  <c r="T1215" i="3" s="1"/>
  <c r="L980" i="3"/>
  <c r="K980" i="3" s="1"/>
  <c r="L1019" i="3"/>
  <c r="L1091" i="3"/>
  <c r="L1135" i="3"/>
  <c r="K1135" i="3" s="1"/>
  <c r="T1135" i="3" s="1"/>
  <c r="L1121" i="3"/>
  <c r="K1121" i="3" s="1"/>
  <c r="L970" i="3"/>
  <c r="K970" i="3" s="1"/>
  <c r="T970" i="3" s="1"/>
  <c r="L1214" i="3"/>
  <c r="L1224" i="3"/>
  <c r="K1224" i="3" s="1"/>
  <c r="T1224" i="3" s="1"/>
  <c r="L1178" i="3"/>
  <c r="K1178" i="3" s="1"/>
  <c r="L1143" i="3"/>
  <c r="K1143" i="3" s="1"/>
  <c r="T1143" i="3" s="1"/>
  <c r="L1118" i="3"/>
  <c r="L1195" i="3"/>
  <c r="K1195" i="3" s="1"/>
  <c r="T1195" i="3" s="1"/>
  <c r="L1120" i="3"/>
  <c r="K1120" i="3" s="1"/>
  <c r="L1070" i="3"/>
  <c r="L1092" i="3"/>
  <c r="L1157" i="3"/>
  <c r="K1157" i="3" s="1"/>
  <c r="T1157" i="3" s="1"/>
  <c r="L986" i="3"/>
  <c r="K986" i="3" s="1"/>
  <c r="L989" i="3"/>
  <c r="K989" i="3" s="1"/>
  <c r="T989" i="3" s="1"/>
  <c r="L1125" i="3"/>
  <c r="L1252" i="3"/>
  <c r="K1252" i="3" s="1"/>
  <c r="T1252" i="3" s="1"/>
  <c r="L1015" i="3"/>
  <c r="K1015" i="3" s="1"/>
  <c r="L1261" i="3"/>
  <c r="K1261" i="3" s="1"/>
  <c r="T1261" i="3" s="1"/>
  <c r="L1080" i="3"/>
  <c r="L1116" i="3"/>
  <c r="K1116" i="3" s="1"/>
  <c r="T1116" i="3" s="1"/>
  <c r="L1138" i="3"/>
  <c r="K1138" i="3" s="1"/>
  <c r="L1184" i="3"/>
  <c r="L1163" i="3"/>
  <c r="L1170" i="3"/>
  <c r="K1170" i="3" s="1"/>
  <c r="T1170" i="3" s="1"/>
  <c r="L994" i="3"/>
  <c r="K994" i="3" s="1"/>
  <c r="L982" i="3"/>
  <c r="K982" i="3" s="1"/>
  <c r="T982" i="3" s="1"/>
  <c r="L1049" i="3"/>
  <c r="L1035" i="3"/>
  <c r="K1035" i="3" s="1"/>
  <c r="T1035" i="3" s="1"/>
  <c r="L1144" i="3"/>
  <c r="K1144" i="3" s="1"/>
  <c r="L1249" i="3"/>
  <c r="K1249" i="3" s="1"/>
  <c r="T1249" i="3" s="1"/>
  <c r="L1027" i="3"/>
  <c r="L985" i="3"/>
  <c r="K985" i="3" s="1"/>
  <c r="T985" i="3" s="1"/>
  <c r="L1029" i="3"/>
  <c r="K1029" i="3" s="1"/>
  <c r="L1047" i="3"/>
  <c r="L1227" i="3"/>
  <c r="L1061" i="3"/>
  <c r="K1061" i="3" s="1"/>
  <c r="T1061" i="3" s="1"/>
  <c r="L1145" i="3"/>
  <c r="K1145" i="3" s="1"/>
  <c r="L1152" i="3"/>
  <c r="K1152" i="3" s="1"/>
  <c r="T1152" i="3" s="1"/>
  <c r="L1276" i="3"/>
  <c r="L1090" i="3"/>
  <c r="K1090" i="3" s="1"/>
  <c r="T1090" i="3" s="1"/>
  <c r="L1046" i="3"/>
  <c r="K1046" i="3" s="1"/>
  <c r="L1167" i="3"/>
  <c r="K1167" i="3" s="1"/>
  <c r="T1167" i="3" s="1"/>
  <c r="L978" i="3"/>
  <c r="L977" i="3"/>
  <c r="K977" i="3" s="1"/>
  <c r="T977" i="3" s="1"/>
  <c r="L1155" i="3"/>
  <c r="K1155" i="3" s="1"/>
  <c r="L1216" i="3"/>
  <c r="L1039" i="3"/>
  <c r="L1226" i="3"/>
  <c r="K1226" i="3" s="1"/>
  <c r="T1226" i="3" s="1"/>
  <c r="L1077" i="3"/>
  <c r="K1077" i="3" s="1"/>
  <c r="L1075" i="3"/>
  <c r="K1075" i="3" s="1"/>
  <c r="T1075" i="3" s="1"/>
  <c r="L1063" i="3"/>
  <c r="L1023" i="3"/>
  <c r="K1023" i="3" s="1"/>
  <c r="T1023" i="3" s="1"/>
  <c r="L1196" i="3"/>
  <c r="K1196" i="3" s="1"/>
  <c r="L1021" i="3"/>
  <c r="K1021" i="3" s="1"/>
  <c r="T1021" i="3" s="1"/>
  <c r="L1179" i="3"/>
  <c r="L1268" i="3"/>
  <c r="K1268" i="3" s="1"/>
  <c r="T1268" i="3" s="1"/>
  <c r="L1270" i="3"/>
  <c r="L1272" i="3"/>
  <c r="K1272" i="3" s="1"/>
  <c r="L1379" i="3"/>
  <c r="L1304" i="3"/>
  <c r="K1304" i="3" s="1"/>
  <c r="L1306" i="3"/>
  <c r="L1308" i="3"/>
  <c r="K1308" i="3" s="1"/>
  <c r="L1310" i="3"/>
  <c r="K1310" i="3" s="1"/>
  <c r="L1312" i="3"/>
  <c r="K1312" i="3" s="1"/>
  <c r="L1314" i="3"/>
  <c r="L1316" i="3"/>
  <c r="K1316" i="3" s="1"/>
  <c r="L1318" i="3"/>
  <c r="K1318" i="3" s="1"/>
  <c r="L1294" i="3"/>
  <c r="K1294" i="3" s="1"/>
  <c r="L1297" i="3"/>
  <c r="L1266" i="3"/>
  <c r="K1266" i="3" s="1"/>
  <c r="L1269" i="3"/>
  <c r="L1271" i="3"/>
  <c r="K1271" i="3" s="1"/>
  <c r="L1211" i="3"/>
  <c r="L1382" i="3"/>
  <c r="K1382" i="3" s="1"/>
  <c r="L1305" i="3"/>
  <c r="K1305" i="3" s="1"/>
  <c r="L1307" i="3"/>
  <c r="K1307" i="3" s="1"/>
  <c r="L1309" i="3"/>
  <c r="L1311" i="3"/>
  <c r="K1311" i="3" s="1"/>
  <c r="L1313" i="3"/>
  <c r="K1313" i="3" s="1"/>
  <c r="L1315" i="3"/>
  <c r="K1315" i="3" s="1"/>
  <c r="L1317" i="3"/>
  <c r="L1319" i="3"/>
  <c r="K1319" i="3" s="1"/>
  <c r="H966" i="3"/>
  <c r="H44" i="5" s="1"/>
  <c r="L1296" i="3"/>
  <c r="K1412" i="3" l="1"/>
  <c r="T1412" i="3" s="1"/>
  <c r="K1406" i="3"/>
  <c r="T1406" i="3" s="1"/>
  <c r="K1402" i="3"/>
  <c r="T1402" i="3" s="1"/>
  <c r="K1385" i="3"/>
  <c r="T1385" i="3" s="1"/>
  <c r="K1384" i="3"/>
  <c r="T1384" i="3" s="1"/>
  <c r="K1411" i="3"/>
  <c r="T1411" i="3" s="1"/>
  <c r="K1390" i="3"/>
  <c r="T1390" i="3" s="1"/>
  <c r="K1395" i="3"/>
  <c r="T1395" i="3" s="1"/>
  <c r="K1410" i="3"/>
  <c r="T1410" i="3" s="1"/>
  <c r="K1286" i="3"/>
  <c r="T1286" i="3" s="1"/>
  <c r="K1409" i="3"/>
  <c r="T1409" i="3" s="1"/>
  <c r="K1408" i="3"/>
  <c r="T1408" i="3" s="1"/>
  <c r="K1407" i="3"/>
  <c r="T1407" i="3" s="1"/>
  <c r="K1371" i="3"/>
  <c r="T1371" i="3" s="1"/>
  <c r="K1372" i="3"/>
  <c r="T1372" i="3" s="1"/>
  <c r="K1376" i="3"/>
  <c r="T1376" i="3" s="1"/>
  <c r="G31" i="5"/>
  <c r="J39" i="5"/>
  <c r="G17" i="5"/>
  <c r="I40" i="5"/>
  <c r="G34" i="5"/>
  <c r="M33" i="5"/>
  <c r="J33" i="5"/>
  <c r="I26" i="5"/>
  <c r="K29" i="5"/>
  <c r="O33" i="5"/>
  <c r="D40" i="5"/>
  <c r="I19" i="5"/>
  <c r="H33" i="5"/>
  <c r="N19" i="5"/>
  <c r="O23" i="5"/>
  <c r="M28" i="5"/>
  <c r="I35" i="5"/>
  <c r="I18" i="5"/>
  <c r="D34" i="5"/>
  <c r="O44" i="5"/>
  <c r="L28" i="5"/>
  <c r="O25" i="5"/>
  <c r="K14" i="5"/>
  <c r="O18" i="5"/>
  <c r="O46" i="5"/>
  <c r="N45" i="5"/>
  <c r="L40" i="5"/>
  <c r="J42" i="5"/>
  <c r="M40" i="5"/>
  <c r="I37" i="5"/>
  <c r="J18" i="5"/>
  <c r="K39" i="5"/>
  <c r="M26" i="5"/>
  <c r="J35" i="5"/>
  <c r="M21" i="5"/>
  <c r="G23" i="5"/>
  <c r="H17" i="5"/>
  <c r="L15" i="5"/>
  <c r="N40" i="5"/>
  <c r="L44" i="5"/>
  <c r="K31" i="5"/>
  <c r="J27" i="5"/>
  <c r="L25" i="5"/>
  <c r="L19" i="5"/>
  <c r="N25" i="5"/>
  <c r="H38" i="5"/>
  <c r="M22" i="5"/>
  <c r="J17" i="5"/>
  <c r="K22" i="5"/>
  <c r="H22" i="5"/>
  <c r="G41" i="5"/>
  <c r="O20" i="5"/>
  <c r="G43" i="5"/>
  <c r="N16" i="5"/>
  <c r="N33" i="5"/>
  <c r="I45" i="5"/>
  <c r="L38" i="5"/>
  <c r="L45" i="5"/>
  <c r="M44" i="5"/>
  <c r="M23" i="5"/>
  <c r="J15" i="5"/>
  <c r="K42" i="5"/>
  <c r="I14" i="5"/>
  <c r="J28" i="5"/>
  <c r="K1285" i="3"/>
  <c r="T1285" i="3" s="1"/>
  <c r="N17" i="5"/>
  <c r="N24" i="5"/>
  <c r="H35" i="5"/>
  <c r="O45" i="5"/>
  <c r="G28" i="5"/>
  <c r="I29" i="5"/>
  <c r="L20" i="5"/>
  <c r="L18" i="5"/>
  <c r="H24" i="5"/>
  <c r="J20" i="5"/>
  <c r="I31" i="5"/>
  <c r="I16" i="5"/>
  <c r="H15" i="5"/>
  <c r="N28" i="5"/>
  <c r="J37" i="5"/>
  <c r="J34" i="5"/>
  <c r="G39" i="5"/>
  <c r="M38" i="5"/>
  <c r="N39" i="5"/>
  <c r="L37" i="5"/>
  <c r="O21" i="5"/>
  <c r="N27" i="5"/>
  <c r="K45" i="5"/>
  <c r="K17" i="5"/>
  <c r="N41" i="5"/>
  <c r="L30" i="5"/>
  <c r="L21" i="5"/>
  <c r="G46" i="5"/>
  <c r="H36" i="5"/>
  <c r="M43" i="5"/>
  <c r="K19" i="5"/>
  <c r="K38" i="5"/>
  <c r="I25" i="5"/>
  <c r="J32" i="5"/>
  <c r="H39" i="5"/>
  <c r="O43" i="5"/>
  <c r="N14" i="5"/>
  <c r="H21" i="5"/>
  <c r="I23" i="5"/>
  <c r="I33" i="5"/>
  <c r="N31" i="5"/>
  <c r="M32" i="5"/>
  <c r="O36" i="5"/>
  <c r="G14" i="5"/>
  <c r="I41" i="5"/>
  <c r="J30" i="5"/>
  <c r="O27" i="5"/>
  <c r="J41" i="5"/>
  <c r="M42" i="5"/>
  <c r="K34" i="5"/>
  <c r="K21" i="5"/>
  <c r="H34" i="5"/>
  <c r="N30" i="5"/>
  <c r="M19" i="5"/>
  <c r="L46" i="5"/>
  <c r="M31" i="5"/>
  <c r="M37" i="5"/>
  <c r="L22" i="5"/>
  <c r="O29" i="5"/>
  <c r="K1284" i="3"/>
  <c r="T1284" i="3" s="1"/>
  <c r="K43" i="5"/>
  <c r="K16" i="5"/>
  <c r="J21" i="5"/>
  <c r="L36" i="5"/>
  <c r="M25" i="5"/>
  <c r="J43" i="5"/>
  <c r="G20" i="5"/>
  <c r="G32" i="5"/>
  <c r="H26" i="5"/>
  <c r="I22" i="5"/>
  <c r="L42" i="5"/>
  <c r="K44" i="5"/>
  <c r="M17" i="5"/>
  <c r="L35" i="5"/>
  <c r="G21" i="5"/>
  <c r="H37" i="5"/>
  <c r="J46" i="5"/>
  <c r="H16" i="5"/>
  <c r="G24" i="5"/>
  <c r="H28" i="5"/>
  <c r="L43" i="5"/>
  <c r="J25" i="5"/>
  <c r="I43" i="5"/>
  <c r="L16" i="5"/>
  <c r="M20" i="5"/>
  <c r="L29" i="5"/>
  <c r="N34" i="5"/>
  <c r="L34" i="5"/>
  <c r="L32" i="5"/>
  <c r="J26" i="5"/>
  <c r="K37" i="5"/>
  <c r="L24" i="5"/>
  <c r="G27" i="5"/>
  <c r="H46" i="5"/>
  <c r="M41" i="5"/>
  <c r="K35" i="5"/>
  <c r="I42" i="5"/>
  <c r="H29" i="5"/>
  <c r="I24" i="5"/>
  <c r="I20" i="5"/>
  <c r="H32" i="5"/>
  <c r="K40" i="5"/>
  <c r="K36" i="5"/>
  <c r="O19" i="5"/>
  <c r="M27" i="5"/>
  <c r="J16" i="5"/>
  <c r="D38" i="5"/>
  <c r="G25" i="5"/>
  <c r="M36" i="5"/>
  <c r="G36" i="5"/>
  <c r="N29" i="5"/>
  <c r="K41" i="5"/>
  <c r="D21" i="5"/>
  <c r="G35" i="5"/>
  <c r="J14" i="5"/>
  <c r="O41" i="5"/>
  <c r="O40" i="5"/>
  <c r="M29" i="5"/>
  <c r="O34" i="5"/>
  <c r="K1291" i="3"/>
  <c r="T1291" i="3" s="1"/>
  <c r="D41" i="5"/>
  <c r="M18" i="5"/>
  <c r="D22" i="5"/>
  <c r="G16" i="5"/>
  <c r="M39" i="5"/>
  <c r="M46" i="5"/>
  <c r="N35" i="5"/>
  <c r="L39" i="5"/>
  <c r="I36" i="5"/>
  <c r="H40" i="5"/>
  <c r="O32" i="5"/>
  <c r="O28" i="5"/>
  <c r="J45" i="5"/>
  <c r="D20" i="5"/>
  <c r="J23" i="5"/>
  <c r="H23" i="5"/>
  <c r="D19" i="5"/>
  <c r="K27" i="5"/>
  <c r="H30" i="5"/>
  <c r="D23" i="5"/>
  <c r="I32" i="5"/>
  <c r="D25" i="5"/>
  <c r="D45" i="5"/>
  <c r="D37" i="5"/>
  <c r="M34" i="5"/>
  <c r="D42" i="5"/>
  <c r="D24" i="5"/>
  <c r="D29" i="5"/>
  <c r="K23" i="5"/>
  <c r="D44" i="5"/>
  <c r="O38" i="5"/>
  <c r="I15" i="5"/>
  <c r="M15" i="5"/>
  <c r="G30" i="5"/>
  <c r="D33" i="5"/>
  <c r="E37" i="5"/>
  <c r="G40" i="5"/>
  <c r="E16" i="5"/>
  <c r="D36" i="5"/>
  <c r="D39" i="5"/>
  <c r="D26" i="5"/>
  <c r="D32" i="5"/>
  <c r="D43" i="5"/>
  <c r="D17" i="5"/>
  <c r="E24" i="5"/>
  <c r="D15" i="5"/>
  <c r="D16" i="5"/>
  <c r="N42" i="5"/>
  <c r="G22" i="5"/>
  <c r="E41" i="5"/>
  <c r="D27" i="5"/>
  <c r="E27" i="5"/>
  <c r="E34" i="5"/>
  <c r="E26" i="5"/>
  <c r="E31" i="5"/>
  <c r="E21" i="5"/>
  <c r="E30" i="5"/>
  <c r="E22" i="5"/>
  <c r="O37" i="5"/>
  <c r="E39" i="5"/>
  <c r="E36" i="5"/>
  <c r="E35" i="5"/>
  <c r="D46" i="5"/>
  <c r="H14" i="5"/>
  <c r="D30" i="5"/>
  <c r="E18" i="5"/>
  <c r="L31" i="5"/>
  <c r="E14" i="5"/>
  <c r="E32" i="5"/>
  <c r="E15" i="5"/>
  <c r="E25" i="5"/>
  <c r="D18" i="5"/>
  <c r="O22" i="5"/>
  <c r="E40" i="5"/>
  <c r="E28" i="5"/>
  <c r="J24" i="5"/>
  <c r="I28" i="5"/>
  <c r="E17" i="5"/>
  <c r="E44" i="5"/>
  <c r="E29" i="5"/>
  <c r="G38" i="5"/>
  <c r="E38" i="5"/>
  <c r="T1272" i="3"/>
  <c r="E42" i="5"/>
  <c r="E33" i="5"/>
  <c r="G37" i="5"/>
  <c r="E43" i="5"/>
  <c r="E45" i="5"/>
  <c r="M24" i="5"/>
  <c r="E46" i="5"/>
  <c r="L26" i="5"/>
  <c r="H27" i="5"/>
  <c r="N23" i="5"/>
  <c r="O15" i="5"/>
  <c r="G19" i="5"/>
  <c r="I21" i="5"/>
  <c r="D28" i="5"/>
  <c r="E23" i="5"/>
  <c r="D31" i="5"/>
  <c r="E19" i="5"/>
  <c r="G26" i="5"/>
  <c r="T1343" i="3"/>
  <c r="T1340" i="3"/>
  <c r="M35" i="5"/>
  <c r="K32" i="5"/>
  <c r="H31" i="5"/>
  <c r="O16" i="5"/>
  <c r="O42" i="5"/>
  <c r="J40" i="5"/>
  <c r="H42" i="5"/>
  <c r="J29" i="5"/>
  <c r="K24" i="5"/>
  <c r="E20" i="5"/>
  <c r="I44" i="5"/>
  <c r="L33" i="5"/>
  <c r="K33" i="5"/>
  <c r="N36" i="5"/>
  <c r="K46" i="5"/>
  <c r="T1283" i="3"/>
  <c r="T1338" i="3"/>
  <c r="T1303" i="3"/>
  <c r="T1373" i="3"/>
  <c r="T1203" i="3"/>
  <c r="T1294" i="3"/>
  <c r="N20" i="5"/>
  <c r="O39" i="5"/>
  <c r="N26" i="5"/>
  <c r="M14" i="5"/>
  <c r="I46" i="5"/>
  <c r="K15" i="5"/>
  <c r="L17" i="5"/>
  <c r="N21" i="5"/>
  <c r="I34" i="5"/>
  <c r="N46" i="5"/>
  <c r="M16" i="5"/>
  <c r="H41" i="5"/>
  <c r="O26" i="5"/>
  <c r="G15" i="5"/>
  <c r="L41" i="5"/>
  <c r="K28" i="5"/>
  <c r="N22" i="5"/>
  <c r="T1335" i="3"/>
  <c r="T1354" i="3"/>
  <c r="T1396" i="3"/>
  <c r="T1099" i="3"/>
  <c r="L23" i="5"/>
  <c r="J22" i="5"/>
  <c r="J31" i="5"/>
  <c r="J19" i="5"/>
  <c r="H25" i="5"/>
  <c r="N15" i="5"/>
  <c r="K20" i="5"/>
  <c r="N37" i="5"/>
  <c r="N44" i="5"/>
  <c r="M45" i="5"/>
  <c r="I27" i="5"/>
  <c r="O17" i="5"/>
  <c r="O31" i="5"/>
  <c r="O35" i="5"/>
  <c r="J36" i="5"/>
  <c r="T1315" i="3"/>
  <c r="K1087" i="3"/>
  <c r="T1087" i="3" s="1"/>
  <c r="K1219" i="3"/>
  <c r="T1219" i="3" s="1"/>
  <c r="K1078" i="3"/>
  <c r="T1078" i="3" s="1"/>
  <c r="T1307" i="3"/>
  <c r="K1019" i="3"/>
  <c r="T1019" i="3" s="1"/>
  <c r="T1119" i="3"/>
  <c r="K1246" i="3"/>
  <c r="T1246" i="3" s="1"/>
  <c r="K1233" i="3"/>
  <c r="T1233" i="3" s="1"/>
  <c r="T1111" i="3"/>
  <c r="T976" i="3"/>
  <c r="T993" i="3"/>
  <c r="T1026" i="3"/>
  <c r="T983" i="3"/>
  <c r="T1365" i="3"/>
  <c r="T1358" i="3"/>
  <c r="T1375" i="3"/>
  <c r="T1324" i="3"/>
  <c r="T1108" i="3"/>
  <c r="T1312" i="3"/>
  <c r="T1244" i="3"/>
  <c r="O14" i="5"/>
  <c r="J38" i="5"/>
  <c r="K26" i="5"/>
  <c r="I38" i="5"/>
  <c r="K25" i="5"/>
  <c r="D35" i="5"/>
  <c r="H20" i="5"/>
  <c r="I39" i="5"/>
  <c r="L27" i="5"/>
  <c r="H19" i="5"/>
  <c r="J44" i="5"/>
  <c r="G33" i="5"/>
  <c r="G29" i="5"/>
  <c r="N18" i="5"/>
  <c r="L14" i="5"/>
  <c r="K18" i="5"/>
  <c r="F39" i="5"/>
  <c r="T1305" i="3"/>
  <c r="T1310" i="3"/>
  <c r="T1304" i="3"/>
  <c r="F32" i="5"/>
  <c r="K1216" i="3"/>
  <c r="T1216" i="3" s="1"/>
  <c r="K1184" i="3"/>
  <c r="T1184" i="3" s="1"/>
  <c r="K1000" i="3"/>
  <c r="T1000" i="3" s="1"/>
  <c r="K988" i="3"/>
  <c r="T988" i="3" s="1"/>
  <c r="T1271" i="3"/>
  <c r="F37" i="5"/>
  <c r="K1047" i="3"/>
  <c r="T1047" i="3" s="1"/>
  <c r="K1070" i="3"/>
  <c r="T1070" i="3" s="1"/>
  <c r="T966" i="3"/>
  <c r="T1313" i="3"/>
  <c r="K1269" i="3"/>
  <c r="T1269" i="3" s="1"/>
  <c r="T1318" i="3"/>
  <c r="K1379" i="3"/>
  <c r="T1379" i="3" s="1"/>
  <c r="F29" i="5"/>
  <c r="K1052" i="3"/>
  <c r="T1052" i="3" s="1"/>
  <c r="K1016" i="3"/>
  <c r="T1016" i="3" s="1"/>
  <c r="K1129" i="3"/>
  <c r="T1129" i="3" s="1"/>
  <c r="K1201" i="3"/>
  <c r="T1201" i="3" s="1"/>
  <c r="K1236" i="3"/>
  <c r="T1236" i="3" s="1"/>
  <c r="K1081" i="3"/>
  <c r="T1081" i="3" s="1"/>
  <c r="K1173" i="3"/>
  <c r="T1173" i="3" s="1"/>
  <c r="K1114" i="3"/>
  <c r="T1114" i="3" s="1"/>
  <c r="K1073" i="3"/>
  <c r="T1073" i="3" s="1"/>
  <c r="K1207" i="3"/>
  <c r="T1207" i="3" s="1"/>
  <c r="K1257" i="3"/>
  <c r="T1257" i="3" s="1"/>
  <c r="K1280" i="3"/>
  <c r="T1280" i="3" s="1"/>
  <c r="K1267" i="3"/>
  <c r="T1267" i="3" s="1"/>
  <c r="K1132" i="3"/>
  <c r="T1132" i="3" s="1"/>
  <c r="K1193" i="3"/>
  <c r="T1193" i="3" s="1"/>
  <c r="K1088" i="3"/>
  <c r="T1088" i="3" s="1"/>
  <c r="K1262" i="3"/>
  <c r="T1262" i="3" s="1"/>
  <c r="K1183" i="3"/>
  <c r="T1183" i="3" s="1"/>
  <c r="K998" i="3"/>
  <c r="T998" i="3" s="1"/>
  <c r="K1025" i="3"/>
  <c r="T1025" i="3" s="1"/>
  <c r="K971" i="3"/>
  <c r="T971" i="3" s="1"/>
  <c r="K1232" i="3"/>
  <c r="T1232" i="3" s="1"/>
  <c r="K1101" i="3"/>
  <c r="T1101" i="3" s="1"/>
  <c r="K1274" i="3"/>
  <c r="T1274" i="3" s="1"/>
  <c r="K974" i="3"/>
  <c r="T974" i="3" s="1"/>
  <c r="K1156" i="3"/>
  <c r="T1156" i="3" s="1"/>
  <c r="K981" i="3"/>
  <c r="T981" i="3" s="1"/>
  <c r="K979" i="3"/>
  <c r="T979" i="3" s="1"/>
  <c r="K1071" i="3"/>
  <c r="T1071" i="3" s="1"/>
  <c r="K1043" i="3"/>
  <c r="T1043" i="3" s="1"/>
  <c r="T968" i="3"/>
  <c r="T1171" i="3"/>
  <c r="T1289" i="3"/>
  <c r="T1342" i="3"/>
  <c r="T1348" i="3"/>
  <c r="T1380" i="3"/>
  <c r="T1293" i="3"/>
  <c r="K1330" i="3"/>
  <c r="T1330" i="3" s="1"/>
  <c r="K1022" i="3"/>
  <c r="T1022" i="3" s="1"/>
  <c r="K1150" i="3"/>
  <c r="T1150" i="3" s="1"/>
  <c r="K1359" i="3"/>
  <c r="T1359" i="3" s="1"/>
  <c r="K1234" i="3"/>
  <c r="T1234" i="3" s="1"/>
  <c r="T1208" i="3"/>
  <c r="T1098" i="3"/>
  <c r="T1263" i="3"/>
  <c r="K1034" i="3"/>
  <c r="T1034" i="3" s="1"/>
  <c r="T1137" i="3"/>
  <c r="K1076" i="3"/>
  <c r="T1076" i="3" s="1"/>
  <c r="T1205" i="3"/>
  <c r="K1334" i="3"/>
  <c r="T1334" i="3" s="1"/>
  <c r="T1333" i="3"/>
  <c r="K1344" i="3"/>
  <c r="T1344" i="3" s="1"/>
  <c r="K1297" i="3"/>
  <c r="T1297" i="3" s="1"/>
  <c r="K1309" i="3"/>
  <c r="T1309" i="3" s="1"/>
  <c r="K1296" i="3"/>
  <c r="T1296" i="3" s="1"/>
  <c r="T1319" i="3"/>
  <c r="T1311" i="3"/>
  <c r="T1382" i="3"/>
  <c r="T1266" i="3"/>
  <c r="T1316" i="3"/>
  <c r="T1308" i="3"/>
  <c r="K1317" i="3"/>
  <c r="T1317" i="3" s="1"/>
  <c r="K1314" i="3"/>
  <c r="T1314" i="3" s="1"/>
  <c r="K1270" i="3"/>
  <c r="T1270" i="3" s="1"/>
  <c r="K1211" i="3"/>
  <c r="T1211" i="3" s="1"/>
  <c r="K1306" i="3"/>
  <c r="T1306" i="3" s="1"/>
  <c r="K1258" i="3"/>
  <c r="T1258" i="3" s="1"/>
  <c r="K1275" i="3"/>
  <c r="T1275" i="3" s="1"/>
  <c r="K1010" i="3"/>
  <c r="T1010" i="3" s="1"/>
  <c r="K972" i="3"/>
  <c r="T972" i="3" s="1"/>
  <c r="K1100" i="3"/>
  <c r="T1100" i="3" s="1"/>
  <c r="K1158" i="3"/>
  <c r="T1158" i="3" s="1"/>
  <c r="K1336" i="3"/>
  <c r="T1336" i="3" s="1"/>
  <c r="K1353" i="3"/>
  <c r="T1353" i="3" s="1"/>
  <c r="M30" i="5"/>
  <c r="H18" i="5"/>
  <c r="N38" i="5"/>
  <c r="G18" i="5"/>
  <c r="G42" i="5"/>
  <c r="O30" i="5"/>
  <c r="K30" i="5"/>
  <c r="O24" i="5"/>
  <c r="G45" i="5"/>
  <c r="H45" i="5"/>
  <c r="D14" i="5"/>
  <c r="N32" i="5"/>
  <c r="G44" i="5"/>
  <c r="H43" i="5"/>
  <c r="I17" i="5"/>
  <c r="N43" i="5"/>
  <c r="I30" i="5"/>
  <c r="F21" i="5"/>
  <c r="F23" i="5"/>
  <c r="F14" i="5"/>
  <c r="F22" i="5"/>
  <c r="F33" i="5"/>
  <c r="F45" i="5"/>
  <c r="F16" i="5"/>
  <c r="F43" i="5"/>
  <c r="F35" i="5"/>
  <c r="F41" i="5"/>
  <c r="F20" i="5"/>
  <c r="F34" i="5"/>
  <c r="F15" i="5"/>
  <c r="F28" i="5"/>
  <c r="F40" i="5"/>
  <c r="F31" i="5"/>
  <c r="K1179" i="3"/>
  <c r="T1179" i="3" s="1"/>
  <c r="T1196" i="3"/>
  <c r="K1063" i="3"/>
  <c r="T1063" i="3" s="1"/>
  <c r="T1077" i="3"/>
  <c r="K1039" i="3"/>
  <c r="T1039" i="3" s="1"/>
  <c r="T1155" i="3"/>
  <c r="K978" i="3"/>
  <c r="T978" i="3" s="1"/>
  <c r="T1046" i="3"/>
  <c r="K1276" i="3"/>
  <c r="T1276" i="3" s="1"/>
  <c r="T1145" i="3"/>
  <c r="K1227" i="3"/>
  <c r="T1227" i="3" s="1"/>
  <c r="T1029" i="3"/>
  <c r="K1027" i="3"/>
  <c r="T1027" i="3" s="1"/>
  <c r="T1144" i="3"/>
  <c r="K1049" i="3"/>
  <c r="T1049" i="3" s="1"/>
  <c r="T994" i="3"/>
  <c r="K1163" i="3"/>
  <c r="T1163" i="3" s="1"/>
  <c r="T1138" i="3"/>
  <c r="K1080" i="3"/>
  <c r="T1080" i="3" s="1"/>
  <c r="T1015" i="3"/>
  <c r="K1125" i="3"/>
  <c r="T1125" i="3" s="1"/>
  <c r="T986" i="3"/>
  <c r="K1092" i="3"/>
  <c r="T1092" i="3" s="1"/>
  <c r="T1120" i="3"/>
  <c r="K1118" i="3"/>
  <c r="T1118" i="3" s="1"/>
  <c r="T1178" i="3"/>
  <c r="K1214" i="3"/>
  <c r="T1214" i="3" s="1"/>
  <c r="T1121" i="3"/>
  <c r="K1091" i="3"/>
  <c r="T1091" i="3" s="1"/>
  <c r="T980" i="3"/>
  <c r="K1273" i="3"/>
  <c r="T1273" i="3" s="1"/>
  <c r="T1241" i="3"/>
  <c r="K1093" i="3"/>
  <c r="T1093" i="3" s="1"/>
  <c r="T1042" i="3"/>
  <c r="K1110" i="3"/>
  <c r="T1110" i="3" s="1"/>
  <c r="T1103" i="3"/>
  <c r="K1060" i="3"/>
  <c r="T1060" i="3" s="1"/>
  <c r="T1064" i="3"/>
  <c r="K1139" i="3"/>
  <c r="T1139" i="3" s="1"/>
  <c r="T1186" i="3"/>
  <c r="K1255" i="3"/>
  <c r="T1255" i="3" s="1"/>
  <c r="T1112" i="3"/>
  <c r="K1011" i="3"/>
  <c r="T1011" i="3" s="1"/>
  <c r="T1124" i="3"/>
  <c r="K1058" i="3"/>
  <c r="T1058" i="3" s="1"/>
  <c r="T1055" i="3"/>
  <c r="K1097" i="3"/>
  <c r="T1097" i="3" s="1"/>
  <c r="T990" i="3"/>
  <c r="K1007" i="3"/>
  <c r="T1007" i="3" s="1"/>
  <c r="T1191" i="3"/>
  <c r="T1189" i="3"/>
  <c r="K1013" i="3"/>
  <c r="T1013" i="3" s="1"/>
  <c r="T1192" i="3"/>
  <c r="K1212" i="3"/>
  <c r="T1212" i="3" s="1"/>
  <c r="T1176" i="3"/>
  <c r="K975" i="3"/>
  <c r="T975" i="3" s="1"/>
  <c r="T1199" i="3"/>
  <c r="K1079" i="3"/>
  <c r="T1079" i="3" s="1"/>
  <c r="T1014" i="3"/>
  <c r="K1082" i="3"/>
  <c r="T1082" i="3" s="1"/>
  <c r="T1253" i="3"/>
  <c r="K1030" i="3"/>
  <c r="T1030" i="3" s="1"/>
  <c r="T1028" i="3"/>
  <c r="K1038" i="3"/>
  <c r="T1038" i="3" s="1"/>
  <c r="T1104" i="3"/>
  <c r="K1045" i="3"/>
  <c r="T1045" i="3" s="1"/>
  <c r="T1180" i="3"/>
  <c r="K1012" i="3"/>
  <c r="T1012" i="3" s="1"/>
  <c r="T1159" i="3"/>
  <c r="K1089" i="3"/>
  <c r="T1089" i="3" s="1"/>
  <c r="T1096" i="3"/>
  <c r="K1065" i="3"/>
  <c r="T1065" i="3" s="1"/>
  <c r="T1185" i="3"/>
  <c r="T1134" i="3"/>
  <c r="T1235" i="3"/>
  <c r="T1032" i="3"/>
  <c r="T1250" i="3"/>
  <c r="T1054" i="3"/>
  <c r="T1086" i="3"/>
  <c r="T1051" i="3"/>
  <c r="T1161" i="3"/>
  <c r="T1254" i="3"/>
  <c r="T1210" i="3"/>
  <c r="T1053" i="3"/>
  <c r="T1095" i="3"/>
  <c r="T1151" i="3"/>
  <c r="T1220" i="3"/>
  <c r="K1259" i="3"/>
  <c r="T1259" i="3" s="1"/>
  <c r="K995" i="3"/>
  <c r="T995" i="3" s="1"/>
  <c r="K1068" i="3"/>
  <c r="T1068" i="3" s="1"/>
  <c r="K1223" i="3"/>
  <c r="T1223" i="3" s="1"/>
  <c r="K1128" i="3"/>
  <c r="T1128" i="3" s="1"/>
  <c r="K1202" i="3"/>
  <c r="T1202" i="3" s="1"/>
  <c r="K1288" i="3"/>
  <c r="T1288" i="3" s="1"/>
  <c r="K1265" i="3"/>
  <c r="T1265" i="3" s="1"/>
  <c r="K1130" i="3"/>
  <c r="T1130" i="3" s="1"/>
  <c r="K1181" i="3"/>
  <c r="T1181" i="3" s="1"/>
  <c r="K1136" i="3"/>
  <c r="T1136" i="3" s="1"/>
  <c r="K1009" i="3"/>
  <c r="T1009" i="3" s="1"/>
  <c r="K1290" i="3"/>
  <c r="T1290" i="3" s="1"/>
  <c r="K1341" i="3"/>
  <c r="T1341" i="3" s="1"/>
  <c r="F46" i="5"/>
  <c r="F18" i="5"/>
  <c r="F30" i="5"/>
  <c r="F36" i="5"/>
  <c r="F27" i="5"/>
  <c r="F38" i="5"/>
  <c r="F17" i="5"/>
  <c r="F25" i="5"/>
  <c r="F24" i="5"/>
  <c r="F19" i="5"/>
  <c r="F44" i="5"/>
  <c r="F26" i="5"/>
  <c r="F42" i="5"/>
  <c r="T1182" i="3"/>
  <c r="T1123" i="3"/>
  <c r="T1149" i="3"/>
  <c r="T1109" i="3"/>
  <c r="T1018" i="3"/>
  <c r="T1240" i="3"/>
  <c r="T1133" i="3"/>
  <c r="T1147" i="3"/>
  <c r="T1142" i="3"/>
  <c r="T991" i="3"/>
  <c r="T1242" i="3"/>
  <c r="T996" i="3"/>
  <c r="T1200" i="3"/>
  <c r="T1174" i="3"/>
  <c r="K1239" i="3"/>
  <c r="T1239" i="3" s="1"/>
  <c r="K1140" i="3"/>
  <c r="T1140" i="3" s="1"/>
  <c r="K967" i="3"/>
  <c r="T967" i="3" s="1"/>
  <c r="K1146" i="3"/>
  <c r="T1146" i="3" s="1"/>
  <c r="K1050" i="3"/>
  <c r="T1050" i="3" s="1"/>
  <c r="K1339" i="3"/>
  <c r="T1339" i="3" s="1"/>
  <c r="K1362" i="3"/>
  <c r="T1362" i="3" s="1"/>
  <c r="T1350" i="3"/>
  <c r="T1349" i="3"/>
  <c r="T1360" i="3"/>
  <c r="T1368" i="3"/>
  <c r="T1389" i="3"/>
  <c r="T1327" i="3"/>
  <c r="T1106" i="3"/>
  <c r="T1148" i="3"/>
  <c r="T1213" i="3"/>
  <c r="T1036" i="3"/>
  <c r="T1243" i="3"/>
  <c r="T1040" i="3"/>
  <c r="T1188" i="3"/>
  <c r="T1037" i="3"/>
  <c r="K1277" i="3"/>
  <c r="T1277" i="3" s="1"/>
  <c r="K987" i="3"/>
  <c r="T987" i="3" s="1"/>
  <c r="K1231" i="3"/>
  <c r="T1231" i="3" s="1"/>
  <c r="K1008" i="3"/>
  <c r="T1008" i="3" s="1"/>
  <c r="K1069" i="3"/>
  <c r="T1069" i="3" s="1"/>
  <c r="K1048" i="3"/>
  <c r="T1048" i="3" s="1"/>
  <c r="K1247" i="3"/>
  <c r="T1247" i="3" s="1"/>
  <c r="K1278" i="3"/>
  <c r="T1278" i="3" s="1"/>
  <c r="K1331" i="3"/>
  <c r="T1331" i="3" s="1"/>
  <c r="K1346" i="3"/>
  <c r="T1346" i="3" s="1"/>
  <c r="K1357" i="3"/>
  <c r="T1357" i="3" s="1"/>
  <c r="K1369" i="3"/>
  <c r="T1369" i="3" s="1"/>
  <c r="K1388" i="3"/>
  <c r="T1388" i="3" s="1"/>
  <c r="K1299" i="3"/>
  <c r="T1299" i="3" s="1"/>
  <c r="K1228" i="3"/>
  <c r="T1228" i="3" s="1"/>
  <c r="K1085" i="3"/>
  <c r="T1085" i="3" s="1"/>
  <c r="K984" i="3"/>
  <c r="T984" i="3" s="1"/>
  <c r="K1279" i="3"/>
  <c r="T1279" i="3" s="1"/>
  <c r="K1164" i="3"/>
  <c r="T1164" i="3" s="1"/>
  <c r="K1044" i="3"/>
  <c r="T1044" i="3" s="1"/>
  <c r="K1083" i="3"/>
  <c r="T1083" i="3" s="1"/>
  <c r="K1131" i="3"/>
  <c r="T1131" i="3" s="1"/>
  <c r="K1217" i="3"/>
  <c r="T1217" i="3" s="1"/>
  <c r="K1115" i="3"/>
  <c r="T1115" i="3" s="1"/>
  <c r="K1221" i="3"/>
  <c r="T1221" i="3" s="1"/>
  <c r="K1218" i="3"/>
  <c r="T1218" i="3" s="1"/>
  <c r="K1113" i="3"/>
  <c r="T1113" i="3" s="1"/>
  <c r="K1017" i="3"/>
  <c r="T1017" i="3" s="1"/>
  <c r="K1126" i="3"/>
  <c r="T1126" i="3" s="1"/>
  <c r="K1206" i="3"/>
  <c r="T1206" i="3" s="1"/>
  <c r="K1127" i="3"/>
  <c r="T1127" i="3" s="1"/>
  <c r="K973" i="3"/>
  <c r="T973" i="3" s="1"/>
  <c r="K1067" i="3"/>
  <c r="T1067" i="3" s="1"/>
  <c r="K1160" i="3"/>
  <c r="T1160" i="3" s="1"/>
  <c r="K1166" i="3"/>
  <c r="T1166" i="3" s="1"/>
  <c r="K1122" i="3"/>
  <c r="T1122" i="3" s="1"/>
  <c r="K997" i="3"/>
  <c r="T997" i="3" s="1"/>
  <c r="K1230" i="3"/>
  <c r="T1230" i="3" s="1"/>
  <c r="K1248" i="3"/>
  <c r="T1248" i="3" s="1"/>
  <c r="K1141" i="3"/>
  <c r="T1141" i="3" s="1"/>
  <c r="K1204" i="3"/>
  <c r="T1204" i="3" s="1"/>
  <c r="K1332" i="3"/>
  <c r="T1332" i="3" s="1"/>
  <c r="K1356" i="3"/>
  <c r="T1356" i="3" s="1"/>
  <c r="K1361" i="3"/>
  <c r="T1361" i="3" s="1"/>
  <c r="K1370" i="3"/>
  <c r="T1370" i="3" s="1"/>
  <c r="K1386" i="3"/>
  <c r="T1386" i="3" s="1"/>
  <c r="T1345" i="3"/>
  <c r="K1352" i="3"/>
  <c r="T1352" i="3" s="1"/>
  <c r="T1355" i="3"/>
  <c r="K1347" i="3"/>
  <c r="T1347" i="3" s="1"/>
  <c r="T1165" i="3"/>
  <c r="K1383" i="3"/>
  <c r="T1383" i="3" s="1"/>
  <c r="T1378" i="3"/>
  <c r="K1295" i="3"/>
  <c r="T1295" i="3" s="1"/>
  <c r="T1194" i="3"/>
  <c r="T1190" i="3"/>
  <c r="T1074" i="3"/>
  <c r="T1251" i="3"/>
  <c r="T1245" i="3"/>
  <c r="T1238" i="3"/>
  <c r="T1105" i="3"/>
  <c r="T1041" i="3"/>
  <c r="K1177" i="3"/>
  <c r="T1177" i="3" s="1"/>
  <c r="K1172" i="3"/>
  <c r="T1172" i="3" s="1"/>
  <c r="K1197" i="3"/>
  <c r="T1197" i="3" s="1"/>
  <c r="K1107" i="3"/>
  <c r="T1107" i="3" s="1"/>
  <c r="K1117" i="3"/>
  <c r="T1117" i="3" s="1"/>
  <c r="K1072" i="3"/>
  <c r="T1072" i="3" s="1"/>
  <c r="K1057" i="3"/>
  <c r="T1057" i="3" s="1"/>
  <c r="K969" i="3"/>
  <c r="T969" i="3" s="1"/>
  <c r="K1337" i="3"/>
  <c r="T1337" i="3" s="1"/>
  <c r="K1363" i="3"/>
  <c r="T1363" i="3" s="1"/>
  <c r="K1351" i="3"/>
  <c r="T1351" i="3" s="1"/>
  <c r="K1366" i="3"/>
  <c r="T1366" i="3" s="1"/>
  <c r="K1300" i="3"/>
  <c r="T1300" i="3" s="1"/>
  <c r="K1301" i="3"/>
  <c r="T1301" i="3" s="1"/>
  <c r="P39" i="5" l="1"/>
  <c r="P15" i="5"/>
  <c r="P41" i="5"/>
  <c r="P22" i="5"/>
  <c r="P24" i="5"/>
  <c r="P25" i="5"/>
  <c r="P43" i="5"/>
  <c r="P16" i="5"/>
  <c r="P21" i="5"/>
  <c r="P40" i="5"/>
  <c r="P34" i="5"/>
  <c r="E47" i="5"/>
  <c r="P27" i="5"/>
  <c r="P42" i="5"/>
  <c r="P36" i="5"/>
  <c r="N47" i="5"/>
  <c r="P32" i="5"/>
  <c r="P37" i="5"/>
  <c r="P46" i="5"/>
  <c r="P35" i="5"/>
  <c r="P19" i="5"/>
  <c r="P17" i="5"/>
  <c r="P28" i="5"/>
  <c r="P33" i="5"/>
  <c r="M47" i="5"/>
  <c r="P38" i="5"/>
  <c r="P31" i="5"/>
  <c r="P29" i="5"/>
  <c r="L47" i="5"/>
  <c r="P23" i="5"/>
  <c r="P18" i="5"/>
  <c r="O47" i="5"/>
  <c r="P26" i="5"/>
  <c r="P20" i="5"/>
  <c r="J47" i="5"/>
  <c r="P45" i="5"/>
  <c r="K47" i="5"/>
  <c r="P44" i="5"/>
  <c r="P30" i="5"/>
  <c r="F47" i="5"/>
  <c r="G47" i="5"/>
  <c r="I47" i="5"/>
  <c r="D47" i="5"/>
  <c r="P14" i="5"/>
  <c r="H47" i="5"/>
  <c r="P47" i="5" l="1"/>
  <c r="R1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Lisbeth Martinez Linares</author>
  </authors>
  <commentList>
    <comment ref="F862" authorId="0" shapeId="0" xr:uid="{E013EF6C-D36B-4AF1-87DD-464AC0AB02F8}">
      <text>
        <r>
          <rPr>
            <sz val="11"/>
            <color theme="1"/>
            <rFont val="Calibri"/>
            <family val="2"/>
            <scheme val="minor"/>
          </rPr>
          <t xml:space="preserve">Silvia Lisbeth Martinez Linares:
</t>
        </r>
      </text>
    </comment>
    <comment ref="F1302" authorId="0" shapeId="0" xr:uid="{BE293AD2-E1F0-4AB6-B4E8-603130524DDA}">
      <text>
        <r>
          <rPr>
            <sz val="11"/>
            <color theme="1"/>
            <rFont val="Calibri"/>
            <family val="2"/>
            <scheme val="minor"/>
          </rPr>
          <t xml:space="preserve">Silvia Lisbeth Martinez Linares: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ATALOGO" type="102" refreshedVersion="6" minRefreshableVersion="5">
    <extLst>
      <ext xmlns:x15="http://schemas.microsoft.com/office/spreadsheetml/2010/11/main" uri="{DE250136-89BD-433C-8126-D09CA5730AF9}">
        <x15:connection id="CATALOGO">
          <x15:rangePr sourceName="_xlcn.LinkedTable_CATALOGO1"/>
        </x15:connection>
      </ext>
    </extLst>
  </connection>
  <connection id="2" xr16:uid="{00000000-0015-0000-FFFF-FFFF01000000}" name="LinkedTable_EJECUTADO" type="102" refreshedVersion="6" minRefreshableVersion="5">
    <extLst>
      <ext xmlns:x15="http://schemas.microsoft.com/office/spreadsheetml/2010/11/main" uri="{DE250136-89BD-433C-8126-D09CA5730AF9}">
        <x15:connection id="EJECUTADO">
          <x15:rangePr sourceName="_xlcn.LinkedTable_EJECUTADO1"/>
        </x15:connection>
      </ext>
    </extLst>
  </connection>
  <connection id="3" xr16:uid="{00000000-0015-0000-FFFF-FFFF02000000}" name="LinkedTable_PRESUPUESTO" type="102" refreshedVersion="6" minRefreshableVersion="5">
    <extLst>
      <ext xmlns:x15="http://schemas.microsoft.com/office/spreadsheetml/2010/11/main" uri="{DE250136-89BD-433C-8126-D09CA5730AF9}">
        <x15:connection id="PRESUPUESTO">
          <x15:rangePr sourceName="_xlcn.LinkedTable_PRESUPUESTO1"/>
        </x15:connection>
      </ext>
    </extLst>
  </connection>
  <connection id="4" xr16:uid="{00000000-0015-0000-FFFF-FFFF03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<sst xmlns="http://schemas.openxmlformats.org/spreadsheetml/2006/main" count="17163" uniqueCount="4036">
  <si>
    <t>Código</t>
  </si>
  <si>
    <t>Descripción</t>
  </si>
  <si>
    <t>Clase</t>
  </si>
  <si>
    <t>Rubro</t>
  </si>
  <si>
    <t>Sub cuenta</t>
  </si>
  <si>
    <t>Sub cuenta 2</t>
  </si>
  <si>
    <t>Sub cuenta 3</t>
  </si>
  <si>
    <t>Acepta movimientos</t>
  </si>
  <si>
    <t>CUOTAS DE ENSEÑANZA</t>
  </si>
  <si>
    <t>I</t>
  </si>
  <si>
    <t>01</t>
  </si>
  <si>
    <t>00</t>
  </si>
  <si>
    <t>N</t>
  </si>
  <si>
    <t>CUOTAS FACULTAD CC EMPRESARIALES</t>
  </si>
  <si>
    <t>CUOTAS FCCE PREGRADO</t>
  </si>
  <si>
    <t>S</t>
  </si>
  <si>
    <t>CUOTAS FCCE TÉCNICOS</t>
  </si>
  <si>
    <t>02</t>
  </si>
  <si>
    <t>CUOTAS FACULTAD DE INFORMATICA Y CC APLICADAS</t>
  </si>
  <si>
    <t>CUOTAS FICA PREGRADO</t>
  </si>
  <si>
    <t>CUOTAS FICA TÉCNICOS</t>
  </si>
  <si>
    <t>CUOTAS FACULTAD DE CC SOCIALES</t>
  </si>
  <si>
    <t>03</t>
  </si>
  <si>
    <t>CUOTAS FCCS PREGRADO</t>
  </si>
  <si>
    <t>CUOTAS FCCSTÉCNICOS</t>
  </si>
  <si>
    <t>CUOTAS FACULTAD DE CC JURIDICAS</t>
  </si>
  <si>
    <t>04</t>
  </si>
  <si>
    <t>CUOTAS FCCJ PREGRADO</t>
  </si>
  <si>
    <t xml:space="preserve">MATRICULAS </t>
  </si>
  <si>
    <t>MATRICULAS FACULTAD CC EMPRESARIALES</t>
  </si>
  <si>
    <t>MATRICULAS FCCE PREGRADO</t>
  </si>
  <si>
    <t>MATRICULAS FCCE TÉCNICOS</t>
  </si>
  <si>
    <t>MATRICULAS FACULTAD DE INFORMATICA Y CC APLICADAS</t>
  </si>
  <si>
    <t>MATRICULAS FICA PREGRADO</t>
  </si>
  <si>
    <t>MATRICULAS FICA TÉCNICOS</t>
  </si>
  <si>
    <t>MATRICULAS FACULTAD DE CC SOCIALES</t>
  </si>
  <si>
    <t>MATRICULAS FCCS PREGRADO</t>
  </si>
  <si>
    <t>MATRICULAS FCCSTÉCNICOS</t>
  </si>
  <si>
    <t>MATRICULAS FACULTAD DE CC JURIDICAS</t>
  </si>
  <si>
    <t>MATRICULAS FCCJ PREGRADO</t>
  </si>
  <si>
    <t xml:space="preserve">PRE ESPECIALIDAD </t>
  </si>
  <si>
    <t>PRE- GRADO</t>
  </si>
  <si>
    <t>PREESPECIALIDAD PRE- GRADO FACULTAD CC EMPRESARIALES</t>
  </si>
  <si>
    <t>PREESPECIALIDAD PRE- GRADO FACULTAD  INFORMATICA Y CC APLIC</t>
  </si>
  <si>
    <t>PREESPECIALIDAD PRE- GRADO FACULTAD CC SOCIALES</t>
  </si>
  <si>
    <t>PREESPECIALIDAD PRE- GRADO FACULTAD CC JURIDICAS</t>
  </si>
  <si>
    <t>CARRERAS TECNICAS</t>
  </si>
  <si>
    <t>PREESPECIALIDAD CARRERAS TÉCNICAS FACULTAD CC EMPRESARIALES</t>
  </si>
  <si>
    <t>PREESPECIALIDAD CARRERAS TÉCNICAS FACULTAD  INFORMATICA Y CC APLIC</t>
  </si>
  <si>
    <t>PREESPECIALIDAD CARRERAS TÉCNICAS FACULTAD CC SOCIALES</t>
  </si>
  <si>
    <t>CENTRO DE FORMACION PROFESIONAL</t>
  </si>
  <si>
    <t xml:space="preserve">DIPLOMADOS  </t>
  </si>
  <si>
    <t>DIPLOMADOS FACULTAD CC EMPRESARIALES</t>
  </si>
  <si>
    <t>DIPLOMADOS FACULTAD  INFORMATICA Y CC APLIC</t>
  </si>
  <si>
    <t>DIPLOMADOS FACULTAD CC SOCIALES</t>
  </si>
  <si>
    <t>DIPLOMADOS FACULTAD CC JURIDICAS</t>
  </si>
  <si>
    <t>SEMINARIOS</t>
  </si>
  <si>
    <t>SEMINARIOS FACULTAD CC EMPRESARIALES</t>
  </si>
  <si>
    <t>SEMINARIOS FACULTAD  INFORMATICA Y CC APLIC</t>
  </si>
  <si>
    <t>SEMINARIOS FACULTAD CC SOCIALES</t>
  </si>
  <si>
    <t>SEMINARIOS FACULTAD CC JURIDICAS</t>
  </si>
  <si>
    <t xml:space="preserve">MAESTRIAS, POSTGRADOS </t>
  </si>
  <si>
    <t>05</t>
  </si>
  <si>
    <t>ADMINISTRACIÓN  FINANCIERA</t>
  </si>
  <si>
    <t>MATRÍCULAS</t>
  </si>
  <si>
    <t xml:space="preserve">SEMINARIO DE GRADUACIÓN </t>
  </si>
  <si>
    <t>OTROS ARANCELES</t>
  </si>
  <si>
    <t>DERECHOS DE GRADUACIÓN</t>
  </si>
  <si>
    <t>ADMINISTRACIÓN DE NEGOCIOS</t>
  </si>
  <si>
    <t>BANCA Y FINANZAS</t>
  </si>
  <si>
    <t>TALENTO HUMANO VIRTUAL</t>
  </si>
  <si>
    <t>EN CRIMINOLOGIA</t>
  </si>
  <si>
    <t>EN CRIMINOLOGIA SEMI</t>
  </si>
  <si>
    <t>06</t>
  </si>
  <si>
    <t>ADMON.  NEGOCIOS VIRTUAL</t>
  </si>
  <si>
    <t>07</t>
  </si>
  <si>
    <t>ADMON. FINANCIERA VIRTUAL</t>
  </si>
  <si>
    <t>08</t>
  </si>
  <si>
    <t>INGENIERA CON ESPEC ROBOTIC</t>
  </si>
  <si>
    <t>09</t>
  </si>
  <si>
    <t>10</t>
  </si>
  <si>
    <t>POSTGRADOS</t>
  </si>
  <si>
    <t>11</t>
  </si>
  <si>
    <t>OTROS INGRESOS</t>
  </si>
  <si>
    <t>n</t>
  </si>
  <si>
    <t>PARQUEOS</t>
  </si>
  <si>
    <t>ALQUILER LOCALES</t>
  </si>
  <si>
    <t>12</t>
  </si>
  <si>
    <t>DIPLOMADOS</t>
  </si>
  <si>
    <t>13</t>
  </si>
  <si>
    <t>14</t>
  </si>
  <si>
    <t>OTROS ARANCELES FACULTAD CC EMPRESARIALES</t>
  </si>
  <si>
    <t>OTROS ARANCELES FCCE Pregrado</t>
  </si>
  <si>
    <t>OTROS ARANCELES FCCE Técnicos</t>
  </si>
  <si>
    <t>OTROS ARANCELES FACULTAD DE INFORMATICA Y CC APLICADAS</t>
  </si>
  <si>
    <t>OTROS ARANCELES FICA Pregrado</t>
  </si>
  <si>
    <t>OTROS ARANCELES FICA Técnicos</t>
  </si>
  <si>
    <t>OTROS ARANCELES FACULTAD DE CC SOCIALES</t>
  </si>
  <si>
    <t>OTROS ARANCELES FCCS Pregrado</t>
  </si>
  <si>
    <t>OTROS ARANCELES FCCS Técnicos</t>
  </si>
  <si>
    <t>OTROS ARANCELES FACULTAD DE CC JURIDICAS</t>
  </si>
  <si>
    <t>OTROS ARANCELES FCCJ Pregrado</t>
  </si>
  <si>
    <t xml:space="preserve">CIOPS ENCUESTAS </t>
  </si>
  <si>
    <t>ENCUESTAS</t>
  </si>
  <si>
    <t>CONTRATADAS</t>
  </si>
  <si>
    <t>MINED</t>
  </si>
  <si>
    <t>INGRESOS CORRIENTES</t>
  </si>
  <si>
    <t>INTERESES BANCARIOS PLAZOS FIJOS</t>
  </si>
  <si>
    <t>UTEC VERDE</t>
  </si>
  <si>
    <t>LABORATORIO 3D</t>
  </si>
  <si>
    <t>SOBRANTES/FALTANTES</t>
  </si>
  <si>
    <t>DESPERDICIOS</t>
  </si>
  <si>
    <t>OTROS INGRESOS - PATROCINIOS, CURSOS Y OTROS</t>
  </si>
  <si>
    <t>SERVICIOS PROFESIONALES</t>
  </si>
  <si>
    <t>E</t>
  </si>
  <si>
    <t>SERVICIOS DE LIMPIEZA</t>
  </si>
  <si>
    <t>SERVICIOS DE MANTENIMIENTO</t>
  </si>
  <si>
    <t>SERVICIOS DE VIGILANCIA</t>
  </si>
  <si>
    <t>ASESORIA PUBLICITARIA</t>
  </si>
  <si>
    <t>HONORARIOS</t>
  </si>
  <si>
    <t>Servicios Profesionales Great Place to Work</t>
  </si>
  <si>
    <t>Honorarios Soporte  equipo Didáctica $ 10,000.00</t>
  </si>
  <si>
    <t>Servicios profesionales Lic. G de Duque</t>
  </si>
  <si>
    <t>Servicios Prof.Lic Reynaldo Lopez G $ 1,000*12</t>
  </si>
  <si>
    <t>Honorarios Lic. Rita de Araujo $ 4,500.00 X12</t>
  </si>
  <si>
    <t>Honorarios Sra. Lilian de Burgos $ 4500 x 12</t>
  </si>
  <si>
    <t>Asesoria Corporativa Lic. Medrano   $ 1,509.00 X 12</t>
  </si>
  <si>
    <t>Honorarios asesoría demanda alumnos</t>
  </si>
  <si>
    <t>Auditoria Externa Castellanos Chacón $ 4,750.00 x 3</t>
  </si>
  <si>
    <t>Servicio Seguridad GPS</t>
  </si>
  <si>
    <t>Luis Federico Hernandez cuota 6 y 7/7 $ 2800.00 x 2</t>
  </si>
  <si>
    <t>Catedra de Principios y Valores</t>
  </si>
  <si>
    <t>PRESTAMOS BANCARIOS</t>
  </si>
  <si>
    <t xml:space="preserve">BANCO CUSCATLÁN REF :  5278444 </t>
  </si>
  <si>
    <t xml:space="preserve"> DAVIVIENDA REF: 000704399016 </t>
  </si>
  <si>
    <t>BANCO PROMERICA REF 784005</t>
  </si>
  <si>
    <t xml:space="preserve">INTERESES BANCARIOS   </t>
  </si>
  <si>
    <t>COMISIONES BANCARIOS</t>
  </si>
  <si>
    <t>SUELDOS ADMINISTRATIVOS</t>
  </si>
  <si>
    <t>SUELDOS Y SALARIOS PRESIDENCIA JUNTA GU</t>
  </si>
  <si>
    <t>SUELDOS Y SALARIOS PRESIDENCIA</t>
  </si>
  <si>
    <t xml:space="preserve">SUELDOS Y SALARIOS VICEPRESIDENCIA </t>
  </si>
  <si>
    <t>SUELDOS Y SALARIOS SECRETARIA GENERAL</t>
  </si>
  <si>
    <t xml:space="preserve">SUELDOS Y SALARIOS VICERRECTORÍA FINANCIERA </t>
  </si>
  <si>
    <t>SUELDOS Y SALARIOS VICERRECTORÍA DE OPERACIONES</t>
  </si>
  <si>
    <t>SUELDOS Y SALARIOS DIRECCIÓN DE COMUNICACIONES</t>
  </si>
  <si>
    <t>SUELDOS Y SALARIOS DIRECCIÓN DE RECURSOS HUMANOS</t>
  </si>
  <si>
    <t>SUELDOS Y SALARIOS CLINICA EMPRESARIAL</t>
  </si>
  <si>
    <t xml:space="preserve">SUELDOS Y SALARIOS SERVICIOS GENERALES </t>
  </si>
  <si>
    <t>SUELDOS Y SALARIOS MANTENIMIENTO</t>
  </si>
  <si>
    <t>SUELDOS ACADÉMICOS</t>
  </si>
  <si>
    <t>SUELDOS Y SALARIOS FACULTAD DE CIENCIAS EMPRESARIALES</t>
  </si>
  <si>
    <t>SUELDOS Y SALARIOS FACULTAD DE INFORMATICA Y CIENCIAS APLICADAS</t>
  </si>
  <si>
    <t>SUELDOS Y SALARIOS FACULTAD DE CIENCIAS SOCIALES</t>
  </si>
  <si>
    <t>SUELDOS Y SALARIOS FACULTAD DE CIENCIAS JURIDICAS</t>
  </si>
  <si>
    <t>OTRAS UNIDADES ACADEMICAS</t>
  </si>
  <si>
    <t>SUELDOS Y SALARIOS RECTORÍA</t>
  </si>
  <si>
    <t>SUELDOS Y SALARIOS VR ACADÉMICA</t>
  </si>
  <si>
    <t>SUELDOS Y SALARIOS DIRECCIÓN EDUCACIÓN VIRTUAL</t>
  </si>
  <si>
    <t>SUELDOS Y SALARIOS DIRECCIÓN DE INFORMÁTICA</t>
  </si>
  <si>
    <t>SUELDOS Y SALARIOS ADMÓN ACADÉMICA</t>
  </si>
  <si>
    <t>SUELDOS Y SALARIOS RELACIONES INTERNACIONALES</t>
  </si>
  <si>
    <t>SUELDOS Y SALARIOS NUEVO INGRESO</t>
  </si>
  <si>
    <t>SUELDOS Y SALARIOS SISTEMA BIBLIOTECARIO</t>
  </si>
  <si>
    <t>SUELDOS Y SALARIOS DIRECCIÓN DE CULTURA</t>
  </si>
  <si>
    <t>SUELDOS DTC</t>
  </si>
  <si>
    <t>HORAS CLASES</t>
  </si>
  <si>
    <t>HORAS CLASE FACULTAD DE CIENCIAS EMPRESARIALES</t>
  </si>
  <si>
    <t>HORAS CLASE FACULTAD DE INFORMATICA Y CC APLICADAS</t>
  </si>
  <si>
    <t>HORAS CLASE FACULTAD DE CIENCIAS SOCIALES</t>
  </si>
  <si>
    <t>HORAS CLASE FACULTAD DE CIENCIAS JURIDICAS</t>
  </si>
  <si>
    <t>SERVICIOS TECNOLOGICOS</t>
  </si>
  <si>
    <t>DIRECCION DE INFORMATICA</t>
  </si>
  <si>
    <t>SERVICIO INTERNET</t>
  </si>
  <si>
    <t>Otros Internet</t>
  </si>
  <si>
    <t>Enlace Comercial Columbus Network COLUMBUS NETWORKS  $ 11,967.00 x 12</t>
  </si>
  <si>
    <t xml:space="preserve">Enlace ComercialDigicel   Internet Alumnos $ 3,560.00 x 12 </t>
  </si>
  <si>
    <t>Servicio extraordinario Nube inscripcion ciclo 01 y  02-2024 Sega Corp</t>
  </si>
  <si>
    <t>ND</t>
  </si>
  <si>
    <t>Plataforma BlackBoard  7,500 licencias</t>
  </si>
  <si>
    <t xml:space="preserve">SERVICIOS ADMINISTRATIVOS- APP Estudiantes Mobiles El Salvador </t>
  </si>
  <si>
    <t>SERVICIO MANTENIMIENTO</t>
  </si>
  <si>
    <t>Puntos de red (nuevo y modificaciones)</t>
  </si>
  <si>
    <t>Mantenimiento de UPS Data Center/Anual</t>
  </si>
  <si>
    <t>Partes y suministros</t>
  </si>
  <si>
    <t xml:space="preserve">SOFTWARE </t>
  </si>
  <si>
    <t>Certificado de seguridad utec.edu.sv, Virtual Mae y Educ Virtual- SVNet</t>
  </si>
  <si>
    <t xml:space="preserve">NextGenesis Technology </t>
  </si>
  <si>
    <t>LICENCIAS</t>
  </si>
  <si>
    <t>Campus Agreement - Microsoft- Open Value- incluye IT Academy, Microsoft - 1 PACK mos Microsof y MTA FICA- Autodesk FICA- GBM Ampliación A-3E-3 e inteligencia de negocios. Licencia Active Directory premium nube de Azure</t>
  </si>
  <si>
    <t xml:space="preserve">Licenciamiento anual para 41 usuarios </t>
  </si>
  <si>
    <t xml:space="preserve">Licencias Firewall Palo alto </t>
  </si>
  <si>
    <t xml:space="preserve">Suscripcion Adobe STB  y laboratorio sala de redaccion, incluye tambien CCEE Turismo. CCSS Idiomas y Lab Radio , Dirección Comunicaciones- certificaciones Microsoft FICA GBM- Licencias Nvivo pro Investigaciones. Se incluye lab. Sala de redacción 65 PC,  MICROSOFT AZURE OFFICE 365 </t>
  </si>
  <si>
    <t>Antivirus Académico - ESET NOD 32</t>
  </si>
  <si>
    <t>Antivirus administrativo ESET NOD 32</t>
  </si>
  <si>
    <t xml:space="preserve">Proyecto de AZURE BACKUP Y AZURE SITERECOVERY </t>
  </si>
  <si>
    <t>SERVICIO LEASING</t>
  </si>
  <si>
    <t>SERVICIO LEASING PC  $ 90,040.33</t>
  </si>
  <si>
    <t>SERVICIO LEASING LAPTOP $ 1,494.00</t>
  </si>
  <si>
    <t>SERVICIO LEASING CAÑON  $ 21,051.05</t>
  </si>
  <si>
    <t>RED CONECTIVIDAD PERIFERICOS $ 19,237.5</t>
  </si>
  <si>
    <t>INVERSIONES Y PROYECTOS ESPECIALES</t>
  </si>
  <si>
    <t>INVERSIONES ACADEMICAS</t>
  </si>
  <si>
    <t xml:space="preserve">FACULTAD DE CIENCIAS EMPRESARIALES  </t>
  </si>
  <si>
    <t>Laboratorio de merchandising y empaques</t>
  </si>
  <si>
    <t>FACULTAD DE INFORMATICA Y CC APLICADAS</t>
  </si>
  <si>
    <t>250 vouchers AUTODESK  - más 250 códigos de Gmetrix Practice Tests</t>
  </si>
  <si>
    <t>Robot colaborativo y modulo didáctico  COMPRES, SA. DE C.V. Fct 2876, + instalaciones.</t>
  </si>
  <si>
    <t>FACULTAD DE CIENCIAS SOCIALES</t>
  </si>
  <si>
    <t>Escuela y Laboratorio de Idiomas</t>
  </si>
  <si>
    <t>Orientación vocacional</t>
  </si>
  <si>
    <t>Clínicas Psicológicas</t>
  </si>
  <si>
    <t>Laboratorio de Fotografia</t>
  </si>
  <si>
    <t>Laboratorio de Ciencias Biológicas</t>
  </si>
  <si>
    <t>FACULTAD DE CIENCIAS JURIDICAS</t>
  </si>
  <si>
    <t>UNIDADES ADMINISTRATIVAS</t>
  </si>
  <si>
    <t>PROYECTOS ESPECIALES</t>
  </si>
  <si>
    <t xml:space="preserve">Beca Personal Ejecutivo Luciana L.  York U </t>
  </si>
  <si>
    <t>Beca Personal Ejecutivo Gabriela Duque FIU</t>
  </si>
  <si>
    <t>PROYECTO DOCENTE CONECTADO 2024</t>
  </si>
  <si>
    <t>INVERSIONES TECNOLÓGICAS EN INFRAESTRUCT DIN</t>
  </si>
  <si>
    <t>Proyecto de Digitalización de documentos físicos de registro académico, contabilidad y secretaria general (Un solo pago)</t>
  </si>
  <si>
    <t>Renovación del aire acondicionado y equipo anti incendio del Data Center</t>
  </si>
  <si>
    <t>FUERA DE PRESUPUESTO</t>
  </si>
  <si>
    <t>CIOPS</t>
  </si>
  <si>
    <t>EGRESOS NO PRESUPUESTADOS</t>
  </si>
  <si>
    <t>PRESTACIONES AL PERSONAL</t>
  </si>
  <si>
    <t>PRESTACIONES LEGALES Y LABORALES CORRIENTES</t>
  </si>
  <si>
    <t>Cuotas patronales</t>
  </si>
  <si>
    <t>Cuotas Clubes Sociales</t>
  </si>
  <si>
    <t>Café, Agua, azucar y otros</t>
  </si>
  <si>
    <t>Liquidaciones laborales y compensaciones</t>
  </si>
  <si>
    <t>Prestación laboral por defunción familiar</t>
  </si>
  <si>
    <t>Atención floral   por defunción familiar</t>
  </si>
  <si>
    <t xml:space="preserve">OTRAS PRESTACIONES AL PERSONAL </t>
  </si>
  <si>
    <t>Uniformes motorista PJGU</t>
  </si>
  <si>
    <t>Licencias pruebas sicologicas</t>
  </si>
  <si>
    <t>Insumos Seguridad y salud ocupacional</t>
  </si>
  <si>
    <t>Gift Card Navideños</t>
  </si>
  <si>
    <t>Carnet</t>
  </si>
  <si>
    <t>CLINICA EMPRESARIAL</t>
  </si>
  <si>
    <t>SALA DE LACTANCIA</t>
  </si>
  <si>
    <t>SALA CUNA</t>
  </si>
  <si>
    <t>SEGUROS DE VEHICULO Y VIVIENDA FUNCIONARIOS</t>
  </si>
  <si>
    <t xml:space="preserve">GASTOS MÉDICOS </t>
  </si>
  <si>
    <t>SERVICIOS PUBLICOS</t>
  </si>
  <si>
    <t>ENERGÍA ELÉCTRICA</t>
  </si>
  <si>
    <t xml:space="preserve">IMPUESTOS FISCALES </t>
  </si>
  <si>
    <t>IMPUESTOS MUNICIPALES</t>
  </si>
  <si>
    <t>SERVICIO DE AGUA</t>
  </si>
  <si>
    <t>SERVICIO TELEFÓNICO</t>
  </si>
  <si>
    <t>IMPUESTO VALOR AGREGADO - IVA</t>
  </si>
  <si>
    <t xml:space="preserve">SERVICIO PLANTA TELEFÓNICA </t>
  </si>
  <si>
    <t>SERVICIO DE CABLES</t>
  </si>
  <si>
    <t>SERVICIO DE CURRIER</t>
  </si>
  <si>
    <t>INVESTIGACIONES</t>
  </si>
  <si>
    <t>SUELDOS Y SALARIOS</t>
  </si>
  <si>
    <t>Asesoria Montealban $ 84, 750.x12</t>
  </si>
  <si>
    <t>FONDO DE INVESTIGACION</t>
  </si>
  <si>
    <t>Proyectos de investigación</t>
  </si>
  <si>
    <t>Proyecto de investigación MINED-DNES y UTEC</t>
  </si>
  <si>
    <t>INSUMOS DE OFICINA</t>
  </si>
  <si>
    <t>DIVULGACION</t>
  </si>
  <si>
    <t>Brochures convocatorias</t>
  </si>
  <si>
    <t>Plan de divulgación</t>
  </si>
  <si>
    <t>Licencia (Canva y Zoom)</t>
  </si>
  <si>
    <t>Incentivos por publicación a Investigadores y Docentes Investigadores</t>
  </si>
  <si>
    <t>Revista Entorno</t>
  </si>
  <si>
    <t>OTROS GASTOS</t>
  </si>
  <si>
    <t>PROYECCION SOCIAL</t>
  </si>
  <si>
    <t>RESPONSABILIDAD SOCIAL UNIVERSITARIA</t>
  </si>
  <si>
    <t>Proyecto RSU Cursos sabatinos 2024</t>
  </si>
  <si>
    <t>Capacitaciones y congresos de RSU</t>
  </si>
  <si>
    <t>PROYECTOS Y ACTIVIDADES DE PROYECCION SOCIAL</t>
  </si>
  <si>
    <t>Proyectos y actividades de Facultad Ciencias Empresariales</t>
  </si>
  <si>
    <t>Proyectos y actividades de Facultad de Informática y Ciencias Aplicadas</t>
  </si>
  <si>
    <t>Proyectos y actividades de Facultad Ciencias Sociales</t>
  </si>
  <si>
    <t>Proyectos y actividades de Facultad de Derecho</t>
  </si>
  <si>
    <t>Proyectos y actividades itinerante (catedras)</t>
  </si>
  <si>
    <t>MATERIAL DIDÁCTICO</t>
  </si>
  <si>
    <t>Papelería y útiles</t>
  </si>
  <si>
    <t>Impresiones$ 500 X 12</t>
  </si>
  <si>
    <t>Herramienta Zoom</t>
  </si>
  <si>
    <t>CAFETERÍA</t>
  </si>
  <si>
    <t>Insumo de oficina ( café, azucar, vasos,etc)</t>
  </si>
  <si>
    <t xml:space="preserve">Agua cristal </t>
  </si>
  <si>
    <t>MEMBRESIAS FUNDEMAS</t>
  </si>
  <si>
    <t>DIFUSION- Boletin informativo 2024</t>
  </si>
  <si>
    <t>INCENTIVOS -Diplomas estudiantes y docentes</t>
  </si>
  <si>
    <t>SEGUIMIENTOS Y EVALUACIÓN A PROYECTOS</t>
  </si>
  <si>
    <t>Lavado y planchado chalecos</t>
  </si>
  <si>
    <t>Elaboración chalecos nuevos</t>
  </si>
  <si>
    <t>LABORATORIO NUCLEO</t>
  </si>
  <si>
    <t>Lab. Nucleo - Insumos</t>
  </si>
  <si>
    <t>Lab. Nucleo - Diplomas</t>
  </si>
  <si>
    <t>LAB 3D RENTA DE EQUIPO</t>
  </si>
  <si>
    <t>LAB 3D Renta de equipo $ 2.260.00 x 12 Acelera</t>
  </si>
  <si>
    <t>LAB 3D Renta Scanner 3D $ 30 x 12</t>
  </si>
  <si>
    <t>LAB 3D INSUMOS GENERALES</t>
  </si>
  <si>
    <t>LAB 3D CORTE Y GRABADO LASER</t>
  </si>
  <si>
    <t>LAB 3D ELECTRONICA</t>
  </si>
  <si>
    <t>LAB 3D INVERSION HERRAMIENTAS/ MAQUINARIA PARA FABRICACIÓN</t>
  </si>
  <si>
    <t>LAB 3D PROYECTOS DE INVESTIGACIÓN APLICADA</t>
  </si>
  <si>
    <t>LAB 3D PASANTIAS Y PROYECCIÓN 3DLAB UTEC</t>
  </si>
  <si>
    <t>LAB 3D SOFTWARE Y HARDWARE</t>
  </si>
  <si>
    <t>DIRECCION DE CULTURA</t>
  </si>
  <si>
    <t>EXPOSICIONES TEMPORALES</t>
  </si>
  <si>
    <t>Dirección de cultura - Materiales  e invitaciones</t>
  </si>
  <si>
    <t>Dirección de cultura - Collage de publicaciones</t>
  </si>
  <si>
    <t>Dirección de cultura - Cedulas introductorias y rotulaciones</t>
  </si>
  <si>
    <t>Dirección de cultura - Día de la Cruz- incluye vinil</t>
  </si>
  <si>
    <t>Dirección de cultura - Día de los Museos y de los Muertos</t>
  </si>
  <si>
    <t>Dirección de cultura - Adquisicion indumentaria Danza</t>
  </si>
  <si>
    <t>Dirección de cultura - Adquisicion indumentaria Coro</t>
  </si>
  <si>
    <t>Dirección de cultura - Festivales, concursos de arte y literatura</t>
  </si>
  <si>
    <t>Dirección de cultura - Revista Koot</t>
  </si>
  <si>
    <t>EXPOSICIONES PERMANTE</t>
  </si>
  <si>
    <t>PERSONAL DE APOYO</t>
  </si>
  <si>
    <t>MEJORAS MUSEO</t>
  </si>
  <si>
    <t>MAESTRIAS Y POSTGRADOS</t>
  </si>
  <si>
    <t>COMPENSACIONES Y LIQUIDACIONES LABORALES</t>
  </si>
  <si>
    <t>Insumos de cafeteria y Agua</t>
  </si>
  <si>
    <t>Material de oficina</t>
  </si>
  <si>
    <t>MANTENIMIENTO</t>
  </si>
  <si>
    <t xml:space="preserve">MANTENIMIENTO AIRE ACONDICIONADO </t>
  </si>
  <si>
    <t xml:space="preserve">MANTENIMIENTO ODORIZACION BAÑOS </t>
  </si>
  <si>
    <t xml:space="preserve">MANTENIMIENTO ASENSORES </t>
  </si>
  <si>
    <t xml:space="preserve">MANTENIMIENTO DE PLANTA EMERGENCIA </t>
  </si>
  <si>
    <t>MATERIAL DE LIMPIEZA</t>
  </si>
  <si>
    <t>MANTENIMIENTO INSTALACIONES Y FUMIGACIONES</t>
  </si>
  <si>
    <t>MATERIAL DE JARDINERIA</t>
  </si>
  <si>
    <t xml:space="preserve">SERVICIO DE AGUA </t>
  </si>
  <si>
    <t xml:space="preserve">ENERGIA ELECTRICA </t>
  </si>
  <si>
    <t>IMPUESTOS MUNICIPALES -MAE</t>
  </si>
  <si>
    <t xml:space="preserve">SERVICIO DE TELEFONO </t>
  </si>
  <si>
    <t xml:space="preserve">SERVICIO PLANTA TELEFONICA </t>
  </si>
  <si>
    <t xml:space="preserve">SERVICIOS DE SEGURIDAD </t>
  </si>
  <si>
    <t>SERVICIO DE LIMPIEZA Y JARDINERIA</t>
  </si>
  <si>
    <t>SERVICIO DE INTERNET COLUMBUS</t>
  </si>
  <si>
    <t>SERVICIO LEASING  MAESTRIAS</t>
  </si>
  <si>
    <t>GASTOS POR ESTUDIOS DE MAESTRIAS</t>
  </si>
  <si>
    <t xml:space="preserve">SERVICIOS PROFESIONALES MAE </t>
  </si>
  <si>
    <t xml:space="preserve">HORAS CLASE </t>
  </si>
  <si>
    <t>Horas Clase  módulos</t>
  </si>
  <si>
    <t>Horas clase Procesos de Graduación</t>
  </si>
  <si>
    <t>Coordinador Robótica $ 800 x 12</t>
  </si>
  <si>
    <t>ASESORIAS</t>
  </si>
  <si>
    <t>MATERIAL DIDACTICO MAE</t>
  </si>
  <si>
    <t>Carnet Alumnos</t>
  </si>
  <si>
    <t>Impresiones$ 2400.00 X 12</t>
  </si>
  <si>
    <t>Otra papeleria y utiles proveeduria</t>
  </si>
  <si>
    <t>PUBLICIDAD PROMOCIONAL MAE y PG</t>
  </si>
  <si>
    <t>Periodicos Digitales</t>
  </si>
  <si>
    <t>Redes Sociales (Facebook Promoción Maestrías)</t>
  </si>
  <si>
    <t>Redes Sociales (Facebook Promoción Postgrados)</t>
  </si>
  <si>
    <t>Publicidad Radio- La Tribu</t>
  </si>
  <si>
    <t>Pantallas Digitales</t>
  </si>
  <si>
    <t>Pantallas en Centros Comerciales</t>
  </si>
  <si>
    <t xml:space="preserve">Google ADS (Adwords, YouTube, Gmail) </t>
  </si>
  <si>
    <t>Impresiones digitales (brochures, flyers, banner, afiches) Hojas sueltas</t>
  </si>
  <si>
    <t>Papelería (Folders y Fastener)</t>
  </si>
  <si>
    <t xml:space="preserve">Actividades de Promoción </t>
  </si>
  <si>
    <t>Artículos promocionales</t>
  </si>
  <si>
    <t>Viaticos para asistir a eventos (alimentación)</t>
  </si>
  <si>
    <t xml:space="preserve">Campaña incentivo Utec </t>
  </si>
  <si>
    <t>Asesores Educativos  (Comisión Maestrías, Postgrados y Cursos Especializados)</t>
  </si>
  <si>
    <t>GASTOS GRADUACIONES  MAE</t>
  </si>
  <si>
    <t>Graduaciones MAE - Cóctel</t>
  </si>
  <si>
    <t>Graduaciones MAE - Alquiler togas</t>
  </si>
  <si>
    <t>Graduaciones MAE - Arreglos florales</t>
  </si>
  <si>
    <t>Graduaciones MAE - Tarjetas de invitación</t>
  </si>
  <si>
    <t>Graduaciones MAE - Títulos Maestrías</t>
  </si>
  <si>
    <t>Graduaciones MAE - Portatítulos</t>
  </si>
  <si>
    <t>Graduaciones MAE - Fotografías</t>
  </si>
  <si>
    <t>Graduaciones MAE - Pines</t>
  </si>
  <si>
    <t>GASTOS POR ESTUDIOS DE POSTGRADO</t>
  </si>
  <si>
    <t>POSTGRADOS - HORA CLASE</t>
  </si>
  <si>
    <t>POSTGRADOS - SUPERVISIÓN LIC. CARLOS MOLINA</t>
  </si>
  <si>
    <t>GASTOS GRADUACIONES  POSTGRADOS</t>
  </si>
  <si>
    <t>ACTIVIDADES ACADÉMICAS</t>
  </si>
  <si>
    <t xml:space="preserve">SUSCRIPCIONES Y MEMBRESIAS </t>
  </si>
  <si>
    <t>INVERSIONES</t>
  </si>
  <si>
    <t>PAPELERIA Y UTILES</t>
  </si>
  <si>
    <t xml:space="preserve">PAPELERIA Y UTILES - FACULTAD DE CIENCIAS EMPRESARIALES  </t>
  </si>
  <si>
    <t>PAPELERIA Y UTILES - FACULTAD DE INFORMATICA Y CC APLICADAS</t>
  </si>
  <si>
    <t>PAPELERIA Y UTILES - FACULTAD DE CIENCIAS SOCIALES</t>
  </si>
  <si>
    <t>PAPELERIA Y UTILES - FACULTAD DE CIENCIAS JURIDICAS</t>
  </si>
  <si>
    <t>PAPELERIA Y UTILES - OTRAS UNIDADES ACADEMICAS</t>
  </si>
  <si>
    <t>INSUMOS PROFESORES</t>
  </si>
  <si>
    <t xml:space="preserve">INSUMOS PROFESORES - FACULTAD DE CIENCIAS EMPRESARIALES  </t>
  </si>
  <si>
    <t>INSUMOS PROFESORES - FACULTAD DE INFORMATICA Y CC APLICADAS</t>
  </si>
  <si>
    <t>INSUMOS PROFESORES - FACULTAD DE CIENCIAS SOCIALES</t>
  </si>
  <si>
    <t>INSUMOS PROFESORES - FACULTAD DE CIENCIAS JURIDICAS</t>
  </si>
  <si>
    <t>MATERIAL PRACTICAS LABORATORIOS</t>
  </si>
  <si>
    <t>Centros de computo- apoyo técnico</t>
  </si>
  <si>
    <t>Laboratorio de Televisión - 10 TirroS</t>
  </si>
  <si>
    <t>Laboratorio de Televisión - 4 Kit de baterias Recargables AA</t>
  </si>
  <si>
    <t>Laboratorio de Televisión - 8 Baterias Alkalina Doble AA</t>
  </si>
  <si>
    <t>Laboratorio de Televisión - 8 Tirro Ancho industrial</t>
  </si>
  <si>
    <t>Laboratorio de Televisión - 8 Baterias Alkalina Triple AAA</t>
  </si>
  <si>
    <t>Laboratorio de Fotografía - 2 Kit de baterías AA recargables</t>
  </si>
  <si>
    <t>Laboratorio de Fotografía - 2 Papel para impresor 6800/6R</t>
  </si>
  <si>
    <t xml:space="preserve">Laboratorio de Fotografía - 2 Kit limpiador de camaras y lentes </t>
  </si>
  <si>
    <t xml:space="preserve">Laboratorio de Fotografía - 8 Focos de color rojo para cuarto oscuro </t>
  </si>
  <si>
    <t>Laboratorio de Fotografía - 2 Aire Comprimido para limpieza de contactos</t>
  </si>
  <si>
    <t>Laboratorio de Fotografía - 5 Focos luz led blanca de 80 watts para equipo de luz continua</t>
  </si>
  <si>
    <t xml:space="preserve">Laboratorio de Fotografía - 20 Focos para ampliadora  14 watts para ampliadora </t>
  </si>
  <si>
    <t>MATERIAL IMPRESO ACADEMICO</t>
  </si>
  <si>
    <t>FOTOCOPIAS EXAMENES</t>
  </si>
  <si>
    <t xml:space="preserve">IMPRESIONES EXAMENES - FACULTAD DE CIENCIAS EMPRESARIALES  </t>
  </si>
  <si>
    <t>IMPRESIONES EXAMENES - FACULTAD DE INFORMATICA Y CC APLICADAS</t>
  </si>
  <si>
    <t>IMPRESIONES EXAMENES - FACULTAD DE CIENCIAS SOCIALES</t>
  </si>
  <si>
    <t>IMPRESIONES EXAMENES - FACULTAD DE CIENCIAS JURIDICAS</t>
  </si>
  <si>
    <t>PAQUETES DIDACTICOS, GUIAS Y LIBROS</t>
  </si>
  <si>
    <t xml:space="preserve">PAQUETES DIDACTICOS - FACULTAD DE CIENCIAS EMPRESARIALES  </t>
  </si>
  <si>
    <t>PAQUETES DIDACTICOS - FACULTAD DE INFORMATICA Y CC APLICADAS</t>
  </si>
  <si>
    <t>PAQUETES DIDACTICOS - FACULTAD DE CIENCIAS SOCIALES</t>
  </si>
  <si>
    <t>PAQUETES DIDACTICOS - FACULTAD DE CIENCIAS JURIDICAS</t>
  </si>
  <si>
    <t xml:space="preserve">INSTRUCTIVO ACADEMICOS  </t>
  </si>
  <si>
    <t xml:space="preserve">INSTRUCTIVO ACADEMICOS - FACULTAD DE CIENCIAS EMPRESARIALES  </t>
  </si>
  <si>
    <t>INSTRUCTIVO ACADEMICOS - FACULTAD DE INFORMATICA Y CC APLICADAS</t>
  </si>
  <si>
    <t>INSTRUCTIVO ACADEMICOS - FACULTAD DE CIENCIAS SOCIALES</t>
  </si>
  <si>
    <t>INSTRUCTIVO ACADEMICOS - FACULTAD DE CIENCIAS JURIDICAS</t>
  </si>
  <si>
    <t>CARNET</t>
  </si>
  <si>
    <t xml:space="preserve">CARNET - FACULTAD DE CIENCIAS EMPRESARIALES  </t>
  </si>
  <si>
    <t>CARNET - FACULTAD DE INFORMATICA Y CC APLICADAS</t>
  </si>
  <si>
    <t>CARNET - FACULTAD DE CIENCIAS SOCIALES</t>
  </si>
  <si>
    <t>CARNET - FACULTAD DE CIENCIAS JURIDICAS</t>
  </si>
  <si>
    <t>CARNET - OTRAS UNIDADES ACADEMICAS</t>
  </si>
  <si>
    <t>PAPELERIA Y UTILES OTRAS UNIDADES ACADEM</t>
  </si>
  <si>
    <t>Insumos de oficina varios</t>
  </si>
  <si>
    <t>Impresiones  oficinas otras unidades academicas $ 7,200.00 x 12</t>
  </si>
  <si>
    <t>Papeleria y Utiles otras unidades Academicas</t>
  </si>
  <si>
    <t>Otra papeleria y utiles</t>
  </si>
  <si>
    <t>ALQUILERES</t>
  </si>
  <si>
    <t>15</t>
  </si>
  <si>
    <t xml:space="preserve">Alquiler de Casa Adolfo Araujo Montealban $ 30,045.00 x 12  </t>
  </si>
  <si>
    <t>Montealban Casa 119 Ex Hotel $ 28,250.00 X 12</t>
  </si>
  <si>
    <t>Tecnoimpresos  Casa 116   $ 2,260.00 x 12</t>
  </si>
  <si>
    <t>Parqueo de estudiantes Calleja 12   $ 11,136.33</t>
  </si>
  <si>
    <t>Alquiler de edificio Thomas Jefferson</t>
  </si>
  <si>
    <t>Despacho en Cumbres de Cuscatlán $ 4,294.00 x 12 (Armida Calderón)</t>
  </si>
  <si>
    <t>Casa  118 Edith de Molina Neira $ 2,292.28x 6</t>
  </si>
  <si>
    <t>Apartamento Marbella  (Noris de López)</t>
  </si>
  <si>
    <t>Bodega externa Admón Académica  Datasafe</t>
  </si>
  <si>
    <t>Terrenos El Volcan y El Pimental Evlqz $ 1,130.00 X 2</t>
  </si>
  <si>
    <t xml:space="preserve">PRE-ESPECIALIDAD </t>
  </si>
  <si>
    <t>16</t>
  </si>
  <si>
    <t xml:space="preserve">SUELDOS Y SALARIOS </t>
  </si>
  <si>
    <t>HORAS CLASE</t>
  </si>
  <si>
    <t>Hora Clase - Modulos</t>
  </si>
  <si>
    <t>Hora Clase - Asesoria Tesis</t>
  </si>
  <si>
    <t>Hora Clase - Jurado de Tesis técnicos</t>
  </si>
  <si>
    <t>Hora Clase - Toelf Toeic</t>
  </si>
  <si>
    <t>Hora Clase - Investigaciones</t>
  </si>
  <si>
    <t>Gastos Graduacion Pre Grado</t>
  </si>
  <si>
    <t>Nd</t>
  </si>
  <si>
    <t>nd</t>
  </si>
  <si>
    <t>MATERIAL DIDACTICO</t>
  </si>
  <si>
    <t xml:space="preserve">Papelería y Utiles </t>
  </si>
  <si>
    <t>Impresiones$ 900.00.00 x 12</t>
  </si>
  <si>
    <t>MEDIOS DE COMUNICACIÓN</t>
  </si>
  <si>
    <t>17</t>
  </si>
  <si>
    <t>ESTUDIO DE TELEVISIÓN</t>
  </si>
  <si>
    <t>Estudio de TV - Librerías de imágenes, música y proyectos ( Licencia Envato)</t>
  </si>
  <si>
    <t>Estudio de TV - Material estudio (cables, conectores y accesorios) - Estudio de TV</t>
  </si>
  <si>
    <t>Estudio de TV - Mantenimiento de vehículo - Estudio de TV</t>
  </si>
  <si>
    <t>Estudio de TV - Mantenimiento equipo - Estudio de TV</t>
  </si>
  <si>
    <t xml:space="preserve">Estudio de TV - Transporte y viáticos al personal </t>
  </si>
  <si>
    <t>Estudio de TV - Estipendio pasante (1) (Yuri Sosa) - Estudio de TV</t>
  </si>
  <si>
    <t>Estudio de TV - Combustible vehículo - Estudio de TV</t>
  </si>
  <si>
    <t>Estudio de TV - Osmo poket / Producciones TT - Estudio de TV</t>
  </si>
  <si>
    <t>Estudio de TV - DJI Micrófonos (2) (Estuche de carga y almacenamiento)  - Estudio de TV</t>
  </si>
  <si>
    <t>Estudio de TV - 2 cables HDMI (30 Metros cada uno) - Estudio de TV</t>
  </si>
  <si>
    <t>Estudio de TV - Intercomunicadores Wireless - Los actuales tienen 7 años - Estudio de TV</t>
  </si>
  <si>
    <t>Estudio de TV - Kit de luces + tripode + fuente + estabilizadores (3 luces led) - Estudio de TV</t>
  </si>
  <si>
    <t>Estudio de TV - 6 discos duros de 4 T para almacenamiento de producciones - Estudio de TV</t>
  </si>
  <si>
    <t>Estudio de TV - Luz led para cámara de video -  Coberturas  - Estudio de TV</t>
  </si>
  <si>
    <t>Estudio de TV - Cable de video coaxial de 40 metros - Estudio de TV</t>
  </si>
  <si>
    <t>Estudio de TV - 3 Black magic convertidor de SDI a HDMI - Estudio de TV</t>
  </si>
  <si>
    <t>Estudio de TV - 3 Microvertidor HDMI a SDI - Estudio de TV</t>
  </si>
  <si>
    <t xml:space="preserve">Estudio de TV - 1 Memoria para cámara profesional </t>
  </si>
  <si>
    <t>18</t>
  </si>
  <si>
    <t>Estudio de TV - 4 Baterías para cámaras Nikon EN-EL14afor-D3200 - Estudio de TV</t>
  </si>
  <si>
    <t>19</t>
  </si>
  <si>
    <t>COMUNICACIÓN EXTERNA</t>
  </si>
  <si>
    <t>Com. Externa - Estipendio pasante (1) (Evelyn Guadalupe Alfaro Durán) - Centro de llamadas</t>
  </si>
  <si>
    <t>Com. Externa - 3 diademas pata atención - Centro de llamadas</t>
  </si>
  <si>
    <t>Com. Externa - 5 sillas secretariales con malla - Centro de llamadas</t>
  </si>
  <si>
    <t>Com. Externa - 5 mouse pad con almoadilla de gel - Centro de llamadas</t>
  </si>
  <si>
    <t>Com. Externa - Celular Honor 90.5G - Producciones TIKTOK - Centro de llamadas</t>
  </si>
  <si>
    <t>Com. Externa - Estabilizador DJI Osmo - Centro de llamadas</t>
  </si>
  <si>
    <t>Com. Externa - Micrófono DJI Mic - Centro de llamadas</t>
  </si>
  <si>
    <t>SITIO WEB Y REDES SOCIALES INSTITUCIONALES</t>
  </si>
  <si>
    <t>PUBLICACIONES</t>
  </si>
  <si>
    <t>Publicaciones - Catálogo institucional</t>
  </si>
  <si>
    <t>Publicaciones - Folletos y boletines</t>
  </si>
  <si>
    <t>Publicaciones - Librerías de imágenes, música y proyectos ( Shutterstock)</t>
  </si>
  <si>
    <t>Publicaciones - Estipendios pasantes 2 (Daniel Durán y Adriana Arteaga)</t>
  </si>
  <si>
    <t>MEDIOS</t>
  </si>
  <si>
    <t>Medios - Carteleras en periódicos de actividades (agendas)</t>
  </si>
  <si>
    <t>Medios - Comunicados y esquelas</t>
  </si>
  <si>
    <t>MANTENIMIENTO DE EQUIPOS</t>
  </si>
  <si>
    <t>OTROS PROYECTOS</t>
  </si>
  <si>
    <t>COMUNICACIÓN INSTITUCIONAL</t>
  </si>
  <si>
    <t>PUBLICIDAD PROMOCIONAL</t>
  </si>
  <si>
    <t>PRODUCCION MATERIAL PUBLICITARIO</t>
  </si>
  <si>
    <t>Prod. Material publicitario - Producción de materiales audiovisuales para campaña publicitaria</t>
  </si>
  <si>
    <t xml:space="preserve">Prod. Material publicitario - Creación de concepto creativo - Agencia  </t>
  </si>
  <si>
    <t>Prod. Material publicitario - Producción agencia de publicidad</t>
  </si>
  <si>
    <t>Prod. Material publicitario - Almuerzos y refrigerios para modelos</t>
  </si>
  <si>
    <t>Drone para producciones audiovisuales</t>
  </si>
  <si>
    <t>Cámara profesional para producciones de campaña Sony Alpha + 2 memorias de 128 GB</t>
  </si>
  <si>
    <t>PUBLICIDAD INSTITUCIONAL</t>
  </si>
  <si>
    <t>COMUNICACIÓN INTERNA</t>
  </si>
  <si>
    <t>Com. Interna - Rotulación interna</t>
  </si>
  <si>
    <t xml:space="preserve">Com. Interna - Afiches, banner, mupis y roll-ups </t>
  </si>
  <si>
    <t>Com. Interna - Protocolo y eventos (vestuario, acrílicos, bolígrafos y agua)</t>
  </si>
  <si>
    <t>Com. Interna - Suscripción CANVA PRO (Aumentar a 5 usuarios)</t>
  </si>
  <si>
    <t>Com. Interna - Mantenimiento de carteleras</t>
  </si>
  <si>
    <t xml:space="preserve">Com. Interna - Estipendio pasante (Maria José Arteaga) </t>
  </si>
  <si>
    <t>Com. Interna - Restauración e ilumación de rótulos en edificios (5) - Led y timer</t>
  </si>
  <si>
    <t>Com. Interna - Arrendamiento de 5 mupis digitales: SB, BJ, FM, GL Y GM ($2,200 mens)</t>
  </si>
  <si>
    <t>PASANTE</t>
  </si>
  <si>
    <t>Sitio web y redes sociales - Desarrollador y administrador de S. Web (Trend) $ 802.00</t>
  </si>
  <si>
    <t>Sitio web y redes sociales - Manteniminto de la traducción del sitio web (Gtranslate) (abril)</t>
  </si>
  <si>
    <t>Sitio web y redes sociales - Licencia Buffer (Sotfware redes sociales) - Centro de llamadas</t>
  </si>
  <si>
    <t>Sitio web y redes sociales - Suscripción periódicos locales LPG</t>
  </si>
  <si>
    <t>Sitio web y redes sociales - Suscripción periódicos locales EDH</t>
  </si>
  <si>
    <t xml:space="preserve">DIRECCION DE MANTENIMIENTO </t>
  </si>
  <si>
    <t>MANTENIMIENTO DE AIRES ACONDICIONADOS</t>
  </si>
  <si>
    <t xml:space="preserve">Dir. Mantenimiento - Contrato de Mantenimiento Aires Acondicionados </t>
  </si>
  <si>
    <t>Dir. Mantenimiento - Materiales Mantenimiento A/A</t>
  </si>
  <si>
    <t>MANTENIMIENTO DE EQUIPO Y MOBILIARIOS</t>
  </si>
  <si>
    <t>Dir. Mantenimiento - Manto. Oficinas, Mobiliario y equipos</t>
  </si>
  <si>
    <t xml:space="preserve">Dir. Mantenimiento - Mantenimiento Asensores </t>
  </si>
  <si>
    <t xml:space="preserve">Dir. Mantenimiento - Mantto. preventivo planta fotovoltaíca </t>
  </si>
  <si>
    <t>Dir. Mantenimiento - Mantenimiento Bebederos</t>
  </si>
  <si>
    <t>Dir. Mantenimiento - Mantenimiento Plantas Emergencia</t>
  </si>
  <si>
    <t>Dir. Mantenimiento - Mantenimiento subestaciones eléctricas</t>
  </si>
  <si>
    <t>Dir. Mantenimiento - Mantenimiento cisternas</t>
  </si>
  <si>
    <t>MANTENIMIENTO INSTALACIONES CAMPUS</t>
  </si>
  <si>
    <t xml:space="preserve">Dir. Mantenimiento - Materiales para Construcción </t>
  </si>
  <si>
    <t xml:space="preserve">Dir. Mantenimiento - Materiales Eléctricos </t>
  </si>
  <si>
    <t xml:space="preserve">Dir. Mantenimiento - Materiales mantenimiento </t>
  </si>
  <si>
    <t xml:space="preserve">Dir. Mantenimiento - Mantenimiento Fumigaciones </t>
  </si>
  <si>
    <t xml:space="preserve">Dir. Mantenimiento - Mantenimiento Pintura </t>
  </si>
  <si>
    <t>Dir. Mantenimiento - Mantenimiento de Jardines</t>
  </si>
  <si>
    <t>OTROS MANTENIMIENTOS</t>
  </si>
  <si>
    <t>Dir. Mantenimiento - Mantenimiento El Palmarcito</t>
  </si>
  <si>
    <t>Dir. Mantenimiento - Mantenimiento terreno Ciudad Delgado</t>
  </si>
  <si>
    <t>Dir. Mantenimiento - Enmarcados</t>
  </si>
  <si>
    <t>Casos eventuales- mantenimiento imprevistos</t>
  </si>
  <si>
    <t>Dir. Mantenimiento - Varios</t>
  </si>
  <si>
    <t>HERRAMIENTAS VARIAS</t>
  </si>
  <si>
    <t>Dir. Mantenimiento - Herramientas (carpinteros, mecánicos, pintores, fontaneros, jardineros, varias)</t>
  </si>
  <si>
    <t>EQUIPOS DE SEGURIDAD</t>
  </si>
  <si>
    <t>Dir. Mantenimiento - Equipo de protección especial (incluye botsa, líneas de vida, entre otros)</t>
  </si>
  <si>
    <t>MANTENIMIENTO  SERVICIOS GENERAL</t>
  </si>
  <si>
    <t>MANTENIMIENTO DE VEHICULOS</t>
  </si>
  <si>
    <t>Mantenimiento en talleres (Vehiculos)</t>
  </si>
  <si>
    <t>Combustible</t>
  </si>
  <si>
    <t>Mantenimiento de Extintores</t>
  </si>
  <si>
    <t xml:space="preserve">Mantto Odorización  Baños Aulas </t>
  </si>
  <si>
    <t>Mantenimiento de Limpieza</t>
  </si>
  <si>
    <t>Papel servicios sanitarios alumnos</t>
  </si>
  <si>
    <t>Imprevistos</t>
  </si>
  <si>
    <t>Mantenimiento camaras de seguridad</t>
  </si>
  <si>
    <t xml:space="preserve">MEJORAS EDIFICIOS </t>
  </si>
  <si>
    <t>PROYECTOS ADMINISTRADOS POR VCP</t>
  </si>
  <si>
    <t xml:space="preserve">Escalera de emergencia Los Fundadores </t>
  </si>
  <si>
    <t>Iluminación en exteriores (tipo cobra)</t>
  </si>
  <si>
    <t>Arborización jardín Simón Bolívar</t>
  </si>
  <si>
    <t>Accesibilidad arquitectónica campus</t>
  </si>
  <si>
    <t>Impermeabilización de plaza BJ</t>
  </si>
  <si>
    <t>Compra de ventiladores</t>
  </si>
  <si>
    <t>Iluminación interior con sensores</t>
  </si>
  <si>
    <t xml:space="preserve">Decoración navideña en campus </t>
  </si>
  <si>
    <t>Cambio de techos en Casa 116, 118 y Tecnoimpresos</t>
  </si>
  <si>
    <t>Cambio de elevador porterior Los Fundadores</t>
  </si>
  <si>
    <t>Cortasoles en fachadas de edificios academicos (FM)</t>
  </si>
  <si>
    <t>SEGUROS</t>
  </si>
  <si>
    <t>20</t>
  </si>
  <si>
    <t>Seguro de Incendio- ACSA Aseguradora Agri 8 cuo</t>
  </si>
  <si>
    <t>Seguro Valores ACSA 8 cuotas</t>
  </si>
  <si>
    <t>Seguro VehÍculos ACSA 8 cuotas</t>
  </si>
  <si>
    <t>Lucro Cesante</t>
  </si>
  <si>
    <t>Seguro Vida Colectivo-  SISA 6 cuotas</t>
  </si>
  <si>
    <t>Seguro Médico Hospitalario SISA 6 cuotas</t>
  </si>
  <si>
    <t>CENTRO DE FORMACION PROFESIONAL y EXT U</t>
  </si>
  <si>
    <t>21</t>
  </si>
  <si>
    <t>GASTOS ADMINISTRATIVOS</t>
  </si>
  <si>
    <t>Impresiones$ 1500.00 x 12</t>
  </si>
  <si>
    <t>Sueldo Jeny E Sánchez</t>
  </si>
  <si>
    <t>Insumos de despensa</t>
  </si>
  <si>
    <t xml:space="preserve">Insumos de oficina varios </t>
  </si>
  <si>
    <t xml:space="preserve">DIPLOMADOS  FACULTAD DE CIENCIAS EMPRESARIALES  </t>
  </si>
  <si>
    <t xml:space="preserve">Diplomados FCCE - Ponente </t>
  </si>
  <si>
    <t>Diplomados FCCE - Publicidad</t>
  </si>
  <si>
    <t>Diplomados FCCE - Insumos Taller Turismo, Diplomados y Refrigerios</t>
  </si>
  <si>
    <t>Diplomados FCCE - Pago licencias AMADEUS</t>
  </si>
  <si>
    <t>Diplomados FCCE - Actividades Centro Emprendedor Crea Utec (Activación Emprendedora, Networking y Feria Emprendedora)</t>
  </si>
  <si>
    <t>DIPLOMADOS  FACULTAD DE INFORMATICA Y CC APLICADAS</t>
  </si>
  <si>
    <t>Diplomados FICA - Ponente</t>
  </si>
  <si>
    <t>Diplomados FICA - Insumos Diplomados y Refrigerios</t>
  </si>
  <si>
    <t>Diplomados FICA - POSTGRADO CAMPUS VIRTUAL</t>
  </si>
  <si>
    <t>DIPLOMADOS  FACULTAD DE CIENCIAS SOCIALES</t>
  </si>
  <si>
    <t>Diplomados FCCS - Ponente</t>
  </si>
  <si>
    <t>Diplomados FCCS - Insumos Diplomados y Refrigerios</t>
  </si>
  <si>
    <t>Diplomados FCCS - Publicidad</t>
  </si>
  <si>
    <t>DIPLOMADOS  FACULTAD DE CIENCIAS JURIDICAS</t>
  </si>
  <si>
    <t xml:space="preserve">SEMINARIOS FACULTAD DE CIENCIAS EMPRESARIALES  </t>
  </si>
  <si>
    <t>Seminario FCCE - Ponentes</t>
  </si>
  <si>
    <t xml:space="preserve">Seminario FCCE - Insumos Diplomados </t>
  </si>
  <si>
    <t xml:space="preserve">Seminario FCCE - Pago licencias HBR </t>
  </si>
  <si>
    <t>Seminario FCCE - Pago de Licencias Innovanet</t>
  </si>
  <si>
    <t>Seminario FCCE - Insumos Seminarios y refrigerios (Canvas)</t>
  </si>
  <si>
    <t>SEMINARIOS FACULTAD DE INFORMATICA Y CC APLICADAS</t>
  </si>
  <si>
    <t>Seminario FICA - Ponentes</t>
  </si>
  <si>
    <t>Seminario FICA - Insumos Seminarios y refrigerios</t>
  </si>
  <si>
    <t>SEMINARIOS FACULTAD DE CIENCIAS SOCIALES</t>
  </si>
  <si>
    <t>Seminario FCCS - Ponentes</t>
  </si>
  <si>
    <t>Seminario FCCS - Insumos Seminarios y refrigerios</t>
  </si>
  <si>
    <t>Seminario FCCS - Publicidad</t>
  </si>
  <si>
    <t>SEMINARIOS FACULTAD DE CIENCIAS JURIDICAS</t>
  </si>
  <si>
    <t>CAPACITACIÓN AL PERSONAL</t>
  </si>
  <si>
    <t>22</t>
  </si>
  <si>
    <t xml:space="preserve">CAPACITACION  FACULTADES </t>
  </si>
  <si>
    <t>FCCE - Modelo de formación de competencias, Nivel 2</t>
  </si>
  <si>
    <t>FCCE - Metodología de investigación para las ciencias Económmicas</t>
  </si>
  <si>
    <t>FCCE - Eiqueta, protocolo e imagen profesional</t>
  </si>
  <si>
    <t>FCCE - Power BI e Inteligencia de negocios</t>
  </si>
  <si>
    <t>FCCE - Excel intermedio y avanzado</t>
  </si>
  <si>
    <t>FCCE - Seminarios y congresos externos</t>
  </si>
  <si>
    <t>FCCE - Movilidad internacional</t>
  </si>
  <si>
    <t>FICA - Maestría Lic. Henry  Cerritos</t>
  </si>
  <si>
    <t>FICA - Uso de herramientas de Inteligencia Artificial y aprendizaje automático</t>
  </si>
  <si>
    <t>FICA - Aplicaciones prácticas de la Inteligencia Artificial en la Ingeniería</t>
  </si>
  <si>
    <t>FICA - Prevención de amenazas y ataques cibernéticos</t>
  </si>
  <si>
    <t>FICA - Maestría en Entornos Virtuales de Aprendizaje. Licda. María José Callejas</t>
  </si>
  <si>
    <t>FICA - Maestría en Gestión del Curriculum, Didactiva y Evaluación. Licda. Cecilia Méndez de Romero</t>
  </si>
  <si>
    <t>FCCS - Ingeniera industrial Dr Ruben A. Funez $ 56.00</t>
  </si>
  <si>
    <t>FCCS - Doctorado en Educaión, Lic. Aldo Maldonado</t>
  </si>
  <si>
    <t>FCCS - Maestría Beatríaz Martínez</t>
  </si>
  <si>
    <t>FCCS - Capacitaciones varias</t>
  </si>
  <si>
    <t xml:space="preserve">FCCS - Participación en Congreso Internacional de Psicología </t>
  </si>
  <si>
    <t>FCCS - Diplomado en Test Psicológicos en área clínica</t>
  </si>
  <si>
    <t>FCCS - Seminario de Autocuiodo y Arteterapia</t>
  </si>
  <si>
    <t>FCCJ - Otras capacitaciones Escuela de Derecho</t>
  </si>
  <si>
    <t>FACULTAD DE MAESTRIAS</t>
  </si>
  <si>
    <t>MAE - Capacitaciones personal de Maestrías</t>
  </si>
  <si>
    <t>MAE - Maestría: Adriana Baires</t>
  </si>
  <si>
    <t>OTRAS CAPACITACIONES ACADEMICAS</t>
  </si>
  <si>
    <t>OTRAS CAPACITACIONES PARA ACADÉMICOS</t>
  </si>
  <si>
    <t>Otras capacitaciones</t>
  </si>
  <si>
    <t>Desarrollo Individual (solicitud de Ing. Zarate) Formación se maestsris para fortalcer…</t>
  </si>
  <si>
    <t>DIRECCION EDUCACION VIRTUAL</t>
  </si>
  <si>
    <t>Capacitaciones varias-EDUTEC</t>
  </si>
  <si>
    <t>Maestría en Administración  de Negocios. David Segura</t>
  </si>
  <si>
    <t>TALLER PRINCIPIOS Y VALORES (docentes)</t>
  </si>
  <si>
    <t>Principios y valores (REFRIGERIOS)</t>
  </si>
  <si>
    <t>VR INVESTIGACION Y PROY SOCIAL</t>
  </si>
  <si>
    <t>Capacitaciones varias- Vr. Investigaciones y Proyección Social</t>
  </si>
  <si>
    <t>DOCTORADOS UNIVERSIDAD DE ALICANTE</t>
  </si>
  <si>
    <t>Cohorte No. 2 (10 participantes) año 1</t>
  </si>
  <si>
    <t xml:space="preserve">NUEVO INGRESO </t>
  </si>
  <si>
    <t>Capacitaciones varias- Nuevo Ingresos</t>
  </si>
  <si>
    <t>Maestría en Gestión Estratégica de Marketing . Lic. Giovanni Mejía Martínez</t>
  </si>
  <si>
    <t>ADMINISTRACION ACADEMICA</t>
  </si>
  <si>
    <t>Capacitaciones varias- Admon Académica</t>
  </si>
  <si>
    <t>BIBLIOTECA</t>
  </si>
  <si>
    <t>Capacitaciones varias- Biblioteca</t>
  </si>
  <si>
    <t>DECANATO DE ESTUDIANTES</t>
  </si>
  <si>
    <t>Capacitaciones varias- Decanato de estudiantes</t>
  </si>
  <si>
    <t>CAPACITACIONES ADMINISTRATIVAS</t>
  </si>
  <si>
    <t xml:space="preserve">CONTABILIDAD </t>
  </si>
  <si>
    <t>Capacitaciones Varias- Contabilidad</t>
  </si>
  <si>
    <t>PRESIDENCIA   y PJGU</t>
  </si>
  <si>
    <t>Capacitaciones varias- presidencia</t>
  </si>
  <si>
    <t>TALLER PRINCIPIOS Y VALORES (administrativos)</t>
  </si>
  <si>
    <t>Taller de principios y valores  REFRIGERIOS</t>
  </si>
  <si>
    <t>GERENCIA DE CUMPLIMIENTO</t>
  </si>
  <si>
    <t>Capacitaciones varias- Gerencia de Cumplimiento</t>
  </si>
  <si>
    <t>RECURSOS HUMANOS</t>
  </si>
  <si>
    <t>Jackeline Cárcamo, proceso de Preespecialización</t>
  </si>
  <si>
    <t>Norma Díaz, proceso de Maestría</t>
  </si>
  <si>
    <t>Maestría en Gestión de Recursos Humanos. Lic. Héctor Duque</t>
  </si>
  <si>
    <t>Maestría en Gestión de Recursos Humanos. Xiomara Sosa</t>
  </si>
  <si>
    <t>Seguridad y Salud Ocupacional</t>
  </si>
  <si>
    <t>Capacitaciones varias</t>
  </si>
  <si>
    <t>DIRECCION COMUNICACIÓN INSTITUCIONAL</t>
  </si>
  <si>
    <t>DIRECCION RELACIONES INTERNACIONALES</t>
  </si>
  <si>
    <t>OTRAS CAPACITACIONES ADMINISTRATIVAS</t>
  </si>
  <si>
    <t>CAPACITACIONES TALLER PRINCIPIOS Y VALORES (DR.MALUMBRES)</t>
  </si>
  <si>
    <t>GASTOS DE VIAJE</t>
  </si>
  <si>
    <t>23</t>
  </si>
  <si>
    <t>COMBUSTIBLE ADMINISTRATIVOS</t>
  </si>
  <si>
    <t>Servicio combustible</t>
  </si>
  <si>
    <t xml:space="preserve">Mensajero $ 180.00 </t>
  </si>
  <si>
    <t>BOLETOS Y VIATICOS A EJECUTIVOS</t>
  </si>
  <si>
    <t xml:space="preserve"> Boletos y viaticos personal académico </t>
  </si>
  <si>
    <t>OTROS VIATICOS AL PERSONAL</t>
  </si>
  <si>
    <t>NUEVO INGRESO</t>
  </si>
  <si>
    <t>24</t>
  </si>
  <si>
    <t>INSUMOS DE OFICINA Y PAPELERÍA</t>
  </si>
  <si>
    <t>Guías de nuevo ingreso</t>
  </si>
  <si>
    <t>Alumno promotor  $ 20.00</t>
  </si>
  <si>
    <t>Viaticos y atenciones a Personal proceso inscripción</t>
  </si>
  <si>
    <t>Reconocimientos por logro de metas</t>
  </si>
  <si>
    <t>Fotocopiadoras totales  $ 2,900.00 x 12</t>
  </si>
  <si>
    <t>Papelería y  Utiles de escritorio</t>
  </si>
  <si>
    <t>Actualización de equipo de nuevo ingreso</t>
  </si>
  <si>
    <t>MERCADEO DIGITAL</t>
  </si>
  <si>
    <t>PUBLICIDAD EN PERÍODICOS DIGITALES- SOCIAL MEDIA DAY</t>
  </si>
  <si>
    <t>PUBLICIDAD EN FACEBOOK</t>
  </si>
  <si>
    <t>PUBLICIDAD EN TWITTER</t>
  </si>
  <si>
    <t>PUBLICIDAD EN GOOGLE</t>
  </si>
  <si>
    <t>PUBLICIDAD EN LINKEDIN</t>
  </si>
  <si>
    <t xml:space="preserve">SUSCRIPCIÓN MAIL CHIMP </t>
  </si>
  <si>
    <t>LICENCIAS FEEPICK</t>
  </si>
  <si>
    <t xml:space="preserve">CONSUMOS MOVIL </t>
  </si>
  <si>
    <t>MERCADEO PROMOCIONAL Y BTL</t>
  </si>
  <si>
    <t>PROMOCIÓN CARRERAS VIRTUALES Y CON ÉNFASIS</t>
  </si>
  <si>
    <t>Patrocinio Programa La Tribu</t>
  </si>
  <si>
    <t>(Promocionales / Vales combustible/Diplomados)</t>
  </si>
  <si>
    <t>PUBLICIDAD EN EXTERIORES</t>
  </si>
  <si>
    <t>Pantallas digitales y en centros comerciales</t>
  </si>
  <si>
    <t xml:space="preserve">Muppies en vía pública- Lonas </t>
  </si>
  <si>
    <t>PROMOCIONALES</t>
  </si>
  <si>
    <t>Camisas promocionales</t>
  </si>
  <si>
    <t>Bolígrafos</t>
  </si>
  <si>
    <t>Squezze</t>
  </si>
  <si>
    <t>Otros promocionales(Gorras, tazas, bolsas, plumas)</t>
  </si>
  <si>
    <t>RED DE EMPRESAS</t>
  </si>
  <si>
    <t xml:space="preserve">Membresía ALTHES </t>
  </si>
  <si>
    <t>Eventos empresas/patrocinios</t>
  </si>
  <si>
    <t>RED DE COLEGIOS NUEVO INGRESO</t>
  </si>
  <si>
    <t>DESAYUNOS  Y EVENTOS DIRECTORES EDUC. MEDIA</t>
  </si>
  <si>
    <t xml:space="preserve">Red de colegios -Desayunos  Red Utec </t>
  </si>
  <si>
    <t>Red de colegios -Eventos Especiales a directores</t>
  </si>
  <si>
    <t>Red de colegios -Patrocinios Educación media</t>
  </si>
  <si>
    <t>Red de colegios -Promocionales para directores</t>
  </si>
  <si>
    <t>CAPACITACIÓN DOCENTES EDUCACIÓN MEDIA</t>
  </si>
  <si>
    <t>Red de colegios -Capacitaciones a docentes entornos virtuales</t>
  </si>
  <si>
    <t>Red de colegios -Capacitaciones a docentes de la red</t>
  </si>
  <si>
    <t>Red de colegios -Refrigerios</t>
  </si>
  <si>
    <t>Red de colegios -Diplomas y cartapacios para certificados</t>
  </si>
  <si>
    <t>TOUR UTEC</t>
  </si>
  <si>
    <t>Red de colegios -Personal 3  Giovanni, Sergio, Elber</t>
  </si>
  <si>
    <t>Red de colegios -Transportes</t>
  </si>
  <si>
    <t>Red de colegios -Suscripción anual ZOOM y  Webbinar</t>
  </si>
  <si>
    <t>Red de colegios -Participación en ferias: Counter, Viáticos y hospedaje Ferias</t>
  </si>
  <si>
    <t xml:space="preserve">SERVICIO METROCENTRO </t>
  </si>
  <si>
    <t>Metrocentro - Sueldos personal permamente y eventual</t>
  </si>
  <si>
    <t xml:space="preserve">Metrocentro - Alquiler de Local $ 3108*12 </t>
  </si>
  <si>
    <t>Metrocentro - Mantenimiento de local $ 436.23</t>
  </si>
  <si>
    <t>Metrocentro - Mantenimiento equipos $ 19.* 12</t>
  </si>
  <si>
    <t>Metrocentro - Mantenimiento limpieza fumigaciones</t>
  </si>
  <si>
    <t>Metrocentro - Servicio Internet $ 203.*12</t>
  </si>
  <si>
    <t>Metrocentro - Servicio telefónico $ 25 X 12</t>
  </si>
  <si>
    <t>Metrocentro - Servicio Energia Eléctrica  $ 300 X 12</t>
  </si>
  <si>
    <t>Metrocentro - Parqueo vehículos del personal $ 40</t>
  </si>
  <si>
    <t>Metrocentro - Útiles de Escritorio y otros</t>
  </si>
  <si>
    <t>Metrocentro - Aromatización $ 55.00 * 12</t>
  </si>
  <si>
    <t>CENTRO DE SOLUCIONES</t>
  </si>
  <si>
    <t>Centro de soluciones - Sueldos del personal fijo y eventuales</t>
  </si>
  <si>
    <t>Centro de soluciones - Servicio telefónico Telefonica $ 419 x 12</t>
  </si>
  <si>
    <t>Centro de soluciones - Servicio telefono móvil $ 35 x 12</t>
  </si>
  <si>
    <t>Centro de soluciones - Arrendamiento telefonos Dada Dada $ 814 x 12</t>
  </si>
  <si>
    <t>SERVICIO PLAZA MUNDO</t>
  </si>
  <si>
    <t>Plaza Mundo - Sueldos fijos y eventual</t>
  </si>
  <si>
    <t>Plaza Mundo - Renta de local $ 2,917.85 DEICE</t>
  </si>
  <si>
    <t>Plaza Mundo - Seguridad CAM $ 385 X 12</t>
  </si>
  <si>
    <t>Plaza Mundo - Energia electrica $ 200 X 12</t>
  </si>
  <si>
    <t>Plaza Mundo - Servicio de agua $ 10.00</t>
  </si>
  <si>
    <t>Plaza Mundo - Servicio telefónico  $ 20 X 12</t>
  </si>
  <si>
    <t>Plaza Mundo - Imptos municipales $ 14 X 12</t>
  </si>
  <si>
    <t>Plaza Mundo - Servicio internet $ 203 x 12</t>
  </si>
  <si>
    <t>Plaza Mundo - Mtto aire acondicionado  $ 35.00</t>
  </si>
  <si>
    <t>Plaza Mundo - Aromatización $ 55.00 * 12</t>
  </si>
  <si>
    <t>Plaza Mundo - Fumigación</t>
  </si>
  <si>
    <t xml:space="preserve">Plaza Mundo - Insumos de oficina- agua cristal $ 44.00 </t>
  </si>
  <si>
    <t>Plaza Mundo - Promoción centro de atención</t>
  </si>
  <si>
    <t>25</t>
  </si>
  <si>
    <t>IMPRESIONES</t>
  </si>
  <si>
    <t>MEMBRESIAS</t>
  </si>
  <si>
    <t xml:space="preserve">PAPELERIA Y UTILES </t>
  </si>
  <si>
    <t>UNIDAD DE TUTORES</t>
  </si>
  <si>
    <t>UNIDAD DE TUTORES- SUELDOS Y SALARIOS</t>
  </si>
  <si>
    <t>UNIDAD DE TUTORES- BIENVENIDA A ESTUDIANTES DE NUEVO INGRESO</t>
  </si>
  <si>
    <t>UNIDAD DE TUTORES- CONGRESO DE TUTORES E INSTRUCTORES</t>
  </si>
  <si>
    <t>PASANTIAS</t>
  </si>
  <si>
    <t>PASANTIAS- SUELDOS Y SALARIOS</t>
  </si>
  <si>
    <t>PASANTIAS- REUNIONES CON COORDINADORES</t>
  </si>
  <si>
    <t>UNIDAD DE SERVICIO SOCIAL</t>
  </si>
  <si>
    <t>U. SERVICIO SOCIAL - SUELDOS Y SALARIOS</t>
  </si>
  <si>
    <t>U. SERVICIO SOCIAL - BROCHURES, ROTULOS Y BANNER</t>
  </si>
  <si>
    <t>U. SERVICIO SOCIAL - ACTIVIDADES DE DIFUSIÓN</t>
  </si>
  <si>
    <t>UNIDAD DE DEPORTES  Y RECREACION</t>
  </si>
  <si>
    <t xml:space="preserve">U. recreación y deportes - Sueldo Encargado Unidad $ 750.00 </t>
  </si>
  <si>
    <t>U. recreación y deportes - Colaborador $ 500</t>
  </si>
  <si>
    <t>U. recreación y deportes - Entrenadores Morataya $ 450, Panameño $ 600. - SON $ 500 + 600.00</t>
  </si>
  <si>
    <t>U. recreación y deportes - Uniformes Deportivos</t>
  </si>
  <si>
    <t>U. recreación y deportes - Implementos deportivos</t>
  </si>
  <si>
    <t>U. recreación y deportes - Trofeos y premiaciones</t>
  </si>
  <si>
    <t>U. recreación y deportes - Inscripciones de torneos universitarios</t>
  </si>
  <si>
    <t>U. recreación y deportes - Arbitrajes</t>
  </si>
  <si>
    <t>U. recreación y deportes - Alquiler de cancha futbol 11</t>
  </si>
  <si>
    <t>U. recreación y deportes - Servicio de agua cristal</t>
  </si>
  <si>
    <t>EVENTOS ACADEMICOS, CULTURALES  E INSTITUCIONALES</t>
  </si>
  <si>
    <t>26</t>
  </si>
  <si>
    <t xml:space="preserve">EVENTOS INSTITUCIONALES  </t>
  </si>
  <si>
    <t xml:space="preserve">SESIONES Y CONFERENCIAS  </t>
  </si>
  <si>
    <t>COMITES EJECUTIVOS</t>
  </si>
  <si>
    <t>DIETAS</t>
  </si>
  <si>
    <t>REUNIONES RECTORIA</t>
  </si>
  <si>
    <t>DIRECCIÓN CORPORATIVA</t>
  </si>
  <si>
    <t>ATENCION FLORAL  Y ESQUELAS POR DEFUNSIONES</t>
  </si>
  <si>
    <t>EVENTOS DE PROYECCION</t>
  </si>
  <si>
    <t xml:space="preserve">GASTOS DE REPRESENTACION </t>
  </si>
  <si>
    <t>EVENTOS ADMINISTRATIVOS</t>
  </si>
  <si>
    <t>Eventos administrativos -Día de la secretaria</t>
  </si>
  <si>
    <t>Eventos administrativos -Socializando clima laboral</t>
  </si>
  <si>
    <t xml:space="preserve">Eventos administrativos -Festejo navideño a hijos de empleados </t>
  </si>
  <si>
    <t>Eventos administrativos -Saludo Navideño</t>
  </si>
  <si>
    <t>ANIVERSARIO UTEC</t>
  </si>
  <si>
    <t>s</t>
  </si>
  <si>
    <t xml:space="preserve">EVENTOS ACADEMICOS </t>
  </si>
  <si>
    <t xml:space="preserve">CONGRESO DOCENTES </t>
  </si>
  <si>
    <t>CELEBRACION DIA DEL MAESTRO</t>
  </si>
  <si>
    <t>celebracion dia del maestro- Hotel Cena</t>
  </si>
  <si>
    <t>celebracion dia del maestro- Bebida</t>
  </si>
  <si>
    <t>celebracion dia del maestro- Regalos, rifas y canastas</t>
  </si>
  <si>
    <t>celebracion dia del maestro- Musica</t>
  </si>
  <si>
    <t>celebracion dia del maestro- Decoracion floral</t>
  </si>
  <si>
    <t>celebracion dia del maestro- Papelería</t>
  </si>
  <si>
    <t>celebracion dia del maestro- Bocas para evento</t>
  </si>
  <si>
    <t>celebracion dia del maestro- Viaticos personal organizador</t>
  </si>
  <si>
    <t>celebracion dia del maestro- Reconocimientos a docentes distinguidos</t>
  </si>
  <si>
    <t xml:space="preserve">REUNIONES CON DOCENTES  </t>
  </si>
  <si>
    <t>reuniones con docentes  - FACE</t>
  </si>
  <si>
    <t>reuniones con docentes  - FICA</t>
  </si>
  <si>
    <t>reuniones con docentes  - FCCS</t>
  </si>
  <si>
    <t>reuniones con docentes  - FCCJ</t>
  </si>
  <si>
    <t>VINCULACIÓN PADRES DE FAMILIA</t>
  </si>
  <si>
    <t>Vinculación padres de familia  - FACE</t>
  </si>
  <si>
    <t>Vinculación padres de familia  - FICA</t>
  </si>
  <si>
    <t>Vinculación padres de familia  - FCCS</t>
  </si>
  <si>
    <t>Vinculación padres de familia  - FCCJ</t>
  </si>
  <si>
    <t>REUNIÓN COMITÉ ESTUDIANTIL</t>
  </si>
  <si>
    <t>Reunión Comité Estudiantil- FACE</t>
  </si>
  <si>
    <t>Reunión Comité Estudiantil- FICA</t>
  </si>
  <si>
    <t>Reunión Comité Estudiantil- FCCS</t>
  </si>
  <si>
    <t>Reunión Comité Estudiantil- FCCJ</t>
  </si>
  <si>
    <t>EVENTOS ACADÉMICOS DE LAS ESCUELAS</t>
  </si>
  <si>
    <t>Diseño gráfico, dia del internet, Rally de innovación FICA</t>
  </si>
  <si>
    <t>Otros eventos de FICA</t>
  </si>
  <si>
    <t>Portafolio Diseño Gráfico 2024 ( 2 eventos )</t>
  </si>
  <si>
    <t>CONGRESO INTERNACIONAL</t>
  </si>
  <si>
    <t>Congreso Internacional- FACE</t>
  </si>
  <si>
    <t>Congreso Internacional- FICA</t>
  </si>
  <si>
    <t>Congreso Internacional- FCCS</t>
  </si>
  <si>
    <t>Congreso Internacional- FCCJ</t>
  </si>
  <si>
    <t>ACTIVACION RELACIONES EXTERNAS</t>
  </si>
  <si>
    <t>Activación relaciones externas- FACE</t>
  </si>
  <si>
    <t>Activación relaciones externas- FICA</t>
  </si>
  <si>
    <t>Activación relaciones externas- FCCS</t>
  </si>
  <si>
    <t>Activación relaciones externas- FCCJ</t>
  </si>
  <si>
    <t>PROGRAMA AMBIENTAL UTEC VERDE</t>
  </si>
  <si>
    <t>UTEC verde - Camisetas y gorras  identificadoras becarios UTEC VERDE</t>
  </si>
  <si>
    <t>UTEC verde - Chalecos</t>
  </si>
  <si>
    <t>UTEC verde - Adquisición de insumos operación vivero</t>
  </si>
  <si>
    <t>UTEC verde - Adecuación de instalaciones físicas Utec Verde</t>
  </si>
  <si>
    <t>UTEC verde - Recursos publicitarios para posicionamiento Utec Verde (Rollups, brochures)</t>
  </si>
  <si>
    <t>UTEC verde - Plan de Manejo de Desechos Sólidos</t>
  </si>
  <si>
    <t>UTEC verde - Celebración 15 Aniversario Utec Verde</t>
  </si>
  <si>
    <t>UTEC verde - Jornada de Conferencias Ambientales</t>
  </si>
  <si>
    <t>UTEC verde - Linea de souvenirs</t>
  </si>
  <si>
    <t>UTEC verde - Estructuras de ODS</t>
  </si>
  <si>
    <t>27</t>
  </si>
  <si>
    <t>IMPRESIONES ADMINISTRATIVAS</t>
  </si>
  <si>
    <t>INSTITUTO DE GRADUADOS</t>
  </si>
  <si>
    <t>28</t>
  </si>
  <si>
    <t xml:space="preserve"> PUBLICIDAD PROMOCIONAL  </t>
  </si>
  <si>
    <t>Pagina Web Trend $ 339*12</t>
  </si>
  <si>
    <t xml:space="preserve"> INSUMOS DE OFICINA </t>
  </si>
  <si>
    <t>Papelería, utiles y fotocopias</t>
  </si>
  <si>
    <t xml:space="preserve"> MATERIAL DIDACTICO </t>
  </si>
  <si>
    <t>Carnet graduados</t>
  </si>
  <si>
    <t xml:space="preserve"> EVENTOS </t>
  </si>
  <si>
    <t>Evento presencial a graduados</t>
  </si>
  <si>
    <t xml:space="preserve">BIBLIOTECA </t>
  </si>
  <si>
    <t>29</t>
  </si>
  <si>
    <t xml:space="preserve"> PAPELERIA Y UTILES </t>
  </si>
  <si>
    <t>Impresiones $ 1,020.00 x 12</t>
  </si>
  <si>
    <t>Papelería y utiles</t>
  </si>
  <si>
    <t>Separadores de libros</t>
  </si>
  <si>
    <t>Restauracion libros</t>
  </si>
  <si>
    <t xml:space="preserve"> MEMBRESIAS BIBLIOTECA </t>
  </si>
  <si>
    <t>EBSCO</t>
  </si>
  <si>
    <t>Base IEEE Base nueva Ebsco</t>
  </si>
  <si>
    <t>Suscripción Tirant Lo Blanch</t>
  </si>
  <si>
    <t>CBUES membresia 2024</t>
  </si>
  <si>
    <t>Reserch for life</t>
  </si>
  <si>
    <t>E-libro catedra inglés</t>
  </si>
  <si>
    <t>Herramientas trabajo lista encabezamiento</t>
  </si>
  <si>
    <t>Compra DOI para revistas</t>
  </si>
  <si>
    <t>Diario oficial</t>
  </si>
  <si>
    <t xml:space="preserve"> LIBROS </t>
  </si>
  <si>
    <t>Libros impresos</t>
  </si>
  <si>
    <t>MEMBRESIAS Y SUSCRIPCIONES</t>
  </si>
  <si>
    <t>30</t>
  </si>
  <si>
    <t>SUSCRIPCIONES Y MEMBRESIAS VARIAS</t>
  </si>
  <si>
    <t>Periodicos Nacionales</t>
  </si>
  <si>
    <t>Membresia Camara de Comercio $574.27</t>
  </si>
  <si>
    <t>Membresia Camara Americana Amcham</t>
  </si>
  <si>
    <t>Membresia Price Smart Licda Marielos L.</t>
  </si>
  <si>
    <t>Renovación servicio Pay Way</t>
  </si>
  <si>
    <t>Apdo Postal</t>
  </si>
  <si>
    <t>Codigo de barras</t>
  </si>
  <si>
    <t>Membresias Bco _Cuscatlan y America Central</t>
  </si>
  <si>
    <t>SUSCRIPCIONES Y MEMBRESIAS FICA</t>
  </si>
  <si>
    <t xml:space="preserve">Membresia Cleai Fica </t>
  </si>
  <si>
    <t>Membresia Casa.Tic</t>
  </si>
  <si>
    <t>DONACIONES</t>
  </si>
  <si>
    <t>31</t>
  </si>
  <si>
    <t>Donaciones Recurrentes</t>
  </si>
  <si>
    <t>Asociacion Padre Vito Guarato $ 114.00 x 12</t>
  </si>
  <si>
    <t>Teen Challenge</t>
  </si>
  <si>
    <t>Guardavidas Salvadoreños</t>
  </si>
  <si>
    <t>Cruz Verde Salvadoreña</t>
  </si>
  <si>
    <t>Asociacion Amor y Amistad</t>
  </si>
  <si>
    <t>Pro Arte</t>
  </si>
  <si>
    <t>Academia  Salvadoreña de la Lengua</t>
  </si>
  <si>
    <t>Academia  Salvadoreña de Historia</t>
  </si>
  <si>
    <t>Otras no detalladas</t>
  </si>
  <si>
    <t>RELACIONES INTERNACIONALES</t>
  </si>
  <si>
    <t>32</t>
  </si>
  <si>
    <t>Insumos de oficina</t>
  </si>
  <si>
    <t>Impresiones $500.0</t>
  </si>
  <si>
    <t>Papeleria y Utiles</t>
  </si>
  <si>
    <t>Herramienta Dropbok</t>
  </si>
  <si>
    <t>Membresía a Redes internacionales</t>
  </si>
  <si>
    <t>INCA</t>
  </si>
  <si>
    <t>RLCU $ 3,100 mas impuestos</t>
  </si>
  <si>
    <t>Producción de materiales para negociación digital e impresos</t>
  </si>
  <si>
    <t>Brochure internacional Utec</t>
  </si>
  <si>
    <t>Promocionales para visitas</t>
  </si>
  <si>
    <t>Correo internacional (DHL)</t>
  </si>
  <si>
    <t xml:space="preserve">Inversión Equipo </t>
  </si>
  <si>
    <t>1 Impresor tinta multifuncional</t>
  </si>
  <si>
    <t>Programa Becas</t>
  </si>
  <si>
    <t>Programa de redes internacionales</t>
  </si>
  <si>
    <t>Programa Amity</t>
  </si>
  <si>
    <t>Programa ELAP</t>
  </si>
  <si>
    <t>Atenciones a visitantes internacionales</t>
  </si>
  <si>
    <t>Proyecto Portugues-Español con Universidad de Pernambuco, Brasil</t>
  </si>
  <si>
    <t>Proyecto DAAD de intercambios interculturales</t>
  </si>
  <si>
    <t>Proyecto revisión curricularr profesor visitante USA por FICA</t>
  </si>
  <si>
    <t xml:space="preserve">Eventos internacionales  </t>
  </si>
  <si>
    <t>Proyectos Erasmus+</t>
  </si>
  <si>
    <t>Proyecto Catedra de Genero Meridian EU</t>
  </si>
  <si>
    <t>Asamblea RLCU</t>
  </si>
  <si>
    <t>Asamblea general Red Inca</t>
  </si>
  <si>
    <t>Ferias de movilidades: mueble de demonstración y banners</t>
  </si>
  <si>
    <t>Sesión de orientación y reunión de becarios con autoridades UTEC</t>
  </si>
  <si>
    <t>Cursos DAAD de especializacón para docentes</t>
  </si>
  <si>
    <t>Encuentro de Ex becarios, conversatorios, charlas, becas y más</t>
  </si>
  <si>
    <t xml:space="preserve">PROVEEDORES </t>
  </si>
  <si>
    <t>33</t>
  </si>
  <si>
    <t>OTROS</t>
  </si>
  <si>
    <t>OTROS PROVEEDORES</t>
  </si>
  <si>
    <t>INVERSIONES DIDACTICAS</t>
  </si>
  <si>
    <t>FONDOS AJENOS</t>
  </si>
  <si>
    <t>A</t>
  </si>
  <si>
    <t>34</t>
  </si>
  <si>
    <t>INGLES PARA UN FUTURO MEJOR</t>
  </si>
  <si>
    <t>DOCUMENTO</t>
  </si>
  <si>
    <t>FECHA</t>
  </si>
  <si>
    <t>PROVEEDOR</t>
  </si>
  <si>
    <t>DESCRIPCIÓN DE APLICACIÓN</t>
  </si>
  <si>
    <t>PARTIDA</t>
  </si>
  <si>
    <t>CUENTA</t>
  </si>
  <si>
    <t>MES</t>
  </si>
  <si>
    <t>APLICACIÓN</t>
  </si>
  <si>
    <t>RUBRO</t>
  </si>
  <si>
    <t>DESCRIPCION CUENTA</t>
  </si>
  <si>
    <t>PRESUPUESTO</t>
  </si>
  <si>
    <t xml:space="preserve">MONTO DISPONIBLE </t>
  </si>
  <si>
    <t>MONTO SOLICITADO</t>
  </si>
  <si>
    <t>RETENCION IVA</t>
  </si>
  <si>
    <t>RETENCION ISR</t>
  </si>
  <si>
    <t>VALOR DE CHEQUE</t>
  </si>
  <si>
    <t>USUARIO</t>
  </si>
  <si>
    <t>OBSERVACIÓN</t>
  </si>
  <si>
    <t>CHEQUE</t>
  </si>
  <si>
    <t>Descripción presupuestal</t>
  </si>
  <si>
    <t>LUIS FEDERICO HERNANDEZ AGUILAR</t>
  </si>
  <si>
    <t>INVESTIGACION Y REDACCION DE LIBRO CUOTA 5/8</t>
  </si>
  <si>
    <t>E-01-05-11-00</t>
  </si>
  <si>
    <t>FEMS</t>
  </si>
  <si>
    <t xml:space="preserve">TK ELEVADORES CENTROAMERICA SA </t>
  </si>
  <si>
    <t>MANTENIMIENTO ASENSORES DIC 2023</t>
  </si>
  <si>
    <t>E-13-05-03-00</t>
  </si>
  <si>
    <t>ALMACENES VIDRI SA DE CV</t>
  </si>
  <si>
    <t>MESAS PARA USO DIVERSOS</t>
  </si>
  <si>
    <t>E-08-01-05-00</t>
  </si>
  <si>
    <t>MATERIALES MANTENIMIENTO DE OFICINAS</t>
  </si>
  <si>
    <t>E-19-01-02-01</t>
  </si>
  <si>
    <t>RICARDO MAURICIO MENESES ORELLANA</t>
  </si>
  <si>
    <t>COMBUSTIBLE</t>
  </si>
  <si>
    <t>E-19-02-01-02</t>
  </si>
  <si>
    <t>M&amp;P INVESTEMET SA DE CV</t>
  </si>
  <si>
    <t>SERVICIOS PROFESIONALES DIC 2023</t>
  </si>
  <si>
    <t>E-01-05-07-00</t>
  </si>
  <si>
    <t>CUOTA EXTRA HONORARIO SISTEMA DE PREVENCION DE LA LEY DE LAVADO DE DINERO</t>
  </si>
  <si>
    <t>ACADEMIA SALVADOREÑA DE LA LENGUA</t>
  </si>
  <si>
    <t>E-31-01-07-00</t>
  </si>
  <si>
    <t>ASOCIACION PADRE VITO GUARATO</t>
  </si>
  <si>
    <t>DONACION NOVIEMBRE Y DICIEMBRE 2023</t>
  </si>
  <si>
    <t>E-31-01-01-00</t>
  </si>
  <si>
    <t>MARIA DOLORES ESCOBAR LOPEZ</t>
  </si>
  <si>
    <t>REFRIGERIO</t>
  </si>
  <si>
    <t>I-04-01-01-00</t>
  </si>
  <si>
    <t>I-04-01-03-00</t>
  </si>
  <si>
    <t>STB COMPUTER SA DE CV</t>
  </si>
  <si>
    <t>FACULTA DE INFORMATICA</t>
  </si>
  <si>
    <t>E-12-01-03-02</t>
  </si>
  <si>
    <t>ALQUILER DE PANTALLAS Y SONIDO</t>
  </si>
  <si>
    <t>E-18-04-08-00</t>
  </si>
  <si>
    <t>LA CONSTANCIA LTDA</t>
  </si>
  <si>
    <t>CONSUMO AGUA CRISTAL</t>
  </si>
  <si>
    <t>E-09-01-04-00</t>
  </si>
  <si>
    <t>E-13-04-00-00</t>
  </si>
  <si>
    <t>E-12-01-05-02</t>
  </si>
  <si>
    <t>E-25-05-10-00</t>
  </si>
  <si>
    <t>ANDREA ELISA DE LARIOS</t>
  </si>
  <si>
    <t>LICENCIA BUFFER</t>
  </si>
  <si>
    <t>E-18-01-00-00</t>
  </si>
  <si>
    <t>PERSONAL DE PRESIDENCIA</t>
  </si>
  <si>
    <t>E-23-02-00-00</t>
  </si>
  <si>
    <t>PERSONAL ADMINISTRATIVO /PRESIDENCIA</t>
  </si>
  <si>
    <t>E-23-04-00-00</t>
  </si>
  <si>
    <t>COMITÉ EJECUTIVO</t>
  </si>
  <si>
    <t>E-26-01-01-02</t>
  </si>
  <si>
    <t>FREUND SA DE CV</t>
  </si>
  <si>
    <t xml:space="preserve">REMODELACIONES VARIAS FUERA DE PRESUPUESTOS </t>
  </si>
  <si>
    <t>E-19-01-04-04</t>
  </si>
  <si>
    <t>GRUPO INVERSIONES SA DE CV</t>
  </si>
  <si>
    <t>BOLETO VIAJE ASAMBLEA RLCU</t>
  </si>
  <si>
    <t>E-22-03-08-01</t>
  </si>
  <si>
    <t>ASAMBLEA RLCU OCT 2023</t>
  </si>
  <si>
    <t>E-32-06-03-00</t>
  </si>
  <si>
    <t>DIGICEL SA DE CV</t>
  </si>
  <si>
    <t>INTERNET   ALUMNOS Y DOCENTES</t>
  </si>
  <si>
    <t>E-07-01-01-03</t>
  </si>
  <si>
    <t>AL COMPANY SA DE CV</t>
  </si>
  <si>
    <t>MANTENIMIENTO DE AIRE ACONDICIONADO</t>
  </si>
  <si>
    <t>E-13-05-01-00</t>
  </si>
  <si>
    <t>JORGE ALBERTO CHAVEZ DURAN</t>
  </si>
  <si>
    <t>VACACIONES Y AGUINALDOS</t>
  </si>
  <si>
    <t>E-04-02-00-00</t>
  </si>
  <si>
    <t>LIQUIDACION Y RENUNCIAS VOLUNTARIAS</t>
  </si>
  <si>
    <t>ASOCIACION CENTRO CULTURAL SALVADOREÑO</t>
  </si>
  <si>
    <t>EXAMEN TOELF ASOC. CULTURAL SALVADOREÑO</t>
  </si>
  <si>
    <t>E-16-07-00-00</t>
  </si>
  <si>
    <t>DATASAFE EL SALVADOR SA DE CV</t>
  </si>
  <si>
    <t>RENTA BODEGA EXTERNA ADMON ACADEMICA</t>
  </si>
  <si>
    <t>E-15-09-00-00</t>
  </si>
  <si>
    <t>AMERICA INTERACTIVA SA DE CV</t>
  </si>
  <si>
    <t>PERIODICOS DIGITALES</t>
  </si>
  <si>
    <t>E-24-03-05-00</t>
  </si>
  <si>
    <t>CALLEJA SA DE CV</t>
  </si>
  <si>
    <t>COMPLEMENTO RENTA NOVIEMBRE 2023</t>
  </si>
  <si>
    <t>E-15-04-00-00</t>
  </si>
  <si>
    <t>COMPLEMENTO RENTA DICIEMBRE 2023</t>
  </si>
  <si>
    <t>RUFINO GARAY AYALA</t>
  </si>
  <si>
    <t>GASTOS DE REPRESENTACION 2D SEMESTRE 2023</t>
  </si>
  <si>
    <t>E-26-01-02-01</t>
  </si>
  <si>
    <t>CAESS SA DE CV</t>
  </si>
  <si>
    <t>ENERGIA ELECTRICA</t>
  </si>
  <si>
    <t>E-10-01-00-00</t>
  </si>
  <si>
    <t>E-10-02-00-00</t>
  </si>
  <si>
    <t>ANDA</t>
  </si>
  <si>
    <t>E-10-04-00-00</t>
  </si>
  <si>
    <t>COESAR SA DE CV</t>
  </si>
  <si>
    <t>ENERGIA NOVIEMBRE</t>
  </si>
  <si>
    <t>E-24-07-04-00</t>
  </si>
  <si>
    <t>INVERSIONES DIDACTICA, SA DE CV</t>
  </si>
  <si>
    <t>LEASING PC</t>
  </si>
  <si>
    <t>E-07-02-01-00</t>
  </si>
  <si>
    <t>LEASING LAPTOP</t>
  </si>
  <si>
    <t>LEASING CAÑONES</t>
  </si>
  <si>
    <t>LEASING PERIFERICOS</t>
  </si>
  <si>
    <t>LEASING</t>
  </si>
  <si>
    <t>E-13-08-00-00</t>
  </si>
  <si>
    <t>ABONO A DEUDA 2020</t>
  </si>
  <si>
    <t>E-33-02-01-00</t>
  </si>
  <si>
    <t>SOPORTE TECNICO DIDACTICA DICIEMBRE</t>
  </si>
  <si>
    <t>E-01-05-02-00</t>
  </si>
  <si>
    <t>REGISTRO ACADEMICO Y RECUPERACION DE DESASTRES</t>
  </si>
  <si>
    <t>E-07-01-05-07</t>
  </si>
  <si>
    <t>TECNOIMPRESOS SA DE CV</t>
  </si>
  <si>
    <t>CARNET EMPLEADOS</t>
  </si>
  <si>
    <t>E-09-02-05-00</t>
  </si>
  <si>
    <t>CUROS SABATINOS HIJOS EMPLEADOS</t>
  </si>
  <si>
    <t>E-12-01-08-00</t>
  </si>
  <si>
    <t>TITULOS</t>
  </si>
  <si>
    <t>E-16-09-00-00</t>
  </si>
  <si>
    <t>PORTANOMBRES</t>
  </si>
  <si>
    <t>E-18-04-03-00</t>
  </si>
  <si>
    <t>ROTULACION</t>
  </si>
  <si>
    <t>E-18-04-01-00</t>
  </si>
  <si>
    <t>MANTENIMIENTO DE INSTALACIONES</t>
  </si>
  <si>
    <t>E-19-01-03-03</t>
  </si>
  <si>
    <t>E-24-01-05-00</t>
  </si>
  <si>
    <t>LIBROS</t>
  </si>
  <si>
    <t>E-30-01-00-00</t>
  </si>
  <si>
    <t>E-32-01-02-00</t>
  </si>
  <si>
    <t>E-10-03-00-00</t>
  </si>
  <si>
    <t>AGENCIA DE VIAJES ESCAMILLAS SA DE CV</t>
  </si>
  <si>
    <t>BECA UNIVERSIDAD DE FLORIDA/ GASTO DE BOLETO</t>
  </si>
  <si>
    <t>E-08-03-01-02</t>
  </si>
  <si>
    <t>OTROS BO DETALLADOS / INVESTIGACIONES Y REDACCION DE LIBRO</t>
  </si>
  <si>
    <t>SILVIA TAMARA POSADA POLANCO</t>
  </si>
  <si>
    <t>EDIF TOMAS JEFFESSON - ENERO 2024</t>
  </si>
  <si>
    <t>E-15-05-00-00</t>
  </si>
  <si>
    <t>PEDRO ALFONSO REGALADO</t>
  </si>
  <si>
    <t>GRACIELA HAYDEE MAGAÑO DE FORTIN</t>
  </si>
  <si>
    <t>INVERSIONES MAGAÑA DALTON SA DE CV</t>
  </si>
  <si>
    <t>NORIS ISABEL LOPEZ GUEVARA</t>
  </si>
  <si>
    <t>APARTAMENTO MARBELLA</t>
  </si>
  <si>
    <t>E-15-07-00-00</t>
  </si>
  <si>
    <t>EDITH ORBELINA DE MOLINA NEIRA</t>
  </si>
  <si>
    <t>CASA 118 ENTRE 17 AVENIDA NORTE - ENERO 2024</t>
  </si>
  <si>
    <t>SEMAES SA DE CV</t>
  </si>
  <si>
    <t>SERVICIO DE MANTENIMIENTO - ENERO 2024</t>
  </si>
  <si>
    <t>E-01-02-00-00</t>
  </si>
  <si>
    <t>ACELERA SA DE CV</t>
  </si>
  <si>
    <t>RENTA DE EQUIPO DE IMPRESIÓN ENERO 2023</t>
  </si>
  <si>
    <t>E-12-01-09-00</t>
  </si>
  <si>
    <t>HOTELES SA DE CV</t>
  </si>
  <si>
    <t>COMPLEMENTO CONGRESO DOCENTE HOTEL INTERCONTINENTAL</t>
  </si>
  <si>
    <t>E-26-02-01-00</t>
  </si>
  <si>
    <t>SALVADOR EMILIO HENRIQUEZ</t>
  </si>
  <si>
    <t>MENSAJERO - ENERO 2024</t>
  </si>
  <si>
    <t>E-23-01-02-00</t>
  </si>
  <si>
    <t>ROXANA MARITZA LANDAVERDE</t>
  </si>
  <si>
    <t>ASISTENTE PRESIDENCIA - ENERO 2024</t>
  </si>
  <si>
    <t>ASEGURADORA AGRICOLA COMERCIAL</t>
  </si>
  <si>
    <t>SEGURO DE INCENDIO</t>
  </si>
  <si>
    <t>E-20-01-00-00</t>
  </si>
  <si>
    <t>UNIVERSIDAD TECNOLOGICA DE EL SALVADOR</t>
  </si>
  <si>
    <t>GASTOS MEDICOS</t>
  </si>
  <si>
    <t>E-09-07-00-00</t>
  </si>
  <si>
    <t>CARLOS ALBERTO MENDOZA VALIENTE</t>
  </si>
  <si>
    <t>JORGE ALBERTO SANTOS CHAVEZ</t>
  </si>
  <si>
    <t>DEICE SA DE CV</t>
  </si>
  <si>
    <t xml:space="preserve">ALQUILER ENERO </t>
  </si>
  <si>
    <t>E-24-07-02-00</t>
  </si>
  <si>
    <t>PROMOCIONALES CENTRO DE ATENCION</t>
  </si>
  <si>
    <t>E-24-07-09-00</t>
  </si>
  <si>
    <t>ADMINISTRADORA INMOBILIARIA COMERCIAL SA DE CV</t>
  </si>
  <si>
    <t xml:space="preserve">CAM ENERO </t>
  </si>
  <si>
    <t>E-24-07-13-00</t>
  </si>
  <si>
    <t>SANTA EMILIA SA DE CV</t>
  </si>
  <si>
    <t>ALQUILER ENERO  FACT 41 Y 42</t>
  </si>
  <si>
    <t>E-24-05-03-00</t>
  </si>
  <si>
    <t>VIGILANCIA</t>
  </si>
  <si>
    <t>E-24-05-11-00</t>
  </si>
  <si>
    <t xml:space="preserve">SEGURO  </t>
  </si>
  <si>
    <t>E-24-05-02-00</t>
  </si>
  <si>
    <t>PUBLICIDAD</t>
  </si>
  <si>
    <t>METROCENTRO</t>
  </si>
  <si>
    <t>PARQUEO</t>
  </si>
  <si>
    <t>E-24-05-09-00</t>
  </si>
  <si>
    <t>UNIVERSIDAD DE INVESTIGACION E INNOVACION DE M</t>
  </si>
  <si>
    <t xml:space="preserve">DOCTORADO EN EDUCAION </t>
  </si>
  <si>
    <t>E-22-01-03-02</t>
  </si>
  <si>
    <t>CUENTAS POR COBRAR / CUOTA UNIVERSIDAD DE MEXICO LIC.  ALDO MALDONADO</t>
  </si>
  <si>
    <t>E-08-03-00-00</t>
  </si>
  <si>
    <t>INSTITUTE FOR THE FUTURE OF EDUCATION</t>
  </si>
  <si>
    <t>CUMBRE SOBRE IA EN LA EDUCACION</t>
  </si>
  <si>
    <t>E-22-03-01-01</t>
  </si>
  <si>
    <t>E-22-04-10-01</t>
  </si>
  <si>
    <t>MARIA GUADALUPE LOUCEL DE DUQUE</t>
  </si>
  <si>
    <t>ARREGLOS FLORALES</t>
  </si>
  <si>
    <t>E-26-01-01-06</t>
  </si>
  <si>
    <t>ASOCIACION NACIONAL DEPORTIVA DE EDUCACION SUPERIOR</t>
  </si>
  <si>
    <t>ANADES 2024</t>
  </si>
  <si>
    <t>E-25-05-07-00</t>
  </si>
  <si>
    <t>CALLEJAS SA DE CV</t>
  </si>
  <si>
    <t>ALQUILER ENERO 2024</t>
  </si>
  <si>
    <t>OSCAR EDGARDO VELASQUEZ CALDERON</t>
  </si>
  <si>
    <t>TERRENO EL VOLCAN Y OTRO ENERO 2024</t>
  </si>
  <si>
    <t>E-15-10-00-00</t>
  </si>
  <si>
    <t>ALOE SA DE CV</t>
  </si>
  <si>
    <t>ORDENANZA ENERO 2024</t>
  </si>
  <si>
    <t>E-01-01-00-00</t>
  </si>
  <si>
    <t>E-13-07-02-00</t>
  </si>
  <si>
    <t>OJOS DE AGUILA SA DE CV</t>
  </si>
  <si>
    <t>VIGILANCIA ENERO 2024</t>
  </si>
  <si>
    <t>E-01-03-00-00</t>
  </si>
  <si>
    <t>E-13-07-01-00</t>
  </si>
  <si>
    <t>MONTEALBAN SA DE CV</t>
  </si>
  <si>
    <t>MONTEALBAN - ENERO 2024</t>
  </si>
  <si>
    <t>E-11-02-00-00</t>
  </si>
  <si>
    <t>CASA 119 17 AVENIDA NORTE EX HOTEL - ENERO 2024</t>
  </si>
  <si>
    <t>E-15-01-00-00</t>
  </si>
  <si>
    <t>CASA 1045 EDIF ADOLFO ARAUJO - ENERO 2024</t>
  </si>
  <si>
    <t>AGUA POTABLE ENERO 2024</t>
  </si>
  <si>
    <t>E-24-05-08-00</t>
  </si>
  <si>
    <t>RICARDO MAURICIO MENESSES</t>
  </si>
  <si>
    <t>P-643-654 MICROBUS SUZUKI - SERVICIOS GENERALES</t>
  </si>
  <si>
    <t>E-19-02-01-01</t>
  </si>
  <si>
    <t>P-669-446 PIC UP KIA - SERVICIOS GENERALES</t>
  </si>
  <si>
    <t>P-762-271 MICROBUS CHEVROLET - SERVICIOS GENERALES</t>
  </si>
  <si>
    <t>CAMARA AMERICANA DE COMERCIO DE EL SALVADOR</t>
  </si>
  <si>
    <t xml:space="preserve">PERSONAL ACADEMICO / VR INVESTIGACIONES / CONSIDERACIONES CIERRE FISCAL </t>
  </si>
  <si>
    <t>E-33-01-01-00</t>
  </si>
  <si>
    <t>MARIO ALBERTO MIRANDA FONSECA</t>
  </si>
  <si>
    <t>GASTOS DE VIAJE / PERSONAL EJECUTIVO / COMBUSTIBLE EJECUTIVO</t>
  </si>
  <si>
    <t xml:space="preserve">ASOCIACION PADRE VITO GUARATO </t>
  </si>
  <si>
    <t>ENERO 2024</t>
  </si>
  <si>
    <t xml:space="preserve">SERVICIOS INDUSTRIALES DE AUTOMATIZACION </t>
  </si>
  <si>
    <t>MANTENIMIENTO ASENSORES LOS FUNDADORES DIC 2024</t>
  </si>
  <si>
    <t>E-19-01-02-02</t>
  </si>
  <si>
    <t>NOEL CASTRO</t>
  </si>
  <si>
    <t>PRIMERA QUINCENA ENERO 2024</t>
  </si>
  <si>
    <t>E-03-07-00-00</t>
  </si>
  <si>
    <t>TECNICOPIAS SA DE CV</t>
  </si>
  <si>
    <t>CONSUMO FOTOCOPIAS</t>
  </si>
  <si>
    <t>E-11-04-00-00</t>
  </si>
  <si>
    <t>E-12-01-04-01</t>
  </si>
  <si>
    <t>E-13-09-03-02</t>
  </si>
  <si>
    <t>E-14-01-01-00</t>
  </si>
  <si>
    <t>E-14-01-02-00</t>
  </si>
  <si>
    <t>E-14-01-03-00</t>
  </si>
  <si>
    <t>E-14-01-04-00</t>
  </si>
  <si>
    <t>E-14-01-05-00</t>
  </si>
  <si>
    <t>E-16-10-01-00</t>
  </si>
  <si>
    <t>E-21-01-01-00</t>
  </si>
  <si>
    <t>E-24-05-10-00</t>
  </si>
  <si>
    <t>E-24-07-12-00</t>
  </si>
  <si>
    <t>E-25-01-04-00</t>
  </si>
  <si>
    <t>E-27-01-00-00</t>
  </si>
  <si>
    <t>E-29-01-02-00</t>
  </si>
  <si>
    <t>E-32-01-01-00</t>
  </si>
  <si>
    <t>MARIA LILIAM AYALA DE BURGOS</t>
  </si>
  <si>
    <t>E-01-05-06-00</t>
  </si>
  <si>
    <t>RITA HERCILIA JAIME DE ARAUJO</t>
  </si>
  <si>
    <t>E-01-05-05-00</t>
  </si>
  <si>
    <t>ADOLFO JOSE ARAUJO JAIMES</t>
  </si>
  <si>
    <t>E-04-05-02-00</t>
  </si>
  <si>
    <t>ALQUILER FACTURA 43 Y 44</t>
  </si>
  <si>
    <t xml:space="preserve">MANTENIMIENTO DE AIRES ACONDICIONADO </t>
  </si>
  <si>
    <t>JOSE ARTURO LOPEZ MALUMBRE</t>
  </si>
  <si>
    <t>PONTENTE / PRINCIPIOS Y VALORES DOCENTES</t>
  </si>
  <si>
    <t>E-22-04-10-02</t>
  </si>
  <si>
    <t>VIATICOS PONENTES / PRINCIPIOS Y VALORES DOCENTES</t>
  </si>
  <si>
    <t>INVERSIONES DIDACTICA SA DE CV</t>
  </si>
  <si>
    <t>PROYECTO DOCENTE CONECTADO / REGALIA DE 168 MOCHILAS PARA LAPTOP HP</t>
  </si>
  <si>
    <t>E-08-03-02-00</t>
  </si>
  <si>
    <t>ALCALDIA MUNICIPAL DE SAN SALVADOR</t>
  </si>
  <si>
    <t>E-13-06-01-00</t>
  </si>
  <si>
    <t>E-23-01-01-00</t>
  </si>
  <si>
    <t>TELEFONICA MOVILES EL SALVADOR</t>
  </si>
  <si>
    <t>SERVICIO TELEFONICO</t>
  </si>
  <si>
    <t>E-13-06-04-00</t>
  </si>
  <si>
    <t>E-24-07-06-00</t>
  </si>
  <si>
    <t>INTERNET</t>
  </si>
  <si>
    <t>E-24-05-06-00</t>
  </si>
  <si>
    <t>E-24-06-02-00</t>
  </si>
  <si>
    <t>E-24-07-08-00</t>
  </si>
  <si>
    <t>AZUCAR</t>
  </si>
  <si>
    <t>E-27-02-00-00</t>
  </si>
  <si>
    <t>PAPEL HIGIENICO</t>
  </si>
  <si>
    <t>ESCUELA ESPECIALIZADA EN INGENIERIA ITCA FEPADE</t>
  </si>
  <si>
    <t>SUSCRIPCIONES FICA / SOPORTE ACAEMICO FICA-CISCO 203 ITCA FEPADE</t>
  </si>
  <si>
    <t>SILVIA CAROLINA SANCHEZ</t>
  </si>
  <si>
    <t>PERSONAL EVENTUAL - TESORERIA</t>
  </si>
  <si>
    <t>E-03-05-00-00</t>
  </si>
  <si>
    <t>ANA MARIA MORALES QUIJADA</t>
  </si>
  <si>
    <t>E-24-07-11-00</t>
  </si>
  <si>
    <t>CLUB CAMPESTRE CUSCATLAN</t>
  </si>
  <si>
    <t>CUOTA CLUBES</t>
  </si>
  <si>
    <t>E-09-01-02-00</t>
  </si>
  <si>
    <t>CUENTAS POR COBRAR / LIC GUADALUPE LOUCEL / CONSUMO CLUB CAMPESTRE</t>
  </si>
  <si>
    <t>CIRCULO DEPORTIVO INTERNACIONAL</t>
  </si>
  <si>
    <t xml:space="preserve">CLUB SALVADOREÑO </t>
  </si>
  <si>
    <t xml:space="preserve">ACADEMIA SALVADOREÑA DE HISTORIA </t>
  </si>
  <si>
    <t>E-31-01-08-00</t>
  </si>
  <si>
    <t>REFRIGERIOS DE DICIEMBRE PARA CAPACITACION Y DIPLOMADOS</t>
  </si>
  <si>
    <t>TRULYN SA DE CV</t>
  </si>
  <si>
    <t xml:space="preserve">FUMIGACION </t>
  </si>
  <si>
    <t>E-24-07-10-00</t>
  </si>
  <si>
    <t>LIGIA GUADALUPE MARTINEZ DE VELASQUEZ</t>
  </si>
  <si>
    <t>MANTENIMIENTO INSTALACIONES DE CAMPUS / FUMIGACION DICIEMBRE 2023</t>
  </si>
  <si>
    <t>TREND MARKETING DIGITAL SA DE CV</t>
  </si>
  <si>
    <t>DESARROLLADOR SITIOS WEB ENERO</t>
  </si>
  <si>
    <t>E-18-06-01-00</t>
  </si>
  <si>
    <t>E-28-02-01-00</t>
  </si>
  <si>
    <t>PUBLIMOVIL SA DE CV</t>
  </si>
  <si>
    <t>RENTA 5 MUPIS DIGITALES DICIEMBRE CUOTA 9/12</t>
  </si>
  <si>
    <t>MOBILE EL SALVADOR SA DE CV</t>
  </si>
  <si>
    <t>SOPORTE APP ALUMNO Y DOCENTES ENERO 2024</t>
  </si>
  <si>
    <t>E-07-01-02-00</t>
  </si>
  <si>
    <t>M&amp;P INVESTIMENT SA DE CV</t>
  </si>
  <si>
    <t xml:space="preserve">SERVICIOS PROFESIONALES LIC MEDRANO ENERO </t>
  </si>
  <si>
    <t>PUNTO EXPRESS SA DE CV</t>
  </si>
  <si>
    <t>COMISION COBRO CUOTA</t>
  </si>
  <si>
    <t>GUIDO RENE ORTIZ JACOBO</t>
  </si>
  <si>
    <t>RENTA EQUIPO DE SONIDO</t>
  </si>
  <si>
    <t>CREA PUBLICACIONES SA DE CV</t>
  </si>
  <si>
    <t>MATRICULA</t>
  </si>
  <si>
    <t>E-18-03-00-00</t>
  </si>
  <si>
    <t>CARTELERA</t>
  </si>
  <si>
    <t>ESQUELA</t>
  </si>
  <si>
    <t>LA CONSTANCIA LIMITADA  DE CV</t>
  </si>
  <si>
    <t>CONSUMO DE AGUA CRISTAL</t>
  </si>
  <si>
    <t>CARLOS REYNALDO LOPEZA GUEVARA</t>
  </si>
  <si>
    <t>E-01-05-04-00</t>
  </si>
  <si>
    <t>E-09-05-00-00</t>
  </si>
  <si>
    <t>MANTENIMIENTO AIRES ACONDICIONADOS</t>
  </si>
  <si>
    <t>PARQUEO EMPLEADOS</t>
  </si>
  <si>
    <t>DADA DADA Y CIA SA DE CV</t>
  </si>
  <si>
    <t>SERVICIO PLANTA TELEFONICA</t>
  </si>
  <si>
    <t>E-10-07-00-00</t>
  </si>
  <si>
    <t>E-13-06-05-00</t>
  </si>
  <si>
    <t>E-24-08-05-00</t>
  </si>
  <si>
    <t>DANIEL ALEJANDRO DURAN FLORES</t>
  </si>
  <si>
    <t>PUBLICIDAD / PASANTIA</t>
  </si>
  <si>
    <t>E-17-04-04-00</t>
  </si>
  <si>
    <t>EVELYN GUADALUPE ALFARO DURAN</t>
  </si>
  <si>
    <t>PASANTIA</t>
  </si>
  <si>
    <t>E-17-01-06-00</t>
  </si>
  <si>
    <t>YURI OMAR SOSO MURCIA</t>
  </si>
  <si>
    <t>ADRIANA YAMILETH RODRIGUEZ</t>
  </si>
  <si>
    <t>MARIA JOSE HERNANDEZ ARCE</t>
  </si>
  <si>
    <t>E-18-04-06-00</t>
  </si>
  <si>
    <t>CARLOS OMAR RIVAS</t>
  </si>
  <si>
    <t>PROCESO DE INSCRIPCION / TESORERIA</t>
  </si>
  <si>
    <t>CANDIDA LUZ VELASCO DE LIZAMA</t>
  </si>
  <si>
    <t>ANA YANCI ALAS LOPEZ</t>
  </si>
  <si>
    <t>EDUARDO AGUILAR ORELLANA</t>
  </si>
  <si>
    <t>JOSE EDUARDO ROBLES</t>
  </si>
  <si>
    <t>DISTRIBUIDORA DE ELECTRICIDAD DEL SUR</t>
  </si>
  <si>
    <t>E-13-06-02-00</t>
  </si>
  <si>
    <t>E-13-06-03-00</t>
  </si>
  <si>
    <t>RIGOBERTO CHINCHILLA SALAZAR</t>
  </si>
  <si>
    <t>BECAS/PROYECTO REVISION CURRICULAR MAESTRO VISITANE</t>
  </si>
  <si>
    <t>ALEJANDRO SALOMON MIRANDA MIRANDA</t>
  </si>
  <si>
    <t>ISERTEC DE EL SALVADOR SA DE CV</t>
  </si>
  <si>
    <t>PARTES / 60 BATERIAS PARA INVENTARIO</t>
  </si>
  <si>
    <t>E-07-01-03-03</t>
  </si>
  <si>
    <t>E-19-12-06-00</t>
  </si>
  <si>
    <t>PINTURA</t>
  </si>
  <si>
    <t>E-19-01-03-05</t>
  </si>
  <si>
    <t>RANCHO EL PALMARCITO</t>
  </si>
  <si>
    <t>E-19-01-04-01</t>
  </si>
  <si>
    <t>100 REVISTAS ENTORNO</t>
  </si>
  <si>
    <t>E-11-05-05-00</t>
  </si>
  <si>
    <t>CASA 116 17 AVENIDA NORTE ENERO</t>
  </si>
  <si>
    <t>E-15-03-00-00</t>
  </si>
  <si>
    <t>E-14-06-01-00</t>
  </si>
  <si>
    <t>E-14-06-02-00</t>
  </si>
  <si>
    <t>E-14-06-03-00</t>
  </si>
  <si>
    <t>E-14-06-04-00</t>
  </si>
  <si>
    <t>OTRAS PAPELERIAS</t>
  </si>
  <si>
    <t>SERVINETCOM</t>
  </si>
  <si>
    <t>CERTIFICADOS DE SEGURIDAD UTEC VIRTUAL.EDU.SV</t>
  </si>
  <si>
    <t>E-07-01-04-01</t>
  </si>
  <si>
    <t>DISTRIBUIDORA GRANADA SA DE CV</t>
  </si>
  <si>
    <t>MATERIALES</t>
  </si>
  <si>
    <t>E-19-01-01-02</t>
  </si>
  <si>
    <t>ACTIVE IT CORP SA DE CV</t>
  </si>
  <si>
    <t>ANTIVIRUS ACADEMICO - ESET NOD 32</t>
  </si>
  <si>
    <t>E-07-01-05-05</t>
  </si>
  <si>
    <t>ANTIVIRUS ADMINISTRATIVO - ESET NOD 32</t>
  </si>
  <si>
    <t>E-07-01-05-06</t>
  </si>
  <si>
    <t xml:space="preserve">OSCAR RICARDO QUINTANILLA </t>
  </si>
  <si>
    <t>50% FORMACION DE MAESTROS PARA FORTALECER / PROYECTORADO Y PRESUPUESTADO EN RRHH $2800.00</t>
  </si>
  <si>
    <t>ADRIANA MARCELA LAZO BARRIENTOS</t>
  </si>
  <si>
    <t>RETIRO DE DESECHOS SOLIDOS</t>
  </si>
  <si>
    <t>E-19-02-03-02</t>
  </si>
  <si>
    <t>JORGE ERNERTO DURON MARTINEZ</t>
  </si>
  <si>
    <t>MANTENIMIENTO PLANTA DE EMERGENCIA</t>
  </si>
  <si>
    <t>E-13-05-04-00</t>
  </si>
  <si>
    <t>PERSONAL COORDINADOR BOLETINES</t>
  </si>
  <si>
    <t>RAFAEL VEGA VASQUEZ</t>
  </si>
  <si>
    <t>50% ANTICIPO TAPIZADO PUPITRES PRE ESPECIALIDAD</t>
  </si>
  <si>
    <t>ROGELIO ADONAY ROSALES CHITA</t>
  </si>
  <si>
    <t>PONENTE TALLER LEYES TRIBUTARIAS</t>
  </si>
  <si>
    <t>E-21-02-01-00</t>
  </si>
  <si>
    <t>KAREN GISSEL MEZA VASQUEZ</t>
  </si>
  <si>
    <t>VACACIONES Y AGUINALDO</t>
  </si>
  <si>
    <t>E-04-05-07-00</t>
  </si>
  <si>
    <t>EDIFICIO THOMAS JEFFESSON - FEBRERO</t>
  </si>
  <si>
    <t>CUOTA 1/6</t>
  </si>
  <si>
    <t>E-20-04-00-00</t>
  </si>
  <si>
    <t>E-20-05-00-00</t>
  </si>
  <si>
    <t>SISA, VIDA, SA SEGUROS PERSONAS</t>
  </si>
  <si>
    <t>E-20-02-00-00</t>
  </si>
  <si>
    <t>E-20-03-00-00</t>
  </si>
  <si>
    <t>UNIVERSIDAD FRANCISCO GAVIDIA</t>
  </si>
  <si>
    <t>MAESTRIA EN ENTORNOS VIRTUALES / LIC. CERRITOS</t>
  </si>
  <si>
    <t>E-22-01-02-01</t>
  </si>
  <si>
    <t>CUENTAS POR COBRAR / LIC. CERRITOS</t>
  </si>
  <si>
    <t>FORMATO EDUCATIVO ESCUELA DE NEGOCIO</t>
  </si>
  <si>
    <t>MAESTRIA DIRECCION ESTRATEGICA LIC. BAIRES</t>
  </si>
  <si>
    <t>E-22-01-05-02</t>
  </si>
  <si>
    <t>CUENTAS POR COBRAR / MAESTRIA LICDA. BAIRES</t>
  </si>
  <si>
    <t>COMERCIALIZADORA DE ENERGIA ELECTRICA SAN RAFAEL</t>
  </si>
  <si>
    <t>E-24-07-05-00</t>
  </si>
  <si>
    <t>MANTENIMIENTO AIRE ACONDICIONADO DICIEMBRE 2023</t>
  </si>
  <si>
    <t>MEDIA SOLUTOINS SA DE CV</t>
  </si>
  <si>
    <t>PARTICIPACION FERIAS</t>
  </si>
  <si>
    <t>E-24-04-03-05</t>
  </si>
  <si>
    <t>PLANILLA</t>
  </si>
  <si>
    <t>PRESIDENCIA JGU</t>
  </si>
  <si>
    <t>E-03-01-00-00</t>
  </si>
  <si>
    <t xml:space="preserve">PRESIDENCIA   </t>
  </si>
  <si>
    <t>E-03-02-00-00</t>
  </si>
  <si>
    <t xml:space="preserve">SECRETARIA GENERAL   </t>
  </si>
  <si>
    <t>E-03-04-00-00</t>
  </si>
  <si>
    <t>VR FINANCIERA</t>
  </si>
  <si>
    <t>COMPRAS</t>
  </si>
  <si>
    <t xml:space="preserve">CONTABILIDAD   </t>
  </si>
  <si>
    <t xml:space="preserve">PLANILLAS </t>
  </si>
  <si>
    <t>TESORERIA</t>
  </si>
  <si>
    <t>PRESUPUESTOS</t>
  </si>
  <si>
    <t>PROVEEDURIA</t>
  </si>
  <si>
    <t>ACTIVO FIJO</t>
  </si>
  <si>
    <t>DIRECCIÓN DE RECURSOS HUMANOS</t>
  </si>
  <si>
    <t>E-03-08-00-00</t>
  </si>
  <si>
    <t>DIRECCIÓN DE COMUNICACIONES</t>
  </si>
  <si>
    <t>E-28-01-00-00</t>
  </si>
  <si>
    <t xml:space="preserve">GERENCIA DE CUMPLIMIENTO   </t>
  </si>
  <si>
    <t>VICEPRESIDENCIA</t>
  </si>
  <si>
    <t>E-03-03-00-00</t>
  </si>
  <si>
    <t>E-04-05-09-00</t>
  </si>
  <si>
    <t>SERVICIOS GENERALES</t>
  </si>
  <si>
    <t>E-03-10-00-00</t>
  </si>
  <si>
    <t>E-04-05-08-00</t>
  </si>
  <si>
    <t>E-03-11-00-00</t>
  </si>
  <si>
    <t xml:space="preserve">RECTORIA   </t>
  </si>
  <si>
    <t>E-04-05-01-00</t>
  </si>
  <si>
    <t>VR ACADEMICA</t>
  </si>
  <si>
    <t>DIRECCION DE DESARROLLO EDUCATIVO</t>
  </si>
  <si>
    <t>CENTRO  DE  FORMACION PROFESIONAL</t>
  </si>
  <si>
    <t>FACULTA DE CIENCIAS EMPRESARIALES</t>
  </si>
  <si>
    <t>E-04-01-00-00</t>
  </si>
  <si>
    <t>ESCUELA DE NEGOCIOS</t>
  </si>
  <si>
    <t>E-05-01-00-00</t>
  </si>
  <si>
    <t>E-04-03-00-00</t>
  </si>
  <si>
    <t>ESCUELA DE ANTROPOLOGIA</t>
  </si>
  <si>
    <t>E-05-03-00-00</t>
  </si>
  <si>
    <t xml:space="preserve">ESCUELA DE COMUNICACIONES </t>
  </si>
  <si>
    <t>ESCUELA DE IDIOMAS</t>
  </si>
  <si>
    <t>ESCUELA DE PSICOLOGIA</t>
  </si>
  <si>
    <t>FACULTAD DE INFORMATICA</t>
  </si>
  <si>
    <t>ESCUELA DE INFORMATICA</t>
  </si>
  <si>
    <t>E-05-02-00-00</t>
  </si>
  <si>
    <t>ESCUELA DE CIENCIAS APLICADAS</t>
  </si>
  <si>
    <t>FACULTAD DE DERECHO</t>
  </si>
  <si>
    <t>E-04-04-00-00</t>
  </si>
  <si>
    <t>ESCUELA DE DERECHO</t>
  </si>
  <si>
    <t>E-05-04-00-00</t>
  </si>
  <si>
    <t>E-13-01-00-00</t>
  </si>
  <si>
    <t xml:space="preserve">DECANATO DE ESTUDIANTES  </t>
  </si>
  <si>
    <t>E-25-01-01-00</t>
  </si>
  <si>
    <t>TUTORES</t>
  </si>
  <si>
    <t>E-25-02-01-00</t>
  </si>
  <si>
    <t>SERVICIO SOCIAL</t>
  </si>
  <si>
    <t>E-25-03-01-00</t>
  </si>
  <si>
    <t>SERVICIO ESTUDIANTIL</t>
  </si>
  <si>
    <t>E-25-04-01-00</t>
  </si>
  <si>
    <t>RECREACION Y DEPORTE</t>
  </si>
  <si>
    <t>E-25-05-01-00</t>
  </si>
  <si>
    <t>E-03-09-00-00</t>
  </si>
  <si>
    <t>VR INVESTIGACION Y PROYECCION SOCIAL</t>
  </si>
  <si>
    <t>E-11-01-00-00</t>
  </si>
  <si>
    <t>DIRECCION DE PROYECCION SOCIAL</t>
  </si>
  <si>
    <t>E-12-01-01-00</t>
  </si>
  <si>
    <t>E-04-05-05-00</t>
  </si>
  <si>
    <t>E-16-01-00-00</t>
  </si>
  <si>
    <t>DIN</t>
  </si>
  <si>
    <t>E-04-05-04-00</t>
  </si>
  <si>
    <t>E-04-05-06-00</t>
  </si>
  <si>
    <t>DIRECCION DE EDUCACION VIRTUAL</t>
  </si>
  <si>
    <t>E-04-05-03-00</t>
  </si>
  <si>
    <t xml:space="preserve">NUEVO INGRESO   </t>
  </si>
  <si>
    <t>VR DE OPERACIONES</t>
  </si>
  <si>
    <t>E-03-06-00-00</t>
  </si>
  <si>
    <t>CUOTAS PATRONALES</t>
  </si>
  <si>
    <t>ISSS</t>
  </si>
  <si>
    <t>E-09-01-01-00</t>
  </si>
  <si>
    <t>AFP CONFIA</t>
  </si>
  <si>
    <t>AFP CRECER</t>
  </si>
  <si>
    <t>ISSS PENSIONES</t>
  </si>
  <si>
    <t>INSAFORP</t>
  </si>
  <si>
    <t>BB TECNOLOGIA MEXICO DE RL DE CV</t>
  </si>
  <si>
    <t>7500 PLATAFORMA BLACKBOARD DE FREBRERO 2024 A FEBRERO 2025</t>
  </si>
  <si>
    <t>CP00037717</t>
  </si>
  <si>
    <t>E-07-01-01-06</t>
  </si>
  <si>
    <t>LICENCIA ADOBE UTEC VIRTUAL</t>
  </si>
  <si>
    <t>DPG SA DE CV</t>
  </si>
  <si>
    <t>PAPELERIA Y UTILES DE ESCRITORIO</t>
  </si>
  <si>
    <t>CALEZU SA DE CV</t>
  </si>
  <si>
    <t>DESPENSA</t>
  </si>
  <si>
    <t>KYV SA DE CV</t>
  </si>
  <si>
    <t>TONER Y TINTA</t>
  </si>
  <si>
    <t>CLEAN AIR SA DE CV</t>
  </si>
  <si>
    <t>ODORIZACION BAÑOS ALUMNOS CUOTA 1/6</t>
  </si>
  <si>
    <t>E-13-05-02-00</t>
  </si>
  <si>
    <t>ENMANUEL SA DE CV</t>
  </si>
  <si>
    <t xml:space="preserve">ODORIZACION ENERO </t>
  </si>
  <si>
    <t xml:space="preserve">MANTENIMIENTO AULAS </t>
  </si>
  <si>
    <t>TROLEX SA DE CV</t>
  </si>
  <si>
    <t>FUMIGACIONES</t>
  </si>
  <si>
    <t>E-19-01-03-04</t>
  </si>
  <si>
    <t>PERSONAL ADMINISTRATIVO / ASISTENTE PRESIDENCIA JGU GRAL</t>
  </si>
  <si>
    <t>MENSAJERO</t>
  </si>
  <si>
    <t>DOCTORADO EDUCACION E INNOVACION LIC ALDO MALDONADO</t>
  </si>
  <si>
    <t>CUENTAS POR COBRAR / LIC ALDO MALDONADO</t>
  </si>
  <si>
    <t>PAOLA MARIA NAVARRETE GALVEZ</t>
  </si>
  <si>
    <t>BOLETO URUGUAY LICDA PAOLA NAVARRETE</t>
  </si>
  <si>
    <t>VIATICOS VIAJE A URUGUAY LIC NAVARRETE</t>
  </si>
  <si>
    <t>CENTRO DE LLANTAS LA CENTROAMERICANA SA DE CV</t>
  </si>
  <si>
    <t xml:space="preserve">P-867473 PICK UP </t>
  </si>
  <si>
    <t>ASOCIACION DE UNIVERSIDADES PRIVADAS DE EL SALVADOR</t>
  </si>
  <si>
    <t>AUPRIDES 2024</t>
  </si>
  <si>
    <t>E-31-14-00-00</t>
  </si>
  <si>
    <t>COMPRESORES REPUESTOS Y SERVICIOS SA DE CV</t>
  </si>
  <si>
    <t>ROBOT COLOBORATIVO Y MODULO DIDACTICO , COMPRES SA DE CV FACT 2876</t>
  </si>
  <si>
    <t>E-08-01-02-02</t>
  </si>
  <si>
    <t>EDIFICIO THOMAS JEFFESSON</t>
  </si>
  <si>
    <t xml:space="preserve">SERVICIOS DE  MANTENIMIENTO </t>
  </si>
  <si>
    <t>SERVICIOS ORDENANZAS</t>
  </si>
  <si>
    <t>SERVICIO DE VIGILANCIA</t>
  </si>
  <si>
    <t>EDHIT ORBELINA DE MOLINA NEIRA</t>
  </si>
  <si>
    <t>CASA 118 17 AVENIDA NORTE</t>
  </si>
  <si>
    <t>ASESORIA MONTEALBAN SA DE CV</t>
  </si>
  <si>
    <t xml:space="preserve">CASA 119 17 AVENIDA NORTE EX HOTEL </t>
  </si>
  <si>
    <t xml:space="preserve">CASA 1045 EDIF ADOLFO ARAUJO </t>
  </si>
  <si>
    <t xml:space="preserve">RENTA DE EQUIPO DE IMPRESIÓN </t>
  </si>
  <si>
    <t>E-12-01-04-02</t>
  </si>
  <si>
    <t>E-16-10-02-00</t>
  </si>
  <si>
    <t>E-21-01-03-00</t>
  </si>
  <si>
    <t>E-29-01-01-00</t>
  </si>
  <si>
    <t>CARLOS ROLANDO BARRIO LOPEZ</t>
  </si>
  <si>
    <t>PARTICIPACION 5TA ITERNATIONAL CONFERENCE ON MULTIDISCIPLIN/VIATICOS</t>
  </si>
  <si>
    <t>E-11-03-01-00</t>
  </si>
  <si>
    <t>REMESA POR REINTEGRO DE CHEQUE #1560212 INSCRIPCIÓN A CONFERENCIA ON MULTIDISCIPLINARY</t>
  </si>
  <si>
    <t>RBMM</t>
  </si>
  <si>
    <t>NO DETALLAN PROVEEDOR</t>
  </si>
  <si>
    <t>LICENCIA SPSSS (1 PROFESIONAL Y 2 ESTUDIANTES)</t>
  </si>
  <si>
    <t>E-11-06-00-00</t>
  </si>
  <si>
    <t>CONTRATO MANTENIMIENTO AIRES ACONDICIONADOS</t>
  </si>
  <si>
    <t>E-19-01-01-01</t>
  </si>
  <si>
    <t>OMAR OTONIEL FLORES CORTEZ</t>
  </si>
  <si>
    <t>VIATICOS /CONGRESO INTL ING OMAR FLORES</t>
  </si>
  <si>
    <t>381-A</t>
  </si>
  <si>
    <t>REMESA POR REINTEGRO DE CHEQUE #74 VIAJE A MEXICO</t>
  </si>
  <si>
    <t>CB00027890</t>
  </si>
  <si>
    <t>REINTEGRO GPA</t>
  </si>
  <si>
    <t>SOLAIRE SA DE CV</t>
  </si>
  <si>
    <t>MANTENIMIENTO PLANTA FOTOVOLTAICA</t>
  </si>
  <si>
    <t>E-19-01-02-03</t>
  </si>
  <si>
    <t>COMBUSTIBLE ENERO</t>
  </si>
  <si>
    <t>BLANCA ELILZABETH MOLINA FLORES</t>
  </si>
  <si>
    <t>VASOS, TOALLAS, BOLSAS Y PASTILLAS</t>
  </si>
  <si>
    <t>MARIA ELBA CACERES LOBO</t>
  </si>
  <si>
    <t>LEJIA, JABON LIQUIDO, DESINFECTANTE</t>
  </si>
  <si>
    <t>SERVICIOS AMBIENTALES ESPECIALIZADOS</t>
  </si>
  <si>
    <t>CLINICA EMPRESARIAL / RECOLECCION DE DESECHOS SOLIDOS</t>
  </si>
  <si>
    <t>CAM FEBRERO</t>
  </si>
  <si>
    <t>DISTRIBUCION SALVADOREÑA SA DE CV</t>
  </si>
  <si>
    <t>DETERGENTE</t>
  </si>
  <si>
    <t xml:space="preserve">PAPEL HIGIENICO ALUMNOS </t>
  </si>
  <si>
    <t>E-19-02-03-03</t>
  </si>
  <si>
    <t>MATERIALES ELECTRICOS</t>
  </si>
  <si>
    <t>E-19-01-03-02</t>
  </si>
  <si>
    <t>LAVADO DE VEHICULOS</t>
  </si>
  <si>
    <t>JORGE ERNESTO DURON MARTINEZ</t>
  </si>
  <si>
    <t xml:space="preserve">MANTENIMIENTO ASENSORES  </t>
  </si>
  <si>
    <t>EL DIARIO NACIONAL SA DE CV</t>
  </si>
  <si>
    <t>MATRICULA EN MEDIOS</t>
  </si>
  <si>
    <t>RENTA DE 5 MUPPIS DIGITALES EN DICIEMBRE 2023</t>
  </si>
  <si>
    <t>COLUMBUS NETWORK EL SALVADOR SA DE CV</t>
  </si>
  <si>
    <t>ENLACE COMERCIAL COLUMBUS</t>
  </si>
  <si>
    <t>E-07-01-01-02</t>
  </si>
  <si>
    <t>E-13-07-04-00</t>
  </si>
  <si>
    <t>ENHANCED TECHNICAL SUPPORT CONSULTING SA DE CV</t>
  </si>
  <si>
    <t>LICENCIA FIREWALL PALO ALTO</t>
  </si>
  <si>
    <t>E-07-01-05-03</t>
  </si>
  <si>
    <t>ALQUILER LOCAL</t>
  </si>
  <si>
    <t xml:space="preserve">MANTENIMIENTO AIRE ACONDICIONADO  </t>
  </si>
  <si>
    <t>CARLOS REYNALDO LOPEZA NUILA</t>
  </si>
  <si>
    <t>CAFÉ AL PERSONA EJECUTIVO</t>
  </si>
  <si>
    <t>E-09-01-03-00</t>
  </si>
  <si>
    <t>UNIVERSIDAD DON BOSCO</t>
  </si>
  <si>
    <t>FACULTAD DE CIENCIAS SOCIALES / GESTION DE CURRICULO LICDA BEATRIZ MARTINEZ</t>
  </si>
  <si>
    <t>E-22-01-03-03</t>
  </si>
  <si>
    <t>CUENTAS POR COBRAR / LICDA. ANA BEATRIZ MARTINEZ</t>
  </si>
  <si>
    <t>LISSETTE CRISTALINA CANALES DE RAMIREZ</t>
  </si>
  <si>
    <t>REUNION DE PADRES DE FAMILIA</t>
  </si>
  <si>
    <t>E-26-02-04-01</t>
  </si>
  <si>
    <t>PROYECTO DOCENTE CONECTADO /  168 LAPTOP HP</t>
  </si>
  <si>
    <t>2 UPS APC SMART</t>
  </si>
  <si>
    <t xml:space="preserve">VICEPRESIDENCIA / 1 IMPRESOR ASISTENTE </t>
  </si>
  <si>
    <t>1 LAPTOP VR DE INVESTIGACIONES Y PROYECCION SOCIAL</t>
  </si>
  <si>
    <t>VR ACADEMICA / 1 IPAD</t>
  </si>
  <si>
    <t>PERSONAL EVENTUAL - CONTABIILIDAD</t>
  </si>
  <si>
    <t>ANUALIDAD FUNCIONAMIENTO</t>
  </si>
  <si>
    <t>E-09-03-00-00</t>
  </si>
  <si>
    <t xml:space="preserve"> </t>
  </si>
  <si>
    <t>E-10-05-00-00</t>
  </si>
  <si>
    <t xml:space="preserve">PAPELERIA Y UTILES  </t>
  </si>
  <si>
    <t>MANTENIMIENTO INSTALACIONES</t>
  </si>
  <si>
    <t>MANTENIMIENTO DE LIMPIEZA</t>
  </si>
  <si>
    <t>MANTENIMIENTO DE JARDINES</t>
  </si>
  <si>
    <t>E-19-01-03-06</t>
  </si>
  <si>
    <t>CONGRESO DOCENTES</t>
  </si>
  <si>
    <t>PRICESMART LICDA LOUCEL</t>
  </si>
  <si>
    <t>E-30-01-04-00</t>
  </si>
  <si>
    <t>TESORERIA - PERSONAL EVENTUAL</t>
  </si>
  <si>
    <t>ASOCIACION SALVADOREÑA DE INDUSTRIALES</t>
  </si>
  <si>
    <t xml:space="preserve">VR OPERACIONES </t>
  </si>
  <si>
    <t>E-22-04-00-00</t>
  </si>
  <si>
    <t>SOFTLAND EL SALVADOR SA DE CV</t>
  </si>
  <si>
    <t xml:space="preserve">RENOVACION ANUAL 41 USUARIOS SOFTLAND </t>
  </si>
  <si>
    <t>E-07-01-05-02</t>
  </si>
  <si>
    <t>LISTADO ADJUNTO DE NOMBRE DE PERSONAL</t>
  </si>
  <si>
    <t>VIATICOS PERSONAL EN PROCESO DE INSCRIPCION 02/2024 23 TRABAJADORES A $135.50 CADA UNO</t>
  </si>
  <si>
    <t>E-24-01-03-00</t>
  </si>
  <si>
    <t>ANTONIO ADALBERTO HURTADO</t>
  </si>
  <si>
    <t>DOCTORADO U DE ALICANTE LIC HURTADO</t>
  </si>
  <si>
    <t>E-22-03-05-01</t>
  </si>
  <si>
    <t>CARLOS JONATAN CHAVEZ MEJIA</t>
  </si>
  <si>
    <t>DOCTORADO U DE ALICANTE LIC CHAVEZ</t>
  </si>
  <si>
    <t xml:space="preserve">BANCO CUSCATLAN </t>
  </si>
  <si>
    <t>ABONO A CAPITAL</t>
  </si>
  <si>
    <t>E-02-03-00-00</t>
  </si>
  <si>
    <t>INTERESES BANCARIOS BANCO CUSCATLAN 5278444</t>
  </si>
  <si>
    <t>GASTOS MEDICOS / CARLOS MENDOZA</t>
  </si>
  <si>
    <t>INTERNET ALUMNOS Y DOCENTES</t>
  </si>
  <si>
    <t>DISTRIBUIDORA CARADOR SA DE CV</t>
  </si>
  <si>
    <t>REUNION SENADO CONSULTIVO</t>
  </si>
  <si>
    <t>E-26-01-01-00</t>
  </si>
  <si>
    <t>JET CLEANERS SA DE CV</t>
  </si>
  <si>
    <t>OTROS GASTOS/ LAVADO Y PLANCHADO DE CHALECO</t>
  </si>
  <si>
    <t>E-12-01-10-01</t>
  </si>
  <si>
    <t>RCM SA DE CV</t>
  </si>
  <si>
    <t>PERSONAL EVENTUAL / CORDINADOR DE BOLETINES</t>
  </si>
  <si>
    <t>PRUEBAS COVID AL PERSONAL</t>
  </si>
  <si>
    <t>E-09-02-00-00</t>
  </si>
  <si>
    <t>MEDICINA</t>
  </si>
  <si>
    <t>PERSONAL EJECUTIVO</t>
  </si>
  <si>
    <t>PERSONAL ADMINISTRATIVO / PERSONAL PRESIDENCIA</t>
  </si>
  <si>
    <t>UTILES DE ESCRITORIO</t>
  </si>
  <si>
    <t>E-18-06-03-00</t>
  </si>
  <si>
    <t>E-26-01-02-00</t>
  </si>
  <si>
    <t xml:space="preserve">NELSON IVAN SALDAÑA </t>
  </si>
  <si>
    <t>E-13-05-06-00</t>
  </si>
  <si>
    <t>YURI OMAR SOSA MURCIA</t>
  </si>
  <si>
    <t>COMBUSTIBLES</t>
  </si>
  <si>
    <t>ALQUILER LOCAL FEBRERO</t>
  </si>
  <si>
    <t>SEGURO</t>
  </si>
  <si>
    <t>E-24-05-12-00</t>
  </si>
  <si>
    <t>E-24-05-13-00</t>
  </si>
  <si>
    <t>E-24-05-14-00</t>
  </si>
  <si>
    <t>METROCENTRO SA DE CV</t>
  </si>
  <si>
    <t>MANTENIMIENTO AIRE ACONDICIONADOS</t>
  </si>
  <si>
    <t>PARTICIPACION EN FERIAS</t>
  </si>
  <si>
    <t>ACADEMIA  SALVADOREÑA DE HISTORIA</t>
  </si>
  <si>
    <t>ACADEMIA  SALVADOREÑA DE LA LENGUA</t>
  </si>
  <si>
    <t>TRYLYN SA DE CV</t>
  </si>
  <si>
    <t>DHL EXPRESS EL SALVADOR SA DE CV</t>
  </si>
  <si>
    <t>ENVIO CORREO INTERNACIONAL</t>
  </si>
  <si>
    <t>E-32-03-03-00</t>
  </si>
  <si>
    <t>MANTENIMIENTO DE MOBILIARIO</t>
  </si>
  <si>
    <t>MATERIALES DE LIMPIEZA</t>
  </si>
  <si>
    <t>CONSUMO AGUA CRISTAL ENERO 2024</t>
  </si>
  <si>
    <t>E-13-03-00-00</t>
  </si>
  <si>
    <t>480 FOLLETOS</t>
  </si>
  <si>
    <t>670 FOLLETOS</t>
  </si>
  <si>
    <t>400 FOLDER</t>
  </si>
  <si>
    <t>E-13-09-04-09</t>
  </si>
  <si>
    <t>PAQUETE SETACO</t>
  </si>
  <si>
    <t>E-14-04-02-03</t>
  </si>
  <si>
    <t>100 DIPLOMAS TALLER</t>
  </si>
  <si>
    <t>E-21-06-05-00</t>
  </si>
  <si>
    <t>CUENTAS POR COBRAR / CONSUMO CLUB CAMPESTRE LICDA DE DUQUE</t>
  </si>
  <si>
    <t>CUENTAS POR COBRAR / LICDA DE DUQUE</t>
  </si>
  <si>
    <t>E-25-01-03-00</t>
  </si>
  <si>
    <t>MANTENIMIENTO DE ASENSORES</t>
  </si>
  <si>
    <t>MARIA SUSANA MEJIA ARGUETA</t>
  </si>
  <si>
    <t>INSUMOS DE BIOSEGURIDAD / 13450 MASCARILLAS QUIRURGICAS</t>
  </si>
  <si>
    <t>E-27-03-00-00</t>
  </si>
  <si>
    <t>DISNA SA DE CV</t>
  </si>
  <si>
    <t>AGUA EMBOTELLADA</t>
  </si>
  <si>
    <t>SERVYCLEAN SA DE CV</t>
  </si>
  <si>
    <t>INSUMOS DE LIMPIEZA</t>
  </si>
  <si>
    <t>DIANA SOFIA ROSALES CASTILLO</t>
  </si>
  <si>
    <t>50% RENTA DE TOGAS GRADUACION MAYO</t>
  </si>
  <si>
    <t>JUAN PABLO SAMOUR AMAYA</t>
  </si>
  <si>
    <t>50% UNIFORMES DEPORTIVOS</t>
  </si>
  <si>
    <t>E-25-05-04-00</t>
  </si>
  <si>
    <t>BECAS/ PROYECTO REVISION CURRICULAR MAESTRO VISITANTES</t>
  </si>
  <si>
    <t>HORAS EXTRAS ENERO</t>
  </si>
  <si>
    <t>JAIME ERNESTO REYES</t>
  </si>
  <si>
    <t>SANDRA ABIGAIL FLORES MARTINEZ</t>
  </si>
  <si>
    <t>JORGE LUIS MARTINEZ MIRANDA</t>
  </si>
  <si>
    <t>JOSE MAURICIO LOUCEL</t>
  </si>
  <si>
    <t>CUOTA AFP ENERO A MAYO  2023/ PERSONAL NO SE ENCONTRABA INSCRITO EN AFP</t>
  </si>
  <si>
    <t>ANGELA FUNES JOVEL</t>
  </si>
  <si>
    <t>RAFAEL RODRIGUEZ LOUCEL</t>
  </si>
  <si>
    <t>MAURICIO ERNESTO VELASCO ZELAYA</t>
  </si>
  <si>
    <t>ULISES ARQUIMIDES ZELAYA PINZON</t>
  </si>
  <si>
    <t>JOSE LUIS EXPEDICTO PORRAS PINEDA</t>
  </si>
  <si>
    <t>JAIME ALBERTO LOPEZ NUILA</t>
  </si>
  <si>
    <t>ISRAEL ESCOBAR NOYOLA</t>
  </si>
  <si>
    <t>ESDICO SA DE CV</t>
  </si>
  <si>
    <t>80% ANTICIPPO ADECUACION INSTALACIONES BRAZO ROBOTICO</t>
  </si>
  <si>
    <t>REPARACION DE TECHO CASA 130</t>
  </si>
  <si>
    <t>E-19-16-00-00</t>
  </si>
  <si>
    <t>ROBERTO DAVID JIMENEZ POSADA</t>
  </si>
  <si>
    <t>300 SEPARADORES DE LIBROS</t>
  </si>
  <si>
    <t>E-29-01-03-00</t>
  </si>
  <si>
    <t>ANA ARELY VILLALTA DE PARADA</t>
  </si>
  <si>
    <t>VICULACIO PADRES DE FAMILIA</t>
  </si>
  <si>
    <t>E-26-02-04-03</t>
  </si>
  <si>
    <t>DESECHOS SOLIDOS</t>
  </si>
  <si>
    <t>E-19-12-11-00</t>
  </si>
  <si>
    <t>DIRECCION GENERAL DE TESORERIA</t>
  </si>
  <si>
    <t>APTO POSTAL</t>
  </si>
  <si>
    <t>E-30-01-06-00</t>
  </si>
  <si>
    <t>CARLOS REYNALDO LOPEZ NUILA</t>
  </si>
  <si>
    <t>ENMARCADO</t>
  </si>
  <si>
    <t>E-19-01-04-03</t>
  </si>
  <si>
    <t xml:space="preserve">REFRIGERIOS   </t>
  </si>
  <si>
    <t>E-12-02-01-00</t>
  </si>
  <si>
    <t xml:space="preserve">OTROS GASTOS   </t>
  </si>
  <si>
    <t>RICARDO JOSE SAMPERA JIMENEZ</t>
  </si>
  <si>
    <t>20% ESCALERAS EMERGENCIA EDIFICIO LOS FUNDADORES</t>
  </si>
  <si>
    <t>VIDA COLECTIVO 2/6</t>
  </si>
  <si>
    <t>GASTOS MEDICOS CUOTA 2/6</t>
  </si>
  <si>
    <t xml:space="preserve">CONSUMO AGUA CRISTAL </t>
  </si>
  <si>
    <t>E-12-01-04-00</t>
  </si>
  <si>
    <t>PUNTOEXPRESS SA DE CV</t>
  </si>
  <si>
    <t>CUOTA ENERO</t>
  </si>
  <si>
    <t>E-02-05-00-00</t>
  </si>
  <si>
    <t>JIMMY ALEXANDER MARTINEZ PARRA</t>
  </si>
  <si>
    <t>SERVICIOS PROFESIONALES ENERO 202</t>
  </si>
  <si>
    <t>CP00038169</t>
  </si>
  <si>
    <t>E-16-02-01-00</t>
  </si>
  <si>
    <t>Transferencia -comisión por $28.25 restando al monto que refleja valor del cheque</t>
  </si>
  <si>
    <t>VIATICOS DEL 16 AL 29 DE FEBRERO</t>
  </si>
  <si>
    <t>SUSTITUCION DE SUBESTACION EDIFICIO GARCIA LORCA</t>
  </si>
  <si>
    <t>CARLOS REYNALDO LOPEZ GUEVARA</t>
  </si>
  <si>
    <t>SERVICIOS PROFESIONALES 02/20242</t>
  </si>
  <si>
    <t>E-01-05-00-00</t>
  </si>
  <si>
    <t>LUIS FEDERICO CONSTANTINO AGUILAR</t>
  </si>
  <si>
    <t>INVESTIGACION Y REDACCION DE LIBRO BIBLIOGRAFICO</t>
  </si>
  <si>
    <t>AGENCIA DE VIAJE ESCAMILLA SA DE CV</t>
  </si>
  <si>
    <t>BOLETO / PRESIDENCIA</t>
  </si>
  <si>
    <t>MATERIALES DE COSNTRUCCION</t>
  </si>
  <si>
    <t>E-19-01-03-01</t>
  </si>
  <si>
    <t>MATERIALES DE CARPINTERIA</t>
  </si>
  <si>
    <t>TV ARGUETA SA DE CV</t>
  </si>
  <si>
    <t>REPARACION DE CONSOMA AUDITORIUM DE LA PAZ</t>
  </si>
  <si>
    <t>E-19-04-00-00</t>
  </si>
  <si>
    <t>E-24-06-03-00</t>
  </si>
  <si>
    <t>AROMATIZACION</t>
  </si>
  <si>
    <t>COMUNICACIONES IBM EL SALVADOR SA DE CV</t>
  </si>
  <si>
    <t>ENLACE COMERCIAL INTERNET</t>
  </si>
  <si>
    <t>E-07-01-01-00</t>
  </si>
  <si>
    <t>E-19-02-00-00</t>
  </si>
  <si>
    <t>INSTALACION DE REPUESTOS DE AIRES ACONDICIONADOS</t>
  </si>
  <si>
    <t>ARRENDAMIENTO MUPIS</t>
  </si>
  <si>
    <t>CREA PUBLICIDAD SA DE CV</t>
  </si>
  <si>
    <t>ESQUELAS</t>
  </si>
  <si>
    <t>E-17-05-00-00</t>
  </si>
  <si>
    <t>RICARDO MAURICIO MENESSES ORELLANA</t>
  </si>
  <si>
    <t>COMBUSTIBLE PARA VEHICULOS INSTITUCIONALES</t>
  </si>
  <si>
    <t>MJ</t>
  </si>
  <si>
    <t>MENAJERO - FEBRERO 2024</t>
  </si>
  <si>
    <t>CB00027341</t>
  </si>
  <si>
    <t xml:space="preserve">CARLOS REYNALDO LÓPEZ NUILA </t>
  </si>
  <si>
    <t>Mantenimiento en talleres (Vehículos)</t>
  </si>
  <si>
    <t xml:space="preserve">NELSON IVAN SALDAÑAS </t>
  </si>
  <si>
    <t>CP00037706</t>
  </si>
  <si>
    <t xml:space="preserve">BANCO PROMERICA </t>
  </si>
  <si>
    <t>Alquileres/24 arrendamiento de local C. Cuscatlán uso de oficinas administrativas 03/2024</t>
  </si>
  <si>
    <t>CP00037708</t>
  </si>
  <si>
    <t>E-15-06-00-00</t>
  </si>
  <si>
    <t>DIETAS ASISTENCIA SENADO CONSULTIVO</t>
  </si>
  <si>
    <t>CP00037705</t>
  </si>
  <si>
    <t>E-26-01-01-03</t>
  </si>
  <si>
    <t>JF</t>
  </si>
  <si>
    <t>SEGURO VALORES ACSA</t>
  </si>
  <si>
    <t>SEGURO DE VEHICULOS</t>
  </si>
  <si>
    <t>SEGURO VIDA COLECTIVO CUOTA 3/6</t>
  </si>
  <si>
    <t>SEGURO MEDICO HOSPITALARIO CUOTA 3/6</t>
  </si>
  <si>
    <t>SALARIO SEGUNDA QUINCENA FEBRERO</t>
  </si>
  <si>
    <t xml:space="preserve">INSUMOS DE BIOSEGURIDAD </t>
  </si>
  <si>
    <t>SERVICIO DE TELEFONO</t>
  </si>
  <si>
    <t>E-17-01-03-00</t>
  </si>
  <si>
    <t>ACCESORIOS PARA EQUIPO DE TV</t>
  </si>
  <si>
    <t>E-17-01-04-00</t>
  </si>
  <si>
    <t>FONTANERIA</t>
  </si>
  <si>
    <t>CARPINTERIA</t>
  </si>
  <si>
    <t>ELECTRICIDAD</t>
  </si>
  <si>
    <t>MANTENIMIENTO DE LIMPIEZA (LAVADO DE MANTELES)</t>
  </si>
  <si>
    <t>MANTENIMIENTO INSTALACIONES (COMPRA DE AGUA)</t>
  </si>
  <si>
    <t>MATERIALES DE CONSTRUCCION</t>
  </si>
  <si>
    <t>VIATICOS Y ATENCIONES A PERSONAL</t>
  </si>
  <si>
    <t>TOROGOZ SA DE CV</t>
  </si>
  <si>
    <t>AMINA</t>
  </si>
  <si>
    <t>PINES</t>
  </si>
  <si>
    <t>MEDALLAS</t>
  </si>
  <si>
    <t>COMPLEMENTO 50% TAPIZADO PUPITRES PRE ESPECIALIDAD</t>
  </si>
  <si>
    <t>ANTICIPO 50% TAPIZADO SILLAS 7TA PLANTA EDIF LOS FUNDADORES</t>
  </si>
  <si>
    <t xml:space="preserve">EDUCACION PARA EL FUTURO SA </t>
  </si>
  <si>
    <t>LICENCIA / AUDODESK 2024</t>
  </si>
  <si>
    <t>CP00038116</t>
  </si>
  <si>
    <t>E-07-01-05-01</t>
  </si>
  <si>
    <t>SERVICIO DE CABLE</t>
  </si>
  <si>
    <t>E-10-08-00-00</t>
  </si>
  <si>
    <t>SITIOS WEB UTEC NEWS INFO</t>
  </si>
  <si>
    <t>ZOOM</t>
  </si>
  <si>
    <t>OTROS AL PERSONAL</t>
  </si>
  <si>
    <t>FACEBOOK</t>
  </si>
  <si>
    <t>E-13-09-04-02</t>
  </si>
  <si>
    <t>CHEVROLET P 495-663</t>
  </si>
  <si>
    <t>PAGO MAESTRIA</t>
  </si>
  <si>
    <t>E-22-02-03-00</t>
  </si>
  <si>
    <t>LUCIANA MARIA LOUCEL</t>
  </si>
  <si>
    <t>E-24-02-02-00</t>
  </si>
  <si>
    <t>MAIL CHIMP</t>
  </si>
  <si>
    <t>E-24-02-05-00</t>
  </si>
  <si>
    <t>SERVICIO  TELEFONICO</t>
  </si>
  <si>
    <t>E-24-05-07-00</t>
  </si>
  <si>
    <t>LIMPIEZA</t>
  </si>
  <si>
    <t>ATENCION FLORAL</t>
  </si>
  <si>
    <t>LICENCIA</t>
  </si>
  <si>
    <t>E-32-02-00-00</t>
  </si>
  <si>
    <t>DROPBOX</t>
  </si>
  <si>
    <t>E-32-01-03-00</t>
  </si>
  <si>
    <t>PLANILLA DOCENTE HORA CLASE</t>
  </si>
  <si>
    <t>NEGOCIOS / HORA CLASES</t>
  </si>
  <si>
    <t>E-06-01-00-00</t>
  </si>
  <si>
    <t>NEGOCIOS / SOLVENCIA</t>
  </si>
  <si>
    <t>ARQUITECTURA / HORA CLASE</t>
  </si>
  <si>
    <t>E-06-02-00-00</t>
  </si>
  <si>
    <t>ARQUITECTURA / SOLVENCIA</t>
  </si>
  <si>
    <t>INGENIERIA / HORA CLASE</t>
  </si>
  <si>
    <t>INGENIERIA / SOLVENCIA</t>
  </si>
  <si>
    <t>MATEMATICAS / HORA CLASE</t>
  </si>
  <si>
    <t>MATEMATICAS / SOLVENCIA</t>
  </si>
  <si>
    <t>INFORMATICA / HORA CLASE</t>
  </si>
  <si>
    <t>INFORMATICA / SOLVENCIA</t>
  </si>
  <si>
    <t>COMUNICACIONES / HORA CLASE</t>
  </si>
  <si>
    <t>E-06-03-00-00</t>
  </si>
  <si>
    <t>COMUNICACIONES / SOLVENCIA</t>
  </si>
  <si>
    <t>ANTROPOLOGIA / HORA CLASE</t>
  </si>
  <si>
    <t>ANTROPOLOGIA / SOLVENCIA</t>
  </si>
  <si>
    <t>IDIOMAS / HORA CLASE</t>
  </si>
  <si>
    <t>IDIOMAS / SOLVENCIA</t>
  </si>
  <si>
    <t>PSICOLGIA / HORA CLASE</t>
  </si>
  <si>
    <t>PSICOLGIA / SOLVENCIA</t>
  </si>
  <si>
    <t>DERECHO / HORA CLASE</t>
  </si>
  <si>
    <t>E-06-04-00-00</t>
  </si>
  <si>
    <t>DERECHO / SOLVENCIA</t>
  </si>
  <si>
    <t>HORA CLASE ENERO 2024</t>
  </si>
  <si>
    <t>E-16-03-00-00</t>
  </si>
  <si>
    <t>E-16-04-00-00</t>
  </si>
  <si>
    <t>E-16-08-00-00</t>
  </si>
  <si>
    <t xml:space="preserve">HORA CLASE  </t>
  </si>
  <si>
    <t>E-13-09-02-02</t>
  </si>
  <si>
    <t>712a</t>
  </si>
  <si>
    <t>E-13-10-01-01</t>
  </si>
  <si>
    <t>712B</t>
  </si>
  <si>
    <t>E-13-09-02-01</t>
  </si>
  <si>
    <t>BANCO PROMERICA</t>
  </si>
  <si>
    <t xml:space="preserve">INTERESES BANCARIOS  </t>
  </si>
  <si>
    <t>COMISION</t>
  </si>
  <si>
    <t>MANTTO ODORIZACIÓN  BAÑOS AULAS  cuota 2/6</t>
  </si>
  <si>
    <t>E-19-12-04-00</t>
  </si>
  <si>
    <t>CAMARA DE COMERCION E INDUSTRIA DE EL SALVADOR</t>
  </si>
  <si>
    <t>CAMARA DE COMERCIO  02/24 A 04/2024</t>
  </si>
  <si>
    <t>E-31-02-00-00</t>
  </si>
  <si>
    <t>LIBERTY NETWORKS EL SALVADOR, S.A. DE C.V.</t>
  </si>
  <si>
    <t xml:space="preserve">ENLACE COMERCIAL COLUMBUS NETWORKS </t>
  </si>
  <si>
    <t>GRACIELA HAYDEE MAGAÑA DE FORTIN</t>
  </si>
  <si>
    <t>LOS MAGAÑA / MARZO</t>
  </si>
  <si>
    <t>TREND, MARKETING DIGITAL, S.A. DE C.V.</t>
  </si>
  <si>
    <t>DESARROLLADOR DE SITIOS WEB</t>
  </si>
  <si>
    <t xml:space="preserve">PAGINA WEB </t>
  </si>
  <si>
    <t>REFRIGERIOS CAPACITACION CONGRESO RSU</t>
  </si>
  <si>
    <t>E-12-01-07-00</t>
  </si>
  <si>
    <t>M&amp;P INVESTMENT, S.A. DE C.V.</t>
  </si>
  <si>
    <t>HONORARIOS FEBRERO LIC MEDRANO</t>
  </si>
  <si>
    <t>TK ELEVADORES CENTROAMERICA, S.A. SUCURSAL EL SAL</t>
  </si>
  <si>
    <t>MANTENIMIENTO ASENSORES FEBRERO</t>
  </si>
  <si>
    <t>MATERIALES REPACION A/A DE MUSEO</t>
  </si>
  <si>
    <t>INVERSIONES LEMUS SA DE CV</t>
  </si>
  <si>
    <t>MATERIALES DE FONTANERIA</t>
  </si>
  <si>
    <t>MATERIALES DE JARDINERIA</t>
  </si>
  <si>
    <t>1 ATORNILLADOR IMPACTO INALAMBRICO DE 1/4</t>
  </si>
  <si>
    <t>E-19-01-05-01</t>
  </si>
  <si>
    <t xml:space="preserve">2 TALADRO PERCUTOR </t>
  </si>
  <si>
    <t>INDUSTRIAS VIKTOR SA DE CV</t>
  </si>
  <si>
    <t>DECANATO DE ESTUDIANTES/2024 COMPRA DE IMPLEMENTOS DEPORTIVOS PARA EL AÑO 2024</t>
  </si>
  <si>
    <t>CB</t>
  </si>
  <si>
    <t>E-25-05-05-00</t>
  </si>
  <si>
    <t>INVERSIONES DIDACTICAS S.A. DE C.V.</t>
  </si>
  <si>
    <t>SERVICIO DE SOPORTE TECNICO MES 01-2024</t>
  </si>
  <si>
    <t>CP00037580</t>
  </si>
  <si>
    <t>SLML</t>
  </si>
  <si>
    <t>Reintegro /2024 -Pago de facturas varias gastos médicos codigo 01</t>
  </si>
  <si>
    <t>FAUSTO ADALBERTO AYALA ACUÑA</t>
  </si>
  <si>
    <t>Devolucion por pago extra de practica socorro juridico</t>
  </si>
  <si>
    <t>I-01-01-01-00</t>
  </si>
  <si>
    <t>DUQUE ASOCIADOS S.A DE C-V</t>
  </si>
  <si>
    <t>pago de publicidad y otros</t>
  </si>
  <si>
    <t>CP00038114</t>
  </si>
  <si>
    <t>REINTEGRO DEL 50% PAGO DE SEGUROS DE VIVIENDA Y VEHÍCULO AÑO 2024-NORIS LÓPEZ</t>
  </si>
  <si>
    <t>E-09-06-00-00</t>
  </si>
  <si>
    <t>RBM</t>
  </si>
  <si>
    <t>REINTEGRO DEL 50% PAGO DE SEGUROS DE VIVIENDA Y VEHÍCULO AÑO 2024</t>
  </si>
  <si>
    <t>INVERSIONES DIDACTICAS, S.A DE C.V</t>
  </si>
  <si>
    <t>SERVICIO DE SOPORTE TECNICO BACKUP MES 01-2024</t>
  </si>
  <si>
    <t>CP00037579</t>
  </si>
  <si>
    <t>JOCELYN SOFIA MELENDEZ CARDONA</t>
  </si>
  <si>
    <t>SERVICIO DE SOPORTE TECNICO MES 02-2024</t>
  </si>
  <si>
    <t>CP00037581</t>
  </si>
  <si>
    <t>CAMARA AMERICANA DE COMERCIO DE EL SALVADOR AMCHAM</t>
  </si>
  <si>
    <t>RAFAEL ORLANDO APARICIO PACHECO</t>
  </si>
  <si>
    <t>INDEMNIZACIÓN DEL 20/07/2009 A FECHA 29/02/2024,</t>
  </si>
  <si>
    <t xml:space="preserve">PROCURADURÍA GENERAL DE LA REPUBLICA </t>
  </si>
  <si>
    <t>PROCURADURÍA DECRETO 168/INDEMNIZACIÓN DEL 20/07/2009 A FECHA 29/02/2024,</t>
  </si>
  <si>
    <t xml:space="preserve">CHISTIAN DANIEL CAMPOS SORIANO </t>
  </si>
  <si>
    <t>RENUNCIA VOLUNTARÍA, CARGO DE TECNICO II AUXILIAR DE BIBLIOTECA-18/02/2008 AL 08/03/2024</t>
  </si>
  <si>
    <t xml:space="preserve">YENI PATRICIA CONTRERAS DE MONTES </t>
  </si>
  <si>
    <t>RENUNCIA VOLUNTARIA, COMO TÉCNICO 1 DE COMUNICACIÓN EXTERNA-DCI 01/03/2016 al 15/03/2024</t>
  </si>
  <si>
    <t>VERONICA GUADALUPE HIDALGO PADILLA</t>
  </si>
  <si>
    <t>RENUNCIA VOLUNTARÍA COMO DOCTORA DE CLINICA EMPRESARIAL A PARTIR DEL 05 DE MARZO DEL 2024</t>
  </si>
  <si>
    <t>KEVIN ENRIQUE CABEZAS MORALES</t>
  </si>
  <si>
    <t>RECARGA A EXTINTORES DEL CAMPUES 1/3</t>
  </si>
  <si>
    <t>CP00037423</t>
  </si>
  <si>
    <t>E-19-02-02-01</t>
  </si>
  <si>
    <t>COMPRA DE RESPUESTOS PARA EXTINTORES DEL CAMPUS</t>
  </si>
  <si>
    <t>CP00037424</t>
  </si>
  <si>
    <t>Pago de Impuestos municipales mes de febreo 2024</t>
  </si>
  <si>
    <t>CP00037766</t>
  </si>
  <si>
    <t>ROXANA MARITZA LANDAVERDE PÉREZ</t>
  </si>
  <si>
    <t>Viaticos mes de marzo  2024</t>
  </si>
  <si>
    <t>CP00037417</t>
  </si>
  <si>
    <t>LL</t>
  </si>
  <si>
    <t>CP00037418</t>
  </si>
  <si>
    <t>E-22-03-04-01</t>
  </si>
  <si>
    <t>FUNDEMAS</t>
  </si>
  <si>
    <t>Quedan #2724 Donaciones/2024 Aporte para Fundación Empresarial para la acción social (FUNDEMAS)</t>
  </si>
  <si>
    <t>CP00037692</t>
  </si>
  <si>
    <t>E-12-01-06-00</t>
  </si>
  <si>
    <t>SGSB/LL</t>
  </si>
  <si>
    <t>para provisión</t>
  </si>
  <si>
    <t>Quedan #2725 pago desalojo de desechos</t>
  </si>
  <si>
    <t>CP00037814</t>
  </si>
  <si>
    <t>SGSB</t>
  </si>
  <si>
    <t>761-A</t>
  </si>
  <si>
    <t>E-13-05-05-00</t>
  </si>
  <si>
    <t>CREA PUBLICIDAD, SA CV</t>
  </si>
  <si>
    <t>Quedan #2726 DCI/2024 Comunicados y Esquelas lamenta el fallecimiento de Sr. Gustavo García Argueta -01/02/2024</t>
  </si>
  <si>
    <t>CP00037607</t>
  </si>
  <si>
    <t>E-17-05-02-00</t>
  </si>
  <si>
    <t>762-A</t>
  </si>
  <si>
    <t>Quedan #2726 pago publicidad</t>
  </si>
  <si>
    <t>CP00037608</t>
  </si>
  <si>
    <t>E-17-05-01-00</t>
  </si>
  <si>
    <t>PORFIRIO ALVARADO</t>
  </si>
  <si>
    <t>Quedan #2727 Mantenimiento/24 Reparación de vehículo P: 643654 y P:669446 servicios generales cambio de aceite.</t>
  </si>
  <si>
    <t>CP00037816</t>
  </si>
  <si>
    <t>763-A</t>
  </si>
  <si>
    <t>Quedan #2727 Mantenimiento/24 Reparación de vehículo P: 762271 servicios generales cambio de aceite.</t>
  </si>
  <si>
    <t>CP00037817</t>
  </si>
  <si>
    <t>INVERSIONES ARB, SA CV</t>
  </si>
  <si>
    <t>Quedan #2728 Pago de transporte para Proyección Social</t>
  </si>
  <si>
    <t>CP00037611</t>
  </si>
  <si>
    <t>E-12-01-03-03</t>
  </si>
  <si>
    <t>Quedan #2729 Conferencia/2024 Conferencia "Perspectivas Económicas"</t>
  </si>
  <si>
    <t>CP00037612</t>
  </si>
  <si>
    <t>HOTELES, SA CV</t>
  </si>
  <si>
    <t>Quedan #2730 pago de desayuno anual - Red Utec</t>
  </si>
  <si>
    <t>CP00037613</t>
  </si>
  <si>
    <t>E-24-04-01-01</t>
  </si>
  <si>
    <t>TECNOIMPRESOS, SA CV</t>
  </si>
  <si>
    <t>Quedan #2733 Material didáctico/2024 Compra de 50 paquetes didácticos "Setaco" Escuela de Idiomas</t>
  </si>
  <si>
    <t>CP00037623</t>
  </si>
  <si>
    <t>767-A</t>
  </si>
  <si>
    <t>Quedan #2733 Proyección Social/2024 Elaboración e impresión de 2 diplomas para panelistas Dr. René Jiménez y Dra. Verónica Hidalgo "La lucha contra el cáncer"</t>
  </si>
  <si>
    <t>CP00037624</t>
  </si>
  <si>
    <t>767-B</t>
  </si>
  <si>
    <t>Quedan #2733 Proyección social/2024 Certificado de reconocimiento Dra. Damaris Tejedor</t>
  </si>
  <si>
    <t>CP00037625</t>
  </si>
  <si>
    <t>Quedan #2735 Pago servicio de fotocopias febrero Investigaciones 2024</t>
  </si>
  <si>
    <t>CP00037812</t>
  </si>
  <si>
    <t>550 - 32111</t>
  </si>
  <si>
    <t>768-A</t>
  </si>
  <si>
    <t>Quedan #2735 Pago servicio de fotocopias febrero Proyección social 2024</t>
  </si>
  <si>
    <t>768-B</t>
  </si>
  <si>
    <t>Quedan #2735 Pago servicio de fotocopias febrero MAE2024</t>
  </si>
  <si>
    <t>768-C</t>
  </si>
  <si>
    <t>Quedan #2735 Pago servicio de fotocopias febrero 2024</t>
  </si>
  <si>
    <t>768-D</t>
  </si>
  <si>
    <t>768-E</t>
  </si>
  <si>
    <t>768-F</t>
  </si>
  <si>
    <t>768-G</t>
  </si>
  <si>
    <t>768-H</t>
  </si>
  <si>
    <t>768-I</t>
  </si>
  <si>
    <t>768-J</t>
  </si>
  <si>
    <t>768-K</t>
  </si>
  <si>
    <t>768-L</t>
  </si>
  <si>
    <t>768-M</t>
  </si>
  <si>
    <t>E-25-01-02-00</t>
  </si>
  <si>
    <t>768-N</t>
  </si>
  <si>
    <t>768-O</t>
  </si>
  <si>
    <t>768-P</t>
  </si>
  <si>
    <t>SERVICIOS AMBIENTALES ESPECIALIZADOS, SA CV</t>
  </si>
  <si>
    <t>Quedan #2736 pago servicios de desechos</t>
  </si>
  <si>
    <t>CP00037643</t>
  </si>
  <si>
    <t>Quedan #2737 Pago de refrigerios "Curso de especialización en Recursos educativos DTC</t>
  </si>
  <si>
    <t>CP00037669</t>
  </si>
  <si>
    <t>770-A</t>
  </si>
  <si>
    <t>Quedan #2737 Pago de refrigerios "Curso de especialización en Recursos educativos DHC</t>
  </si>
  <si>
    <t>CP00037670</t>
  </si>
  <si>
    <t>DHL EXPRESS EL SALVADOR, SA CV</t>
  </si>
  <si>
    <t>Quedan #2738 pago importación de Corea</t>
  </si>
  <si>
    <t>CP00037671</t>
  </si>
  <si>
    <t>ACELERA, S,A DE C.V</t>
  </si>
  <si>
    <t>Quedan #2739 Pago de arrendamiento equipo Lab3D, marzo 2024</t>
  </si>
  <si>
    <t>CP00037687</t>
  </si>
  <si>
    <t>E-12-02-01-01</t>
  </si>
  <si>
    <t>UNIVERISDAD DE INVESTIGACION E INNOVACION DE MEXICO</t>
  </si>
  <si>
    <t>Pago en linea de Lic. Aldon Valentin cuota 7</t>
  </si>
  <si>
    <t>CP00037995</t>
  </si>
  <si>
    <t>Pago primera quincena mes de marzo 2024.</t>
  </si>
  <si>
    <t>CP00038019</t>
  </si>
  <si>
    <t>Pago del 1 al 15 de marzo 2024</t>
  </si>
  <si>
    <t>NIDIA ESMERALDA URRUTIA</t>
  </si>
  <si>
    <t>Publicidad Promocional/2024 Pago de 305 refrigerios visita de alumnos preespecialidad Campus MAE periodo 24 de enero al 19 de febrero 2024</t>
  </si>
  <si>
    <t>CP00037991</t>
  </si>
  <si>
    <t>E-13-09-04-10</t>
  </si>
  <si>
    <t>DEICE S.A DE C.V</t>
  </si>
  <si>
    <t>PAGO DE ALQUILER, AGUA POTABLES, AIRE LOCAL PLAZA MUNDO 2024.</t>
  </si>
  <si>
    <t>CP00038020</t>
  </si>
  <si>
    <t>CP00038021</t>
  </si>
  <si>
    <t>Pago de rotulo de totem Calle Montecarmelo mes de marzo 2024.</t>
  </si>
  <si>
    <t>WENDY CONCEPCION RODRIGUEZ GARCIA</t>
  </si>
  <si>
    <t>Pago de refrigerio escuela de antropologia</t>
  </si>
  <si>
    <t>CP00038138</t>
  </si>
  <si>
    <t>E-21-08-02-00</t>
  </si>
  <si>
    <t>PAGO DE LICENCIAS DE FUNCIONAMIENTO 2024</t>
  </si>
  <si>
    <t>CB00027378</t>
  </si>
  <si>
    <t xml:space="preserve">SIGET </t>
  </si>
  <si>
    <t>TASA ANUAL POR LABORES DE GESTÓN ADMINISTRATIVA Y VIGILANCIA DE ESPECTRO RADIOELÉCTRONICO-RENUNCIA DE RADIO UTEC SEGUN RESULUCIÓN T-0590-2023</t>
  </si>
  <si>
    <t>ALMACENES VIDRI, SA CV</t>
  </si>
  <si>
    <t>Quedan #2731 compra materiales para existencia</t>
  </si>
  <si>
    <t>CP00037229</t>
  </si>
  <si>
    <t>PARA PROVISIÓN</t>
  </si>
  <si>
    <t>TRULYN, SA CV</t>
  </si>
  <si>
    <t>Quedan #2732 servicio único de fumigación en Metrocentro</t>
  </si>
  <si>
    <t>CP00037619</t>
  </si>
  <si>
    <t>E-24-05-05-00</t>
  </si>
  <si>
    <t>CENTRO DE LLAMADAS LA CENTROAMERICANA, SA CV</t>
  </si>
  <si>
    <t>Quedan #2734 Compra de 4 llantas para P:760-933</t>
  </si>
  <si>
    <t>CP00037627</t>
  </si>
  <si>
    <t xml:space="preserve">MARIA LILIAN AYALA DE BURGOS </t>
  </si>
  <si>
    <t>SERVICIOS PROFESIONALES/24 HONORARIOS POR SERVICIOS PROFESIONALES 02-2024</t>
  </si>
  <si>
    <t>CP00037933</t>
  </si>
  <si>
    <t>MULTIPROMOCIONES, S.A DE C.V</t>
  </si>
  <si>
    <t>RED DE COLEGIOS - PROMOCIONALES P/ DIRECTORES</t>
  </si>
  <si>
    <t>CP00037420</t>
  </si>
  <si>
    <t>E-13-09-04-11</t>
  </si>
  <si>
    <t xml:space="preserve">CARLOS LUCIANO VALENCIA </t>
  </si>
  <si>
    <t>TERCER Y ULTIMO PAGO DE INDEMNIZACIÓN LABORAL DEL 01/02/1986 AL 31/01/2024</t>
  </si>
  <si>
    <t>ENERGIA ELECTRICA FEBRERO 2024</t>
  </si>
  <si>
    <t>IMPUESTOS DE ALCALDIA FEBRERO 2024</t>
  </si>
  <si>
    <t>Pago de refrigerio para el seminario pla de vida.</t>
  </si>
  <si>
    <t>Reintegro de compra de cafe reuniones de salon Ellacuria.</t>
  </si>
  <si>
    <t>CP00038000</t>
  </si>
  <si>
    <t>OSCAR ORLANDO MENDEZ ROSA</t>
  </si>
  <si>
    <t>Viaticos por 8 dias actividades del proyecto Ingles para un Futuro Mejor</t>
  </si>
  <si>
    <t xml:space="preserve">Reintegro por compra de boleto aéreo </t>
  </si>
  <si>
    <t>Reintegro gastos p/eventos Institucionales/2024 Compra de refrigerio p/reunión con padres de familia CCSS</t>
  </si>
  <si>
    <t>CP00037990</t>
  </si>
  <si>
    <t>ADINCE S.A DE C.V</t>
  </si>
  <si>
    <t>Pago de cuota de CAM mes de marzo 2024 Local plaza Mundo.</t>
  </si>
  <si>
    <t xml:space="preserve">Prestaciones al personal codigo 1 del 1 al 15 de Marzo  2024 </t>
  </si>
  <si>
    <t>CP00037996</t>
  </si>
  <si>
    <t>CP00037997</t>
  </si>
  <si>
    <t xml:space="preserve">CARLOS ALBERTO MENDOZA VALIENTE </t>
  </si>
  <si>
    <t>CP00037998</t>
  </si>
  <si>
    <t>CP00037999</t>
  </si>
  <si>
    <t>DATASAFE EL SALVADOR, S.A DE C.V</t>
  </si>
  <si>
    <t>Alquiler/2024 Almacenamiento documentos Admón. Académica 02/2024</t>
  </si>
  <si>
    <t>CP00037259</t>
  </si>
  <si>
    <t>Quedan #2740 Gtos.de viaje/24 combustible personal ejecutivos 02/2024</t>
  </si>
  <si>
    <t>CP00037704</t>
  </si>
  <si>
    <t>PROVISION</t>
  </si>
  <si>
    <t>Quedan #2741 Reunión padres de familia/2024 Compra de 200 refrigerios para reunión de padres de familia realizada el día 02/03/2024</t>
  </si>
  <si>
    <t>CP00037916</t>
  </si>
  <si>
    <t>E-26-02-04-02</t>
  </si>
  <si>
    <t>MOBILE EL SALVADOR, SA CV</t>
  </si>
  <si>
    <t>Quedan #2742 pago servicios tecnológicos, marzo</t>
  </si>
  <si>
    <t>CP00037917</t>
  </si>
  <si>
    <t>INVERSIONES DIDACTICAS, SA CV</t>
  </si>
  <si>
    <t>Quedan #2743 Mantenimiento/2024 Compra de 20 Mouse, 8 UPS, 20 baterías CMOS</t>
  </si>
  <si>
    <t>CP00037918</t>
  </si>
  <si>
    <t>CALLEJA, SA CV</t>
  </si>
  <si>
    <t>Quedan #2745  Alquiler/2024 Arrendamiento parqueo ex-didea, 03/2024</t>
  </si>
  <si>
    <t>CP00037920</t>
  </si>
  <si>
    <t>Quedan #2746 Proyección Social/2024 Pago de visita a la Alcaldía Municipal de Panchimalco F.Ciencias Sociales</t>
  </si>
  <si>
    <t>CP00037921</t>
  </si>
  <si>
    <t>COMUNICACIONES IBW EL SALVADOR, SA CV</t>
  </si>
  <si>
    <t>Quedan #2747 Serv. tecnológicos/24 Internet alumnos campus UTEC 03/24 Fibra óptica</t>
  </si>
  <si>
    <t>CP00037922</t>
  </si>
  <si>
    <t>DADA DADA Y CIA, SA CV</t>
  </si>
  <si>
    <t>Quedan #2748 Arrendamiento de servidor de telefonía en Campus MAE Dr. JML Marzo/2024</t>
  </si>
  <si>
    <t>CP00037923</t>
  </si>
  <si>
    <t>808-A</t>
  </si>
  <si>
    <t>Quedan #2748 Arrendamiento de central telefónica en Casa Ing. Adolfo Araujo Marzo/2024</t>
  </si>
  <si>
    <t>CP00037925</t>
  </si>
  <si>
    <t>808-B</t>
  </si>
  <si>
    <t>Quedan #2748  Arrendamiento 1 teléfono Vtech modelo CS6919-15 Presidencia Dr. Loucel- Marzo/2024</t>
  </si>
  <si>
    <t>CP00037924</t>
  </si>
  <si>
    <t>808-C</t>
  </si>
  <si>
    <t>Quedan #2748 Arrendamiento central telefónica, Marzo/2024</t>
  </si>
  <si>
    <t>CP00037926</t>
  </si>
  <si>
    <t>OJOS DE AGUILA, SA CV</t>
  </si>
  <si>
    <t>Quedan #2750 Servicio de seguridad a la institución Marzo/2024</t>
  </si>
  <si>
    <t>CP00038001</t>
  </si>
  <si>
    <t>3276 - 32110</t>
  </si>
  <si>
    <t>809-A</t>
  </si>
  <si>
    <t>Quedan #2750 Servicio de seguridad a la institución MAE Marzo/2024</t>
  </si>
  <si>
    <t>MONTEALBAN, SA CV</t>
  </si>
  <si>
    <t>Quedan #2751 Investigaciones/2024 Asesoría administrativa, financiera y mercadológica Marzo/2024</t>
  </si>
  <si>
    <t>CP00037931</t>
  </si>
  <si>
    <t>810-A</t>
  </si>
  <si>
    <t>Quedan #2751 Alquiler/2024 Arrendamiento inmueble ubicado en la  Calle Arce contiguo al inmueble identificado con el 1075 mes de Marzo/2024</t>
  </si>
  <si>
    <t>CP00037928</t>
  </si>
  <si>
    <t>810-B</t>
  </si>
  <si>
    <t>Quedan #2751 Alquiler/2024 Alquiler de inmueble ubicado en 17 Av. Norte número 119 Marzo/2024</t>
  </si>
  <si>
    <t>CP00037929</t>
  </si>
  <si>
    <t>E-15-02-00-00</t>
  </si>
  <si>
    <t>LA CONSTANCIA LIMITADA DE CV</t>
  </si>
  <si>
    <t>Quedan #2752 Insumos de Oficina/2024 Consumo de agua cristal Febrero 2024</t>
  </si>
  <si>
    <t>CG00001166</t>
  </si>
  <si>
    <t>811-A</t>
  </si>
  <si>
    <t>Quedan #2752 Insumos de Oficina/2024 Consumo de agua cristal Escuela de Dirección de Proyección Social Febrero 2024</t>
  </si>
  <si>
    <t>811-C</t>
  </si>
  <si>
    <t>Quedan #2752 Insumos de Oficina/2024 Consumo de agua cristal Nvo Ingreso Plaza Mundo Soyapango Febrero 2024</t>
  </si>
  <si>
    <t>811-D</t>
  </si>
  <si>
    <t>Quedan #2752 Insumos de Oficina/2024 Consumo de agua cristal Maestrías Febrero 2024</t>
  </si>
  <si>
    <t>811-E</t>
  </si>
  <si>
    <t>Quedan #2752 Insumos de Oficina/2024 Consumo de agua cristal Polideporivo Febrero 2024</t>
  </si>
  <si>
    <t>Quedan #2753 Arrendamiento/2024 Casa#116 Dirección de Recursos Humanos, Marzo 2024</t>
  </si>
  <si>
    <t>CP00037956</t>
  </si>
  <si>
    <t>812-A</t>
  </si>
  <si>
    <t>Quedan #2753 Material didáctico/2024 Compra de 25 paquetes didácticos "Setaco" Escuela de Idiomas</t>
  </si>
  <si>
    <t>CP00037958</t>
  </si>
  <si>
    <t>812-B</t>
  </si>
  <si>
    <t>Quedan #2753 Papelería y útiles/2024 Compra de 100 fascículos #35 "La resilencia y adaptación de mujeres migrantes retornadas a su país de origen"</t>
  </si>
  <si>
    <t>CP00037960</t>
  </si>
  <si>
    <t>812-C</t>
  </si>
  <si>
    <t>Quedan #2753 Papelería y útiles/2024 Empastados de directorios ejecutivos años 2021 y 2022</t>
  </si>
  <si>
    <t>CP00037959</t>
  </si>
  <si>
    <t>812-D</t>
  </si>
  <si>
    <t>Quedan #2753Revistas/2024 Compra de 25 revistas "El historiante de Panchimalco"</t>
  </si>
  <si>
    <t>CP00037961</t>
  </si>
  <si>
    <t>812-E</t>
  </si>
  <si>
    <t>Quedan #2753 Fondos ajenos/2024 Compra de 500 libros "Liderazgo impulsado por el Alma" proyecto Inglés para un futuro mejor</t>
  </si>
  <si>
    <t>CP00037962</t>
  </si>
  <si>
    <t>A-34-01-00-00</t>
  </si>
  <si>
    <t>ENMANUEL, SA CV</t>
  </si>
  <si>
    <t>Quedan #2754 pago aromas en Metrocentro</t>
  </si>
  <si>
    <t>CP00037964</t>
  </si>
  <si>
    <t>DUTRIZ HERMANOS, SA CV</t>
  </si>
  <si>
    <t>Quedan #2755 Membresías y suscrip/24 Suscripciones anual Dirección de Relaciones Corporativas</t>
  </si>
  <si>
    <t>CP00037966</t>
  </si>
  <si>
    <t>E-30-01-01-00</t>
  </si>
  <si>
    <t>PEDRO ALFONSO REGALADO CUELLAR</t>
  </si>
  <si>
    <t>Quedan #2756 Alquiler /2024  P.A.R.Edificio Thomas Jefferson Escuela de Negocios, Marzo 2024</t>
  </si>
  <si>
    <t>CP00038463</t>
  </si>
  <si>
    <t>ALOE, SA CV</t>
  </si>
  <si>
    <t>Quedan #2758 Servicios profesionales/24 Servicio de limpieza y jardinería a la institución 03/2024</t>
  </si>
  <si>
    <t>CP00037973</t>
  </si>
  <si>
    <t>816-A</t>
  </si>
  <si>
    <t>Quedan #2758 Servicios profesionales/24 Servicio de limpieza y jardinería a la institución MAE 03/2024</t>
  </si>
  <si>
    <t>SEMAES, SA CV</t>
  </si>
  <si>
    <t>Quedan #2759 Servicio de mantenimiento/24 Servicios de mantenimiento a la institución 03/2024</t>
  </si>
  <si>
    <t>CP00037974</t>
  </si>
  <si>
    <t>ACADEMIA SALVADOREÑA DE LA HISTORIA</t>
  </si>
  <si>
    <t>Quedan #2760 Donaciones/2024 Aporte para el desarrollo de programas culturales 03/2024</t>
  </si>
  <si>
    <t>CP00037975</t>
  </si>
  <si>
    <t>Quedan #2761 Suscripciones/2024 membresía año 2024 miembro AMCHAM</t>
  </si>
  <si>
    <t>CP00037977</t>
  </si>
  <si>
    <t>E-30-01-03-00</t>
  </si>
  <si>
    <t>CLEAN AIR, SA CV</t>
  </si>
  <si>
    <t>Quedan #2762 Mantenimiento/2024 Servicio de go clean electrónico y servicio de rejilla en el campus 3/6</t>
  </si>
  <si>
    <t>CP00037978</t>
  </si>
  <si>
    <t>E-19-02-03-01</t>
  </si>
  <si>
    <t>INVERSIONES MAGAÑA DALTON, SA CV</t>
  </si>
  <si>
    <t>Quedan #2763 Alquiler /2024  I.M.D. Edificio Thomas Jefferson Escuela de Negocios- Marzo/2024</t>
  </si>
  <si>
    <t>CP00037980</t>
  </si>
  <si>
    <t>Quedan #2766 Donaciones/24 Donación para hogar del niño minusválido correspondiente al mes de Marzo del 2024</t>
  </si>
  <si>
    <t>CP00037986</t>
  </si>
  <si>
    <t>EDHIT ORBELINA RODRIGUEZ LIBORIO DE MOLINA</t>
  </si>
  <si>
    <t>Alquiler/2024 E.O.R Arrendamiento casa 17Av.Nte. #118</t>
  </si>
  <si>
    <t>CP00038005</t>
  </si>
  <si>
    <t>Alquileres/2024 Arrendamiento apto. Marbella 03-2024</t>
  </si>
  <si>
    <t>CP00038011</t>
  </si>
  <si>
    <t>E-15-08-00-00</t>
  </si>
  <si>
    <t>SILVIA TAMARA GRACIELA MAGDALENA POSADA D FRANCO</t>
  </si>
  <si>
    <t>Alquiler /2024 S.T.G. Edificio Thomas Jefferson Escuela de informática  03/2024</t>
  </si>
  <si>
    <t>CP00038004</t>
  </si>
  <si>
    <t>JOSE ARTURO LOPEZ MALUMBRES</t>
  </si>
  <si>
    <t>Servicios profesionales principios y valores para personal administrativo 03/2024</t>
  </si>
  <si>
    <t>CP00038006</t>
  </si>
  <si>
    <t>Pago de Viáticos Malumbres 03/2024</t>
  </si>
  <si>
    <t>CP0003807</t>
  </si>
  <si>
    <t>Pago de maestria de Licda. Beatriz Martinez 3° cuota</t>
  </si>
  <si>
    <t>ELENA MARIA LACAYO DE ALFARO</t>
  </si>
  <si>
    <t>Dietas Senado Consultivo</t>
  </si>
  <si>
    <t>CP00038040</t>
  </si>
  <si>
    <t>E-26-01-01-01</t>
  </si>
  <si>
    <t>CP00038041</t>
  </si>
  <si>
    <t>NELSON ZARATE SANCHEZ</t>
  </si>
  <si>
    <t>CP00038042</t>
  </si>
  <si>
    <t>EDUARDO BUENAVENTURA BADIA</t>
  </si>
  <si>
    <t>CP00038043</t>
  </si>
  <si>
    <t>ROBERTO ANTONIO GALICIA</t>
  </si>
  <si>
    <t>CP00038044</t>
  </si>
  <si>
    <t>HUMBERTO CORADO FIGUEROA</t>
  </si>
  <si>
    <t>CP00038045</t>
  </si>
  <si>
    <t>HERMAN ALBERTO ARENE GUERRA</t>
  </si>
  <si>
    <t>CP00038046</t>
  </si>
  <si>
    <t>HUGO ROBERTO CARRILLO CORLETO</t>
  </si>
  <si>
    <t>CP00038047</t>
  </si>
  <si>
    <t>ANGELA LORENA DUQUE DE RODRIGUEZ</t>
  </si>
  <si>
    <t>CP00038048</t>
  </si>
  <si>
    <t>WILLIAM ADALBERTO PLEITEZ RODRIGUEZ</t>
  </si>
  <si>
    <t>CP00038049</t>
  </si>
  <si>
    <t>CP00038050</t>
  </si>
  <si>
    <t>JOSE DOMINGO MENDEZ ESPINOZA</t>
  </si>
  <si>
    <t>CP00038095</t>
  </si>
  <si>
    <t>MARIO ENRIQUE SAENZ CEVALLO</t>
  </si>
  <si>
    <t>CP00038055</t>
  </si>
  <si>
    <t>ENRIQUE BORGO BUSTAMANTE</t>
  </si>
  <si>
    <t>CP00038051</t>
  </si>
  <si>
    <t>JOSE MAURICIO LOUCEL FUNES</t>
  </si>
  <si>
    <t>CP00038039</t>
  </si>
  <si>
    <t xml:space="preserve">Energía eléctrica 02/2024/ Impuestos Municipales 3/2024			
</t>
  </si>
  <si>
    <t xml:space="preserve">CLAUDIA MARCELA ZÚNIGA MEDRANO </t>
  </si>
  <si>
    <t>RENUNCIA VOLUNTARÍA CARGO DE TÉCNICO II TRANSFERENCIAS P/DECANATO DE ESTUDIANTES A PARTIR DEL 9 DE MARZO DEL 2024</t>
  </si>
  <si>
    <t>PRESTACIONES AL PERSONAL/MEMBRESIA 03-2024-ING. ZARATE</t>
  </si>
  <si>
    <t>PRESTACIONES AL PERSONAL/MEMBRESIA 03-2024</t>
  </si>
  <si>
    <t>AGUA POTABLE FEBRERO 2024</t>
  </si>
  <si>
    <t>DIRECION GENERAL DE TESORERIA</t>
  </si>
  <si>
    <t>IMPUESTOS MES DE FEBRERO 2024</t>
  </si>
  <si>
    <t>CARLOS ANTONIO JUAREZ</t>
  </si>
  <si>
    <t>Direccion de Nuevo Ingreso</t>
  </si>
  <si>
    <t>E-24-04-02-03</t>
  </si>
  <si>
    <t>Direccion de Recursos Humanos</t>
  </si>
  <si>
    <t>SILVIA ROCIO GONZALEZ</t>
  </si>
  <si>
    <t>Pago der servicios profesionales de encuesta Red de colegios UTEC</t>
  </si>
  <si>
    <t>CP00038238</t>
  </si>
  <si>
    <t>E-08-03-04-01</t>
  </si>
  <si>
    <t>JESSICA IVON PEREZ DE CALDERON</t>
  </si>
  <si>
    <t>CP00038239</t>
  </si>
  <si>
    <t>JORGE ERNESTO RIVAS HERNANDEZ</t>
  </si>
  <si>
    <t>CP00038240</t>
  </si>
  <si>
    <t>JUAN CARLOS MEJIA MONTALVO</t>
  </si>
  <si>
    <t>CP00038241</t>
  </si>
  <si>
    <t>KARLA STEPHANIE MARTINEZ VENTURA</t>
  </si>
  <si>
    <t>CP00038224</t>
  </si>
  <si>
    <t>KETHERINE JOHANA  JUAREZ MENDEZ</t>
  </si>
  <si>
    <t>CP00038236</t>
  </si>
  <si>
    <t>LORNA VANESSA MELENDEZ RIVAS</t>
  </si>
  <si>
    <t>CP00038244</t>
  </si>
  <si>
    <t>SANDRA ROXANA HERNANDEZ GARCIA</t>
  </si>
  <si>
    <t>CP00038243</t>
  </si>
  <si>
    <t>OSCAR WILFRESO MONTOYA GUEVARA</t>
  </si>
  <si>
    <t>CP00038242</t>
  </si>
  <si>
    <t>MAURICIO LEONEL ALVARADO</t>
  </si>
  <si>
    <t>Pago de matricula de estudio doctorado</t>
  </si>
  <si>
    <t>CP00038219</t>
  </si>
  <si>
    <t>WILFREDO ALONSO MARROQUIN</t>
  </si>
  <si>
    <t>Cheque a liquidar compras varias inicio de clases coreanas</t>
  </si>
  <si>
    <t>CONSTRUMARKET, SA CV</t>
  </si>
  <si>
    <t>Quedan #2744 Inversiones/2024 Compra de 2 sillas ejecutivas y 7 secretariales</t>
  </si>
  <si>
    <t>CP00037919</t>
  </si>
  <si>
    <t>SGBS</t>
  </si>
  <si>
    <t>FREUND, SA CV</t>
  </si>
  <si>
    <t>Quedan #2749 Mantenimiento/2024 Compra de materiales p/ USO DE OBREROS.</t>
  </si>
  <si>
    <t>CP00037211</t>
  </si>
  <si>
    <t>866-A</t>
  </si>
  <si>
    <t>Quedan #2749 Mantenimiento/2024 Compra de CAFETERA / ESCUELA DE CIENCIAS APLICADAS Y VR. FINANCIERA</t>
  </si>
  <si>
    <t>CP00037308</t>
  </si>
  <si>
    <t>866-B</t>
  </si>
  <si>
    <t>Quedan #2749 Mantenimiento/2024 Compra de SELLO DE PISO EN CLINICA MEDICA</t>
  </si>
  <si>
    <t>CP00037309</t>
  </si>
  <si>
    <t>866-C</t>
  </si>
  <si>
    <t>Quedan #2749 Mantenimiento/2024  Compra de materiales p/ ELABORACION DE CUBICULOS EN CLINICA MEDICA.</t>
  </si>
  <si>
    <t>CP00037186</t>
  </si>
  <si>
    <t>MULTIPROMOCIONES, SA CV **</t>
  </si>
  <si>
    <t>Compra de camisas promocionales para programa Inglés para un futuro mejor / presupuesto 2024 fondos ajenos, solicitado por DRI /Escuela de Idiomas</t>
  </si>
  <si>
    <t>PARA CHEQUE</t>
  </si>
  <si>
    <t>CESAR ARMANDO PORTILLO CHAVEZ **</t>
  </si>
  <si>
    <t>Compra de 26 barriles plásticos para uso en recolección de basura, los cuales serán ubicados en talleres, Simón Bolivar y J.L.Borges / autorizado por Vicepresidencia</t>
  </si>
  <si>
    <t>CP00038201</t>
  </si>
  <si>
    <t>Quedan #2757 Mantenimiento/2024 Compra de bolsas para existencia en proveeduría</t>
  </si>
  <si>
    <t>CP00038165</t>
  </si>
  <si>
    <t>PARA PROVISION</t>
  </si>
  <si>
    <t>DPG, SA CV</t>
  </si>
  <si>
    <t>Quedan #2764 Papelería y útiles/2024 Compra de papelería p/EXISTENCIA EN PROVEEDURIA.</t>
  </si>
  <si>
    <t>CP00038167</t>
  </si>
  <si>
    <t>Quedan #2765 Mantenimiento/2024 Compra de materiales de CARPINTERIA p/EXISTENCIAS</t>
  </si>
  <si>
    <t>CP00037640</t>
  </si>
  <si>
    <t>871-A</t>
  </si>
  <si>
    <t>CP00037644</t>
  </si>
  <si>
    <t>871-B</t>
  </si>
  <si>
    <t>Quedan #2765 Mantenimiento/2024 Compra de materiales p/TRABAJOS ELECTRICOS EN LABORATORIO CISCO.</t>
  </si>
  <si>
    <t>CP00037694</t>
  </si>
  <si>
    <t>LIBERTY NETWORKS EL SALVADOR, SA CV</t>
  </si>
  <si>
    <t>Quedan #2767 Internet Administrativo PJGU Marzo/2024</t>
  </si>
  <si>
    <t>CP00037994</t>
  </si>
  <si>
    <t>872-A</t>
  </si>
  <si>
    <t>Quedan #2767 Servicio internet campus Utec Marzo/2024</t>
  </si>
  <si>
    <t>CP00037992</t>
  </si>
  <si>
    <t>872-B</t>
  </si>
  <si>
    <t>Quedan #2767 Servicio/2024 Conectividad con redundancia y security solutions en MAE Boulevard Constitución y 3a Calle poniente, Escalón Marzo/2024</t>
  </si>
  <si>
    <t>CP00037993</t>
  </si>
  <si>
    <t xml:space="preserve">Telefónica Moviles El Salvador </t>
  </si>
  <si>
    <t>Servicio de internet Centro de soluciones 2/24</t>
  </si>
  <si>
    <t>Servicio de Internet Metrocentro 2/24</t>
  </si>
  <si>
    <t>Servicio de Internet Plaza Mundo 2/24</t>
  </si>
  <si>
    <t>Servicio de teléfono Plaza Mundo 2/24</t>
  </si>
  <si>
    <t>Servicio de teléfono Vr. de Investigaciones 2/24</t>
  </si>
  <si>
    <t>Servicio de teléfono Maestria 2/24</t>
  </si>
  <si>
    <t>MONICA ABIGAIL HERNANDEZ</t>
  </si>
  <si>
    <t>Pago de servicios profesionales proyecto Ingles para el Futuro</t>
  </si>
  <si>
    <t>CP00038186</t>
  </si>
  <si>
    <t>E-32-05-07-00</t>
  </si>
  <si>
    <t>CANDIDA LUZ VELASCO</t>
  </si>
  <si>
    <t>Liquidacion al 17 de marzo  del 2023-2024.</t>
  </si>
  <si>
    <t>877-A</t>
  </si>
  <si>
    <t>Pago de Impuestos municipales mes de Marzo  2024 /DESECHOS SOLIDOS</t>
  </si>
  <si>
    <t>877-B</t>
  </si>
  <si>
    <t>Pago de Impuestos municipales mes de Marzo 2024 /IMPUESTOS MUNICIPALES -MAE</t>
  </si>
  <si>
    <t xml:space="preserve">CLUB CAMPESTRE CUSCATLÁN </t>
  </si>
  <si>
    <t>MEMBRESIAS Y CONSUMOS MINIMOS 03/2024</t>
  </si>
  <si>
    <t>MEMBRESIAS CIRCULO DEPORTIVO INTERNACIONAL 03-2024</t>
  </si>
  <si>
    <t xml:space="preserve">ANDREA ELISA LARA DE LARIOS </t>
  </si>
  <si>
    <t xml:space="preserve">INDEMNIZACIÓN LABORAL DEL 06/05/2023 AL 05/05/2024 </t>
  </si>
  <si>
    <t>OSCAR RICARDO VALENTIN QUINTANILLA</t>
  </si>
  <si>
    <t>Segundo pago de capacitacion del Programa de formacion de maesstro</t>
  </si>
  <si>
    <t>CP00038396</t>
  </si>
  <si>
    <t>RBMMB</t>
  </si>
  <si>
    <t xml:space="preserve">TRANSFERENCIA </t>
  </si>
  <si>
    <t>HONORARIOS POR SERVICIOS PROFESIONALES COMO COLABORADORA EN RECTORIA CORRESPONDIENTE AL MES DE 03-2024</t>
  </si>
  <si>
    <t>CP00038154</t>
  </si>
  <si>
    <t>E-01-05-03-00</t>
  </si>
  <si>
    <t>TRANSFERENCIA BCO AZUL</t>
  </si>
  <si>
    <t>EVELYN GUADALUPE ALFARO</t>
  </si>
  <si>
    <t>PAGO DE ESTIPENDIO MES DE MARZO 2024</t>
  </si>
  <si>
    <t>CP00038200</t>
  </si>
  <si>
    <t>PAGO DE ESTIPENDIO MES DE MARZO 2024.</t>
  </si>
  <si>
    <t>ADRIANA YAMILETH RODRIGUEZ ARTEAGA</t>
  </si>
  <si>
    <t>pAGO DE ESTIPENDIO MES DE MARZO 2024.</t>
  </si>
  <si>
    <t>CP00038195</t>
  </si>
  <si>
    <t>CP00038193</t>
  </si>
  <si>
    <t>CP00038202</t>
  </si>
  <si>
    <t>SERVICIOS INDUSTRIALES AUTOMATIZACION Y LOGISTICA, SA CV</t>
  </si>
  <si>
    <t>Quedan #2768 Mantenimiento/2024 Servicio de mantenimiento preventivo a elevador Sakura Schindler, en Los Fundadores 03/2024</t>
  </si>
  <si>
    <t>CP00038123</t>
  </si>
  <si>
    <t xml:space="preserve">Quedan #2769 Fondos ajenos/2024 Compra </t>
  </si>
  <si>
    <t>PUNTOXPRESS, SA CV</t>
  </si>
  <si>
    <t>Quedan #2771 Gastos Financieros/24 comisión por recepción de pagos recibidos durante el mes de 02/2024</t>
  </si>
  <si>
    <t>CP00038125</t>
  </si>
  <si>
    <t>Quedan #2772 Nvo Ingreso/2024 Compra de 60 desayunos para padres de familia F. Derecho</t>
  </si>
  <si>
    <t>CP00038127</t>
  </si>
  <si>
    <t>891-A</t>
  </si>
  <si>
    <t>Quedan #2772 CIOPS/2024 Compra de 12 almuerzos para el personal entrevistador</t>
  </si>
  <si>
    <t>CP00038126</t>
  </si>
  <si>
    <t>TREND, MARKETING DIGITAL, SA CV</t>
  </si>
  <si>
    <t>Quedan #2774 Mantenimiento sitio web www.utec.edu.sv; Marzo 2024</t>
  </si>
  <si>
    <t>CP00038130</t>
  </si>
  <si>
    <t>892-A</t>
  </si>
  <si>
    <t>Quedan #2776 Mantenimiento de limpieza/2024 Servicio de recolección de desechos bioinfecciosos 02/2024</t>
  </si>
  <si>
    <t>CP00038134</t>
  </si>
  <si>
    <t>Quedan #2778 Nvo Ingreso/24 Serv., de aromatización y desodoración Plaza Mundo, (26/02 al 24/03)</t>
  </si>
  <si>
    <t>CP00038139</t>
  </si>
  <si>
    <t>Quedan #2779 Nuevo Ingreso/2024 Fumigación para control de plaga en centro de atención Plaza Mundo 03/2024</t>
  </si>
  <si>
    <t>CP00038140</t>
  </si>
  <si>
    <t>GRACIELA HAYDEE MAGAÑA DE FORTIN MAGAÑA</t>
  </si>
  <si>
    <t>Quedan #2780 Alquiler /2024 S.T.G. Edificio Thomas Jefferson Escuela de informática  04/2024</t>
  </si>
  <si>
    <t>CP00038438</t>
  </si>
  <si>
    <t>DATASAFE EL SALVADOR, SA CV</t>
  </si>
  <si>
    <t>Quedan #2781 Alquiler/2024 Almacenamiento documentos Admón. Académica 03/2024</t>
  </si>
  <si>
    <t>CP00038144</t>
  </si>
  <si>
    <t>Quedan #2782 Donaciones/2024 Aporte para el desarrollo de programa culturales 03/2024</t>
  </si>
  <si>
    <t>CP00038145</t>
  </si>
  <si>
    <t>TK ELEVADORES C.A., SUCURSAL EL SALVADOR</t>
  </si>
  <si>
    <t>Quedan #2785 Mantenimiento/2024 Mantenimiento de Ascensor Maestrías, Marzo 2024</t>
  </si>
  <si>
    <t>CP00038153</t>
  </si>
  <si>
    <t>MULTIPROMOCIONES, SA CV</t>
  </si>
  <si>
    <t>Quedan #2786 Fondos ajenos/2024 Compra de promocionales p/proyecto Inglés para un futuro mejor</t>
  </si>
  <si>
    <t>CP00038161</t>
  </si>
  <si>
    <t>Quedan #2787 Fondos ajenos/2024 Pago de flete de importación de libros para Inst. Rey Sejong</t>
  </si>
  <si>
    <t>RCM S.A DE C.V</t>
  </si>
  <si>
    <t>Sesiones y Conferencias/2024 Reunion del Senado Consultivo</t>
  </si>
  <si>
    <t>CP00038190</t>
  </si>
  <si>
    <t>CATADOR S.A DE C.V</t>
  </si>
  <si>
    <t>Sesiones y conferencia/2024 Reunion del Senado Consultivo</t>
  </si>
  <si>
    <t>CP00038188</t>
  </si>
  <si>
    <t>TECNOIMPRESOS, S.A DE C.V</t>
  </si>
  <si>
    <t>Quedan #2708 Arrendamiento/2024 Casa#116 Dirección de Recursos Humanos, Febrero 2024</t>
  </si>
  <si>
    <t>CP00037265</t>
  </si>
  <si>
    <t>904-A</t>
  </si>
  <si>
    <t>Quedan #2708 Proyección social/2024 Pago de folletos de investigaciones</t>
  </si>
  <si>
    <t>CP00037266</t>
  </si>
  <si>
    <t>904-B</t>
  </si>
  <si>
    <t>Quedan #2708 Nvo Ingreso/2024 Compra de 12 tarjetas de invitación para desayuno anual</t>
  </si>
  <si>
    <t>CP00037267</t>
  </si>
  <si>
    <t>904-C</t>
  </si>
  <si>
    <t>Quedan #2708 Nuevo Ingreso/2023 Elaboración de 1923 carnets y 84 reposiciones de carnet correspondientes al mes de Diciembre 2023</t>
  </si>
  <si>
    <t>CP00037268</t>
  </si>
  <si>
    <t>904-D</t>
  </si>
  <si>
    <t>Quedan #2708 Tarjetas p/paqueos/2024 Compra de 200 tarjetas de placas p/parqueos</t>
  </si>
  <si>
    <t>CP00037269</t>
  </si>
  <si>
    <t>904-E</t>
  </si>
  <si>
    <t>Quedan #2708 Cédulas/2024 Pago de cédulas introductorias para el MUA</t>
  </si>
  <si>
    <t>CP00037270</t>
  </si>
  <si>
    <t>904-F</t>
  </si>
  <si>
    <t>Quedan #2708 Cédulas/2024 Compra de 1 cédula introductoria de expresiones culturales en adhesivo + Pvc + 3M</t>
  </si>
  <si>
    <t>CP00037271</t>
  </si>
  <si>
    <t>E-14-07-02-01</t>
  </si>
  <si>
    <t>904-G</t>
  </si>
  <si>
    <t>904-H</t>
  </si>
  <si>
    <t>904-I</t>
  </si>
  <si>
    <t>Quedan #2718 Nvo Ingreso/2024 Compra de 15 tarjetas de invitación para desayuno anual</t>
  </si>
  <si>
    <t>CP00037431</t>
  </si>
  <si>
    <t>E-24-04-01-02</t>
  </si>
  <si>
    <t>905-A</t>
  </si>
  <si>
    <t>Quedan #2718 Material didáctico/2024 Compra de 500 paquetes didácticos "Setaco" F. Ciencias Empresariales</t>
  </si>
  <si>
    <t>CP00037432</t>
  </si>
  <si>
    <t>E-14-04-02-01</t>
  </si>
  <si>
    <t>905-B</t>
  </si>
  <si>
    <t>Quedan #2718 Material didáctico/2024 Compra de 100 paquetes didácticos "Setaco" Escuela de Idiomas</t>
  </si>
  <si>
    <t>CP00037433</t>
  </si>
  <si>
    <t>905-C</t>
  </si>
  <si>
    <t>Quedan #2718 Material didáctico/2024 Compra de 50 paquetes didácticos "Setaco" Escuela de Idiomas</t>
  </si>
  <si>
    <t>CP00037434</t>
  </si>
  <si>
    <t>905-D</t>
  </si>
  <si>
    <t>Quedan #2718 Nvo. Ingreso/2024 Compra de 250 hojas sueltas porta-manteles, desayuno anual</t>
  </si>
  <si>
    <t>CP00037435</t>
  </si>
  <si>
    <t>905-E</t>
  </si>
  <si>
    <t>Quedan #2718 Material didáctico/2024 Compra de 25 paquetes didácticos "Setaco" Escuela de Idiomas</t>
  </si>
  <si>
    <t>CP00037438</t>
  </si>
  <si>
    <t>905-F</t>
  </si>
  <si>
    <t>CP00037439</t>
  </si>
  <si>
    <t>905-G</t>
  </si>
  <si>
    <t>Quedan #2718 Nuevo Ingreso/2024 Elaboración de 217 carnets y 24 reposiciones de carnet correspondientes al mes de Febrero 2024</t>
  </si>
  <si>
    <t>CP00037440</t>
  </si>
  <si>
    <t>905-H</t>
  </si>
  <si>
    <t>905-I</t>
  </si>
  <si>
    <t>905-J</t>
  </si>
  <si>
    <t>Quedan #2788 DRI/2024 Compra de 20 refrigerios por desayuno a visitantes de la Universidad Técnica de Ambato el día 07/03/2024</t>
  </si>
  <si>
    <t>CP00038163</t>
  </si>
  <si>
    <t>E-32-05-04-00</t>
  </si>
  <si>
    <t>CASTELLANOS CHACON, LTDA. DE CV</t>
  </si>
  <si>
    <t>Quedan #2789 Servicios Profesionales/2024 Pago de cuota 3/3por honorarios que corresponden al ejercicio 2023</t>
  </si>
  <si>
    <t>CP00038170</t>
  </si>
  <si>
    <t>E-01-05-09-00</t>
  </si>
  <si>
    <t>TORREFACTORA DE CAFE SAN JOSE DE LA MAJADA, S CV</t>
  </si>
  <si>
    <t>Pago por la compra de café, existencia para enero, febrero y marzo</t>
  </si>
  <si>
    <t>CP00038176</t>
  </si>
  <si>
    <t>Honorarios mes de marzo 2024</t>
  </si>
  <si>
    <t>Carlos Reynaldo López Guevara</t>
  </si>
  <si>
    <t>Adolfo José Araujo Jaimes</t>
  </si>
  <si>
    <t>Viaticos mes de marzo 2024</t>
  </si>
  <si>
    <t>CP00038217</t>
  </si>
  <si>
    <t xml:space="preserve">ALEJANDRO SALOMÓN MIRANDA MIRANDA </t>
  </si>
  <si>
    <t>Prestaciones al personal/2024 Arreglo floral por deceso de Sr. Rufino Garay-Miembro del Senado Consultivo- Fat#048</t>
  </si>
  <si>
    <t>CP00038181</t>
  </si>
  <si>
    <t>E-09-01-06-00</t>
  </si>
  <si>
    <t>JACQUELINE LISSETTE DIAZ CORTEZ</t>
  </si>
  <si>
    <t>Devolucion por descuento pago complemento</t>
  </si>
  <si>
    <t>METROCENTRO S.A DE C.V</t>
  </si>
  <si>
    <t>Pago de tarjeta de estacionamiento y aire acondicionado</t>
  </si>
  <si>
    <t>CP00038245</t>
  </si>
  <si>
    <t>915A</t>
  </si>
  <si>
    <t>CP00038247</t>
  </si>
  <si>
    <t>916-A</t>
  </si>
  <si>
    <t>916-B</t>
  </si>
  <si>
    <t>916-C</t>
  </si>
  <si>
    <t>916-D</t>
  </si>
  <si>
    <t>916-E</t>
  </si>
  <si>
    <t xml:space="preserve">Prestaciones al personal codigo 1 del 16 al 31 de marzo 2024 </t>
  </si>
  <si>
    <t>CP00038208</t>
  </si>
  <si>
    <t xml:space="preserve">Prestaciones al personal codigo 1 del 16 al 31 de Marzo  2024 </t>
  </si>
  <si>
    <t>CP00038211</t>
  </si>
  <si>
    <t>CP00038212</t>
  </si>
  <si>
    <t xml:space="preserve">VIATICOS Prestaciones al personal codigo 1 del 16 al 31 de Marzo  2024 </t>
  </si>
  <si>
    <t>CP00038213</t>
  </si>
  <si>
    <t>Banco Agricola</t>
  </si>
  <si>
    <t>Comisión por certificación de cheques- Banco Agrícola Ref#2913</t>
  </si>
  <si>
    <t>CB00025774</t>
  </si>
  <si>
    <t>JECG</t>
  </si>
  <si>
    <t>Comisión por certificación de cheques- Banco Agrícola Ref#2940</t>
  </si>
  <si>
    <t>CB00025816</t>
  </si>
  <si>
    <t>Comisión por certificación de cheques- Banco Agrícola Ref#2955</t>
  </si>
  <si>
    <t>CB00025817</t>
  </si>
  <si>
    <t>Comisión por certificación de cheques- Banco Agrícola Ref#2968</t>
  </si>
  <si>
    <t>CB00026552</t>
  </si>
  <si>
    <t>Comisión por certificación de cheques- Banco Agrícola Ref#2993</t>
  </si>
  <si>
    <t>CB00026184</t>
  </si>
  <si>
    <t>Comisión por certificación de 2 cheques- Banco Agrícola Ref#3018</t>
  </si>
  <si>
    <t>CB00026239</t>
  </si>
  <si>
    <t>Comisión por certificación de 1 cheque- Banco Agrícola Ref#3047</t>
  </si>
  <si>
    <t>CB00026508</t>
  </si>
  <si>
    <t>Comisión por certificación de 2 cheque- Banco Agrícola Ref#3036</t>
  </si>
  <si>
    <t>CB00026509</t>
  </si>
  <si>
    <t>Comisión por certificación de cheques- Banco Agrícola Ref#3058</t>
  </si>
  <si>
    <t>CB00026516</t>
  </si>
  <si>
    <t>Comisión por certificación de 1 cheque- Banco Agrícola Ref#3084</t>
  </si>
  <si>
    <t>CB00026589</t>
  </si>
  <si>
    <t>Comisión por certificación de 1 cheque- Banco Agrícola Ref#3100</t>
  </si>
  <si>
    <t>CB00026592</t>
  </si>
  <si>
    <t>Comisión por certificación de 1 cheque- Banco Agrícola Ref#3126</t>
  </si>
  <si>
    <t>CB00026646</t>
  </si>
  <si>
    <t>Comisión por certificación de 3 cheque- Banco Agrícola Ref#3204</t>
  </si>
  <si>
    <t>CB00027074</t>
  </si>
  <si>
    <t>Comisión por certificación de 1 cheque- Banco Agrícola Ref#3220</t>
  </si>
  <si>
    <t>CB00027414</t>
  </si>
  <si>
    <t>Comisión por certificación de 1 cheque- Banco Agrícola Ref#3227</t>
  </si>
  <si>
    <t>CB00027412</t>
  </si>
  <si>
    <t>Comisión por certificación de 1 cheque- Banco Agrícola Ref#3238</t>
  </si>
  <si>
    <t>CB00027416</t>
  </si>
  <si>
    <t>Comisión por certificación de 2 cheque- Banco Agrícola Ref#3242</t>
  </si>
  <si>
    <t>CB00027418</t>
  </si>
  <si>
    <t>Comisión por certificación de 1 cheque- Banco Agrícola Ref#3245</t>
  </si>
  <si>
    <t>CB00027419</t>
  </si>
  <si>
    <t>Comisión por certificación de cheque#36614- Banco Agrícola Ref#3265</t>
  </si>
  <si>
    <t>CB00027483</t>
  </si>
  <si>
    <t>Comisión por certificación de cheques #39614  Banco Agrícola Ref#3274</t>
  </si>
  <si>
    <t>CB00027484</t>
  </si>
  <si>
    <t>Banco Cuscatlán S.A.</t>
  </si>
  <si>
    <t>Comisión por arrendamiento de POS del banco cuscatlán mes febrero 2024 - Ref#228627894</t>
  </si>
  <si>
    <t>CB00026898</t>
  </si>
  <si>
    <t>Comisión por certificación de cheque -Banco Cuscatlán #92 Ref#32070</t>
  </si>
  <si>
    <t>CB00027184</t>
  </si>
  <si>
    <t>Comisión por usuario o token de Banca en electronica 03-2024 -Ref#337777768</t>
  </si>
  <si>
    <t>CB00027449</t>
  </si>
  <si>
    <t>Banco Promerica S.A.</t>
  </si>
  <si>
    <t>Comisión por ventas de kiquidaciones del mes de Enero 2024- Banco Promerica</t>
  </si>
  <si>
    <t>CB00026536</t>
  </si>
  <si>
    <t>Banco Davivienda S.A.</t>
  </si>
  <si>
    <t>Comisión Bancaria por devolución de cheques #1875433 Ojos de Aguila, S.A de C.V-Ref#1875433</t>
  </si>
  <si>
    <t>CB00026361</t>
  </si>
  <si>
    <t>Gastos Financieros/24 Comisión Bancaria por certificación de cheques</t>
  </si>
  <si>
    <t>CB00026642</t>
  </si>
  <si>
    <t>CB00027185</t>
  </si>
  <si>
    <t>Gastos Financieros/24 Comisión Bancaria por certificación de cheques #1875483</t>
  </si>
  <si>
    <t>CB00027485</t>
  </si>
  <si>
    <t>Compra de chequera de 300- tipo Boucher Banco Promerica #18000105 UTEC - Ref#310491893</t>
  </si>
  <si>
    <t>CB00026921</t>
  </si>
  <si>
    <t>Comisión por cobro de colectores BEL febrero 2023 - Ref#20100567</t>
  </si>
  <si>
    <t>CB00026902</t>
  </si>
  <si>
    <t>Comisión por cobro de colectores BEL enero 2024 - Ref#22300579</t>
  </si>
  <si>
    <t>CB00027075</t>
  </si>
  <si>
    <t>Comisión por pagos NPE Banco Agrícola del mes 01-2024</t>
  </si>
  <si>
    <t>CB00026519</t>
  </si>
  <si>
    <t>Comisión por operaciones varias DB-SNPE Banco Agrícola del mes de 01/2024</t>
  </si>
  <si>
    <t>CB00026550</t>
  </si>
  <si>
    <t>Comisión por operaciones varias DB-SNPE Banco Agrícola del mes de 02/2024</t>
  </si>
  <si>
    <t>CB00027358</t>
  </si>
  <si>
    <t>Comisión por pagos NPE Banco Agrícola del mes 02-2024</t>
  </si>
  <si>
    <t>CB00027359</t>
  </si>
  <si>
    <t>Banco Atlantida S.A.</t>
  </si>
  <si>
    <t>Comisión por servicios de cobro de colectores colecturía enero 2024  Banco Atlántida Ref#7583</t>
  </si>
  <si>
    <t>CB00026553</t>
  </si>
  <si>
    <t>Comisión por servicios de cobro de colectores colecturía enero 2024  Banco Atlántida Ref#7584</t>
  </si>
  <si>
    <t>CB00026554</t>
  </si>
  <si>
    <t>Comisión por servicios de cobro de colectores colecturía febrero 2024  Banco Atlántida Ref#7679</t>
  </si>
  <si>
    <t>CB00027360</t>
  </si>
  <si>
    <t>Comisión por servicios de cobro de colectores colecturía febrero 2024  Banco Atlántida Ref#7680</t>
  </si>
  <si>
    <t>CB00027361</t>
  </si>
  <si>
    <t>Comisión por arrendamiento de POS del banco cuscatlán mes enero 2024 - Ref#60247128</t>
  </si>
  <si>
    <t>CB00025818</t>
  </si>
  <si>
    <t>Comisión por cobro de colectores de colecturía Enero 2024 - Banco Cuscatlan - Ref#2067367056</t>
  </si>
  <si>
    <t>CB00026360</t>
  </si>
  <si>
    <t>Comisión por cobro de colectores de colecturía febrero 2024 - Banco Cuscatlan - Ref#2057865059</t>
  </si>
  <si>
    <t>CB00027363</t>
  </si>
  <si>
    <t>Comisión por arrendamiento de POS del banco cuscatlán mes febrero 2024 - Ref#359631444</t>
  </si>
  <si>
    <t>CB00027461</t>
  </si>
  <si>
    <t>Comisión por ventas de liquidaciones del mes de febrero 2024- Banco Promerica</t>
  </si>
  <si>
    <t>CB00027375</t>
  </si>
  <si>
    <t>Comisión cobro de colectores-colecturía del mes de enero 2024 Ref No.23083685-23083686-23083687-23083688</t>
  </si>
  <si>
    <t>CB00025780</t>
  </si>
  <si>
    <t>Comisión bancaria BEP por cobro de colectores de colecturía 12-2023</t>
  </si>
  <si>
    <t>CB00025788</t>
  </si>
  <si>
    <t>Comisión cobro de colectores-colecturía del mes de febrero 2024 Ref No.23344811-23344812-23344813-23344814</t>
  </si>
  <si>
    <t>CB00026597</t>
  </si>
  <si>
    <t>Comisión bancaria BEP por cobro de colectores de colecturía 07-02-2024 -</t>
  </si>
  <si>
    <t>CB00026915</t>
  </si>
  <si>
    <t>Comisión cobro de colectores en colecturía mes 03-2024 Ref#23585135-23585136-23585137</t>
  </si>
  <si>
    <t>CB00027486</t>
  </si>
  <si>
    <t>Comisión cobro de colectores en colecturía mes 03-2024 Ref#23585138</t>
  </si>
  <si>
    <t>CB00027487</t>
  </si>
  <si>
    <t>Comisión bancaria BEP por cobro de colectores de colecturía 07-03-2024</t>
  </si>
  <si>
    <t>CB00027493</t>
  </si>
  <si>
    <t>Comisión cobro de colectores de colecturía del mes enero 2024 - Ref#309246025</t>
  </si>
  <si>
    <t>CB00026569</t>
  </si>
  <si>
    <t>Comisión cobro de colectores de colecturía del mes enero 2024 - Ref#309246026</t>
  </si>
  <si>
    <t>CB00026570</t>
  </si>
  <si>
    <t>Comisión cobro de colectores de colecturía del mes febrero 2024 - Ref#313714248</t>
  </si>
  <si>
    <t>CB00027370</t>
  </si>
  <si>
    <t>Comisión cobro de colectores de colecturía del mes febrero 2024 - Ref#313714247</t>
  </si>
  <si>
    <t>CB00027373</t>
  </si>
  <si>
    <t>DOUGLAS ERNESTO GÓMEZ CALDERÓN</t>
  </si>
  <si>
    <t>Prestaciones al personal/24 - Prestación por defunción de su padre Sr. Antonio Gómez Zelidón  Ref#FT24008P5RCB</t>
  </si>
  <si>
    <t>CB00025814</t>
  </si>
  <si>
    <t>E-09-01-05-00</t>
  </si>
  <si>
    <t>DOMINGO ORLANDO ALFARO ALFARO</t>
  </si>
  <si>
    <t>Prestaciones al personal/24 - Prestación por defunción de su padre Sr. José David Alfaro Domínguez</t>
  </si>
  <si>
    <t>CB00025815</t>
  </si>
  <si>
    <t>TANIA HERNÁNDEZ DE MORENO</t>
  </si>
  <si>
    <t>Prestaciones al personal/24 - Prestación por defunción de su esposo Sr. Salvador Moreno Andino</t>
  </si>
  <si>
    <t>CB00026366</t>
  </si>
  <si>
    <t>CECILIA GUADALUPE MÉNDEZ DE ROMERO</t>
  </si>
  <si>
    <t>Prestaciones al personal/24 - Prestación por defunción de su padre Sr. Jorge Alberto Ruano-Ref#FT240294KKTH</t>
  </si>
  <si>
    <t>CB00026369</t>
  </si>
  <si>
    <t>Banco Cuscatlan S.A.</t>
  </si>
  <si>
    <t>Retención del 2% IVA TC, por ventas mes de febrero 2024</t>
  </si>
  <si>
    <t>CB00027365</t>
  </si>
  <si>
    <t>Banco America Central</t>
  </si>
  <si>
    <t>Retención de IVA 2% TC por ingresos en POS mes de febrero 2024.</t>
  </si>
  <si>
    <t>CB00027372</t>
  </si>
  <si>
    <t>Cuota préstamo Banco Davivienda Ref.#704399016 01-2024</t>
  </si>
  <si>
    <t>CB00025819</t>
  </si>
  <si>
    <t>E-02-02-00-00</t>
  </si>
  <si>
    <t>Intereses préstamo Banco Davivienda Ref.#704399016 01-2024</t>
  </si>
  <si>
    <t>Cancelación de préstamo Banco Davivienda mes 02-2024 Ref.#60281881</t>
  </si>
  <si>
    <t>CB00026600</t>
  </si>
  <si>
    <t>Intereses de préstamo Banco Davivienda mes 02-2024 Ref.#60281881</t>
  </si>
  <si>
    <t xml:space="preserve">Banco Cuscatlán S.A. </t>
  </si>
  <si>
    <t>Cuota préstamo Ref.#78444  Banco Cuscatlán  01/2024- Ref#75574347</t>
  </si>
  <si>
    <t>CB00026557</t>
  </si>
  <si>
    <t>E-02-01-00-00</t>
  </si>
  <si>
    <t>Intereses de préstamo Ref.#78444  Banco Cuscatlán  01/2024- Ref#75574347</t>
  </si>
  <si>
    <t>Cuota préstamo Ref.#78444  Banco Cuscatlán  03/2024- Ref#375993303</t>
  </si>
  <si>
    <t>CB00027494</t>
  </si>
  <si>
    <t>Intereses préstamo Ref.#78444  Banco Cuscatlán  03/2024- Ref#375993303</t>
  </si>
  <si>
    <t xml:space="preserve">Banco Promerica S.A. </t>
  </si>
  <si>
    <t>Cuota de préstamo Ref.#784005 - Banco Promerica 01-2024 - Ref#308821740</t>
  </si>
  <si>
    <t>CB00026542</t>
  </si>
  <si>
    <t>Intereses de préstamo Ref.#784005 - Banco Promerica 01-2024 - Ref#308821740</t>
  </si>
  <si>
    <t>CB00027498</t>
  </si>
  <si>
    <t>CP00038218</t>
  </si>
  <si>
    <t>PLANILLA HORA CLASE</t>
  </si>
  <si>
    <t>E-16-02-02-00</t>
  </si>
  <si>
    <t>E-16-02-03-00</t>
  </si>
  <si>
    <t>E-21-01-02-00</t>
  </si>
  <si>
    <t>SUELDOS Y SALARIOS SERVICIOS GENERALES</t>
  </si>
  <si>
    <t>SUELDOS Y SALARIOS VICEPRESIDENCIA</t>
  </si>
  <si>
    <t>SUELDOS Y SALARIOS VICERRECTORÍA FINANCIERA</t>
  </si>
  <si>
    <t>E-25-05-02-00</t>
  </si>
  <si>
    <t>U. recreación y deportes - Sueldo Encargado Unidad $ 750.00</t>
  </si>
  <si>
    <t>Servicios Profesionales como colaboradora de Rectoria, enero 2024 Ref#FT2400329SX5</t>
  </si>
  <si>
    <t>CP00036114</t>
  </si>
  <si>
    <t>Servicios profesionales como colaboradora de Rectoría 02-2024 Ref#FT24033TFB58</t>
  </si>
  <si>
    <t>CP00037238</t>
  </si>
  <si>
    <t>Comisión por transferencia internacional Ref#FT24010LCXV5-Instituto Tecnológico y de Estudios Superiores de Monterrey</t>
  </si>
  <si>
    <t>CB00026165</t>
  </si>
  <si>
    <t>INSTITUTO TECNOLÓGICO Y DE ESTUDIOS SUPERIORES DE MONTERREY</t>
  </si>
  <si>
    <t>Capacitaciones/2024 Participación de 4 empleados -Taller Cumbres sobre AI en la Educación-Ref#FT24010LCXV5</t>
  </si>
  <si>
    <t>CP00036747</t>
  </si>
  <si>
    <t>Reconocimiento por supervisión de documentos Ref#114091830 Rafael Rodriguez Loucel</t>
  </si>
  <si>
    <t>CP00036752</t>
  </si>
  <si>
    <t>E-08-03-04-02</t>
  </si>
  <si>
    <t xml:space="preserve"> MIGUEL ANGEL JIMENEZ HERNANDEZ</t>
  </si>
  <si>
    <t>Ponente de Postgrado en docencia y uso de herramientas p/diseño de contenido en ambientes de aprendizaje virtual de la coherte 22 Ref#159033684</t>
  </si>
  <si>
    <t>CP00037004</t>
  </si>
  <si>
    <t>E-21-03-03-00</t>
  </si>
  <si>
    <t>OSCAR RICARDO VALENTIN QUINTANILLA GUZMAN</t>
  </si>
  <si>
    <t>Pago del 50% anticipo por impartir capacitación "Formación de Maestros p/fortalecer su capacidad de vivir en la práctica de Principio de la Psicología Individual" Referencia#FT24030WQ98Q</t>
  </si>
  <si>
    <t>CP00036973</t>
  </si>
  <si>
    <t>E-22-01-03-04</t>
  </si>
  <si>
    <t>BANCO AZUL DE EL SALVADOR, S.A</t>
  </si>
  <si>
    <t>Comisión por transferencia internacional Ref#FT24030WQ98Q-Oscar Ricardo Valentín Quintanilla</t>
  </si>
  <si>
    <t>CB00026543</t>
  </si>
  <si>
    <t>CARLOS ANTONIO AGUIRRE AYALA</t>
  </si>
  <si>
    <t>Servicios profesionales/2024 Ponente de Postgrado en docencia y uso de herramientas p/diseño de contenido en ambientes de aprendizaje virtual coherte 22 Ref#159033684</t>
  </si>
  <si>
    <t>CP00037015</t>
  </si>
  <si>
    <t>EDUCACIÓN PARA EL FUTURO, S.A.</t>
  </si>
  <si>
    <t>FICA/23 -Renovación Anual de licencia de Autodesk Authorized Center-FEE:ATC LA Level 1-25 LIC Main-1 de febrero 2024 al 31/01/2025 Ref#324076333</t>
  </si>
  <si>
    <t>CP00038119</t>
  </si>
  <si>
    <t>Comisión por transferencia internacional-Educación para El Futuro Ref#324076333</t>
  </si>
  <si>
    <t>CP00038122</t>
  </si>
  <si>
    <t>Transferencia Refe#159541875 Por pago por equivalencia de títulos de participantes de Cohorte No.2 Doctorado con Universidad de Alicante</t>
  </si>
  <si>
    <t>CB00026566</t>
  </si>
  <si>
    <t>Pago de equivalencia de títulos p/participantes de cohorte 2, Doctorado en Universidad Alicante Ref#FT24030MMNZV</t>
  </si>
  <si>
    <t>CB00026563</t>
  </si>
  <si>
    <t>DISTRIBUIDORA GRANADA, SA CV</t>
  </si>
  <si>
    <t>Quedan #2770 Mantenimiento/2024 Compra de materiales para cambio de equipo en CLINICA MEDICA. DECANATO  DE ESTUDIANTES Y MUA. EXISTENCIA EN PROVEEDURIA.</t>
  </si>
  <si>
    <t>CP00038037</t>
  </si>
  <si>
    <t>1062-A</t>
  </si>
  <si>
    <t>Quedan #2770 Mantenimiento/2024 Compra de materiales p/  REUBICAR AA EN BIBLIOTECA CENTRAL.</t>
  </si>
  <si>
    <t>CP00037818</t>
  </si>
  <si>
    <t>Quedan #2773 Mantenimiento/2024 Compra de materiales p/ TRABAJOS ELECTRICOS EN LABORATIO CISCO.</t>
  </si>
  <si>
    <t>CP00037768</t>
  </si>
  <si>
    <t>CLASAL EL SALVADOR, SA CV</t>
  </si>
  <si>
    <t>Quedan #2775 Papelería y útiles/2024 Compra de papelería P/ EXISTENCIA.</t>
  </si>
  <si>
    <t>CP00038402</t>
  </si>
  <si>
    <t>DISTRIBUCION SALVADOREÑA, SA CV</t>
  </si>
  <si>
    <t>Quedan #2777 Insumos de oficina/2024 Compra de toalla interfoleada KLEENEX P/EXISTENCIA (Complemento marzo)</t>
  </si>
  <si>
    <t>CP00038405</t>
  </si>
  <si>
    <t>Quedan #2783 Papelería y útiles/2024 Fondos ajenos/2024 Compra de papelería y útiles p/PROYECTO INGLES PARA UN FUTURO MEJOR.</t>
  </si>
  <si>
    <t>CP00038403</t>
  </si>
  <si>
    <t>GRUPO MEW, SA CV</t>
  </si>
  <si>
    <t>Quedan #2784 Mantenimiento/2024 Compra de 30 LUMINARIA 2X2 PARA EXISTENCIA</t>
  </si>
  <si>
    <t>CP00038152</t>
  </si>
  <si>
    <t>COESAR S.A DE C.V</t>
  </si>
  <si>
    <t>Pago de energia electrica local de Plaza Mundo mes de febrero 2024.</t>
  </si>
  <si>
    <t>CP00038293</t>
  </si>
  <si>
    <t>WENDY CONCEPCION RODRIGUEZ</t>
  </si>
  <si>
    <t>Pago de 35 almuerzo para capacitacion.</t>
  </si>
  <si>
    <t>CP00038552</t>
  </si>
  <si>
    <t>CARLOS ROLANDO BARRIOS LOPEZ</t>
  </si>
  <si>
    <t>Gastos por participación en Congreso de investigacion aplicada al turismo en mexico 2024.</t>
  </si>
  <si>
    <t>CB00027077</t>
  </si>
  <si>
    <t>Reintegro por pago de matricula del doctorado.</t>
  </si>
  <si>
    <t>UNIVERSIDAD DE ALICANTE</t>
  </si>
  <si>
    <t>Pago en linea al participante Marvin Elenilson Hernandez</t>
  </si>
  <si>
    <t>MANUEL RODRIGUEZ</t>
  </si>
  <si>
    <t>Reintegro por pago de inscripcion del doctorado.</t>
  </si>
  <si>
    <t>CB00027961</t>
  </si>
  <si>
    <t>E-22-01-04-01</t>
  </si>
  <si>
    <t>Pago de la segunda quincena marzo 2024.</t>
  </si>
  <si>
    <t>CP00038287</t>
  </si>
  <si>
    <t>1075A</t>
  </si>
  <si>
    <t xml:space="preserve">Energía eléctrica 02/2024		</t>
  </si>
  <si>
    <t>Energía eléctrica 02/2024 Metrocentro</t>
  </si>
  <si>
    <t>Energía eléctrica 02/2024 Mae</t>
  </si>
  <si>
    <t xml:space="preserve"> Servicio de teléfono  CTE-CLARO  01/24 </t>
  </si>
  <si>
    <t xml:space="preserve"> Servicio de agua potable 1/24 </t>
  </si>
  <si>
    <t xml:space="preserve"> Servicio de energía eléctrica Delsur 1/2024 </t>
  </si>
  <si>
    <t>Reintegro por compra de café para reuniones en Salón Ellacuría</t>
  </si>
  <si>
    <t>JOAQUIN ALBERTO MORATAYA OLMEDO</t>
  </si>
  <si>
    <t>Pago de entrenador de enero al marzo 2024.</t>
  </si>
  <si>
    <t>E-25-05-03-00</t>
  </si>
  <si>
    <t>JULIO ERNESTO PANAMEÑO</t>
  </si>
  <si>
    <t xml:space="preserve">Banco America central </t>
  </si>
  <si>
    <t>Distribuidora Delsur mes de Marzo 2024</t>
  </si>
  <si>
    <t>CP00038351</t>
  </si>
  <si>
    <t>Para el desarrollo de tres investigaciones asignada.</t>
  </si>
  <si>
    <t>CLAUDIA MARIA RODRIGUEZ ARGUET</t>
  </si>
  <si>
    <t>Pago de honorarios  proyecto DNES/UTEC</t>
  </si>
  <si>
    <t>E-11-03-02-00</t>
  </si>
  <si>
    <t xml:space="preserve">ASEGURADORA AGRICOLA COMERCIAL, S.A </t>
  </si>
  <si>
    <t>PAGO DE TERCERA CUOTA DE SEGUROS</t>
  </si>
  <si>
    <t>CG00001165</t>
  </si>
  <si>
    <t>SISA VIDA, S.A SEGURO DE PERSONAS</t>
  </si>
  <si>
    <t>E-20-06-00-00</t>
  </si>
  <si>
    <t>Quedan #2790 Mantenimiento/2024 Compra de 1 cafetera UTILIZADA EN EVENTOS</t>
  </si>
  <si>
    <t>CP00038292</t>
  </si>
  <si>
    <t>E-19-02-03-04</t>
  </si>
  <si>
    <t>1093-A</t>
  </si>
  <si>
    <t>Quedan #2790 Mantenimiento/2024 Compra de materiales de AA p/REUBICACION AIRE ACONDICIONADO BIBLIOTECA CENTRAL</t>
  </si>
  <si>
    <t>CP00037932</t>
  </si>
  <si>
    <t>1093-B</t>
  </si>
  <si>
    <t>Quedan #2790 Mantenimiento/2024 Compra de materiales de eléctricidad p/REUBICAR AA EN BIBLIOTECA CENTRAL.</t>
  </si>
  <si>
    <t>CP00037811</t>
  </si>
  <si>
    <t>1093-C</t>
  </si>
  <si>
    <t>Quedan #2790 Mantenimiento/2024 Compra de materiales de pintura p/TRABAJO PISO CLINICA EMPRESARIAL</t>
  </si>
  <si>
    <t>CP00038237</t>
  </si>
  <si>
    <t>1093-D</t>
  </si>
  <si>
    <t>Quedan #2790 Mantenimiento/2024 Compra de materiales de TRABAJOS ELECTRICOS PARA REUBICAR AA EN BIBLIOTECA CENTRAL.</t>
  </si>
  <si>
    <t>CP00037815</t>
  </si>
  <si>
    <t>1093-E</t>
  </si>
  <si>
    <t>Quedan #2790 Mantenimiento/2024 Compra de materiales p/LABORATORIO CISCO, TRABAJO ELECTRICO</t>
  </si>
  <si>
    <t>CP00037968</t>
  </si>
  <si>
    <t>1093-F</t>
  </si>
  <si>
    <t>Quedan #2790 Mantenimiento/2024 Compra de materiales p/TRABAJO SUB ESTACION</t>
  </si>
  <si>
    <t>CP00038290</t>
  </si>
  <si>
    <t>1093-G</t>
  </si>
  <si>
    <t>Quedan #2790 Mantenimiento/2024 Compra de materiales p/TRABAJOS ELECTRICOS EN CISCO.</t>
  </si>
  <si>
    <t>CP00037770</t>
  </si>
  <si>
    <t>1093-H</t>
  </si>
  <si>
    <t>Quedan #2790 Mantenimiento/2024 Compra de materiales p/TRABAJOS ELECTRICOS PARA REUBICAR AA EN BIBLIOTECA CENTRAL.</t>
  </si>
  <si>
    <t>CP00037813</t>
  </si>
  <si>
    <t>1093-I</t>
  </si>
  <si>
    <t>Quedan #2790 Mantenimiento/2024 Compra de materiales p/TRABAJOS ELECTRICOS, LABORATORIO CISCO, EDIFICIO FRANCISCO MORAZAN</t>
  </si>
  <si>
    <t>CP00037963</t>
  </si>
  <si>
    <t>1093-J</t>
  </si>
  <si>
    <t>Quedan #2790 Mantenimiento/2024 Compra de MATERIALES PARA CASA SOCORRO JURIDICO (Techo)</t>
  </si>
  <si>
    <t>CP00038291</t>
  </si>
  <si>
    <t>RAF, SA CV</t>
  </si>
  <si>
    <t>Quedan #2791 Mantenimiento/2024 Compra de 4 tarjetas secure digital 64GB Kingston ESTUDIO DE TELEVISION</t>
  </si>
  <si>
    <t>CP00038288</t>
  </si>
  <si>
    <t>E-17-01-02-00</t>
  </si>
  <si>
    <t>Quedan #2792 Capacitaciones/2024 Compra de 35 refrigerios p/Curso de especialización en Recursos educativos DHC- 09032024</t>
  </si>
  <si>
    <t>CP00038302</t>
  </si>
  <si>
    <t>1095-A</t>
  </si>
  <si>
    <t>Quedan #2792 Capacitaciones/2024 Compra de 38 refrigerios p/Curso de especialización en Recursos educativos DTC- 02032024</t>
  </si>
  <si>
    <t>CP00038301</t>
  </si>
  <si>
    <t>1095-B</t>
  </si>
  <si>
    <t>Quedan #2792 Capacitaciones/2024 Compra de 40 refrigerios p/Brigada y miembros del Comité de seguridad ocupacional-uso de extintores 28022024</t>
  </si>
  <si>
    <t>CP00038300</t>
  </si>
  <si>
    <t>E-22-04-05-05</t>
  </si>
  <si>
    <t>PUBLIMOVIL, SA CV</t>
  </si>
  <si>
    <t>Quedan #2793 DCI/2024 Publicidad promocional - arrendamiento de 5 mupis digitales fac#00080 cuota 11/12.</t>
  </si>
  <si>
    <t>CP00038304</t>
  </si>
  <si>
    <t>TORREFACTORA DE CAFE SAN JOSE DE LA MAJADA, SA CV</t>
  </si>
  <si>
    <t>Quedan #2794 Insumos de oficina/2024 Compra de 350 libras de café p/ EXISTENCIA EN PROVEEDURIA.</t>
  </si>
  <si>
    <t>CP00038401</t>
  </si>
  <si>
    <t>Quedan #2795 Mantenimiento/2024 Compra de 50 puertas p/CAMBIO DE PUERTA DE AULAS Y BAÑOS</t>
  </si>
  <si>
    <t>CP00038109</t>
  </si>
  <si>
    <t>E-19-03-01-09</t>
  </si>
  <si>
    <t>1098-A</t>
  </si>
  <si>
    <t>Quedan #2795 Mantenimiento/2024 Compra de CAFETERA PARA PROVEEDURIA Y ACTIVO FIJO</t>
  </si>
  <si>
    <t>CP00038107</t>
  </si>
  <si>
    <t>1098-B</t>
  </si>
  <si>
    <t>Quedan #2795 Mantenimiento/2024 Compra de cafetera y mesa plegable p/ CENTRO DE SOLUCIONES Y NUEVO INGRESO PLAZA MUNDO.</t>
  </si>
  <si>
    <t>CP00038192</t>
  </si>
  <si>
    <t>1098-C</t>
  </si>
  <si>
    <t>Quedan #2795 Mantenimiento/2024 Compra de materiales de eléctricidad p/ USO DE ESTUDIO T.V</t>
  </si>
  <si>
    <t>CP00038194</t>
  </si>
  <si>
    <t>1098-D</t>
  </si>
  <si>
    <t>Quedan #2795 Mantenimiento/2024 Compra de PINTURA ACRILICA Y PRIMER reparación de escritorios de Activo fijo</t>
  </si>
  <si>
    <t>CP00038106</t>
  </si>
  <si>
    <t>CELINA MARCELA ALVARADO DE PORTILLO</t>
  </si>
  <si>
    <t>Quedan #2797 DRI/2024 Pago de alimentos y refrigerios p/ capacitación "Liderazgo Impulsado por el Alma" proyecto Inglés para un Futuro Mejor. - 15 y 16 Marzo 2024</t>
  </si>
  <si>
    <t>CP00038506</t>
  </si>
  <si>
    <t>1099-A</t>
  </si>
  <si>
    <t>Quedan #2797 DRI/2024 Pago de alimentos y refrigerios p/ capacitación "Liderazgo Impulsado por el Alma" proyecto Inglés para un Futuro Mejor. - 22 y 23 Marzo 2024</t>
  </si>
  <si>
    <t>CP00038507</t>
  </si>
  <si>
    <t>1099-B</t>
  </si>
  <si>
    <t>CP00038508</t>
  </si>
  <si>
    <t>Quedan #2798 Mantto/2024 Recolección de desechos sólidos Mae y campus UTEC 03/2024</t>
  </si>
  <si>
    <t>CP00038504</t>
  </si>
  <si>
    <t>1100-A</t>
  </si>
  <si>
    <t xml:space="preserve">MARIA GUADALUPE LOUCEL DE DUQUE </t>
  </si>
  <si>
    <t>Gasto de viaje/24 Viáticos para viaje Institucional a Florida - Licda. Guadalupe Loucel de Duque a liquidar.</t>
  </si>
  <si>
    <t>TRANSFERENCIA</t>
  </si>
  <si>
    <t>Planilla vacación y 2da quincena</t>
  </si>
  <si>
    <t>CN</t>
  </si>
  <si>
    <t>APORTE IPSFA</t>
  </si>
  <si>
    <t>NELSON IVAN SALVADAÑA</t>
  </si>
  <si>
    <t>Reintegro de caja chica maestria</t>
  </si>
  <si>
    <t>Pago de la cuota N° 4 Licda. Ana Beatriz Martinez</t>
  </si>
  <si>
    <t>Pago de cuota N° 9 maestro de Henry Cerritos</t>
  </si>
  <si>
    <t>E-22-01-05-01</t>
  </si>
  <si>
    <t>Reintegro de cuota N° 2 doctorado</t>
  </si>
  <si>
    <t>SANTA EMILIA S,A DE CV</t>
  </si>
  <si>
    <t>ALQUILER MARZO  FACT 48</t>
  </si>
  <si>
    <t>CP00038544</t>
  </si>
  <si>
    <t>SANTA EMILIA S.A DE C.V</t>
  </si>
  <si>
    <t>Pago de publicidad y otros local plaza mundo</t>
  </si>
  <si>
    <t>CP00038545</t>
  </si>
  <si>
    <t>Pago de parqueo mes de ferbrero 2024</t>
  </si>
  <si>
    <t>CP00038541</t>
  </si>
  <si>
    <t>SILVIA TAMARA GRACIELA MAGDALENA POSADA DE FRANCO</t>
  </si>
  <si>
    <t>Alquiler /2024 S.T.G. Edificio Thomas Jefferson Escuela de informática  04/2024</t>
  </si>
  <si>
    <t>CP00038470</t>
  </si>
  <si>
    <t>Alquiler/2024 E.O.R Arrendamiento casa 17Av.Nte. #118 - 04/2024</t>
  </si>
  <si>
    <t>CP00038477</t>
  </si>
  <si>
    <t>SERVICIO DE SOPORTE TECNICO BACKUP MES 03-2024</t>
  </si>
  <si>
    <t>CP00038377</t>
  </si>
  <si>
    <t>1154-A</t>
  </si>
  <si>
    <t>SERVICIO DE SOPORTE TECNICO MES 03-2024</t>
  </si>
  <si>
    <t>CP00038376</t>
  </si>
  <si>
    <t>1155-A</t>
  </si>
  <si>
    <t>1155-B</t>
  </si>
  <si>
    <t>1155-C</t>
  </si>
  <si>
    <t>1155-D</t>
  </si>
  <si>
    <t>1155-E</t>
  </si>
  <si>
    <t xml:space="preserve">GASTOS DE REPRESENTACIÓN </t>
  </si>
  <si>
    <t>CP00038505</t>
  </si>
  <si>
    <t>Alquileres/24 arrendamiento de local C. Cuscatlán uso de oficinas administrativas 04/2024</t>
  </si>
  <si>
    <t>CP00038509</t>
  </si>
  <si>
    <t>MENSAJERO - ABRIL 2024</t>
  </si>
  <si>
    <t>ASISTENTE PRESIDENCIA - ABRIL  2024</t>
  </si>
  <si>
    <t>UNIVESRIDAD DE INVESTIGACION E INNOVACION DE MEXICO</t>
  </si>
  <si>
    <t>Pago de cuota del doctorade Lic. Aldo Valentin</t>
  </si>
  <si>
    <t xml:space="preserve">JOSÉ MAURICIO LOUCEL </t>
  </si>
  <si>
    <t xml:space="preserve">Rientegro por compras de medicamentos </t>
  </si>
  <si>
    <t xml:space="preserve">MARVIN VALDEMAR MIRA </t>
  </si>
  <si>
    <t>PRESTACIÓN POR DEFUNCIÓN DE SU MADRE SR. ANGÉLICA VANEGAS BAIRES VIUDA DE MIRA</t>
  </si>
  <si>
    <t>CB00027963</t>
  </si>
  <si>
    <t>VIÁTICOS VISITAS A BANCOS EN SEMANA SANTA-TRANSFERENCIA</t>
  </si>
  <si>
    <t>CB00027960</t>
  </si>
  <si>
    <t xml:space="preserve">Reintegro de caja chica - Compras </t>
  </si>
  <si>
    <t>UNIVESIDAD TECNOLOGICA DE EL SALVADOR</t>
  </si>
  <si>
    <t>MELISA REGINA CAMPOS SOLORZANO</t>
  </si>
  <si>
    <t>Pago del 25% de la investigacion de ventas ambulantes calle arce</t>
  </si>
  <si>
    <t>Pago de local ubicado en Plaza Mundo mes de febrero 2024.</t>
  </si>
  <si>
    <t>CP00038774</t>
  </si>
  <si>
    <t>Pago de totem ubicado en plaza mundo publicidad.</t>
  </si>
  <si>
    <t>pago del 50% de complemento por el servicio de tapizado a 6 sillas de juego de comedor, pertenecientes a la 7° planta de Los Fundadores</t>
  </si>
  <si>
    <t>CP00038773</t>
  </si>
  <si>
    <t>Pago de la primera quincena mes de abril 2024 servicios profesionales</t>
  </si>
  <si>
    <t>CP00038746</t>
  </si>
  <si>
    <t>BLANCA RUTH ORANTES GALDAMEZ</t>
  </si>
  <si>
    <t>Cheque a liquidar por compra de artesania a visitante extranjero.</t>
  </si>
  <si>
    <t>E-32-03-02-00</t>
  </si>
  <si>
    <t>ORGANIZACION PANAMERICANA DE LA SALUD</t>
  </si>
  <si>
    <t>Pago de membresia anual base de datos research4life</t>
  </si>
  <si>
    <t>E-29-02-05-00</t>
  </si>
  <si>
    <t>EBSCO INTERNACIONAL</t>
  </si>
  <si>
    <t>Pago de suscripcion anual base de datos EBSCO 2024-2025</t>
  </si>
  <si>
    <t>E-29-02-01-00</t>
  </si>
  <si>
    <t>MARIO  ALBERTO MIRANDA FONSECA</t>
  </si>
  <si>
    <t>Quedan #2801 Gtos.de viaje/24 combustible personal ejecutivos 03/2024</t>
  </si>
  <si>
    <t>CP00038484</t>
  </si>
  <si>
    <t>Quedan #2802 consumo agua cristal</t>
  </si>
  <si>
    <t>Quedan #2803 Servicio de seguridad a la institución 04/2024</t>
  </si>
  <si>
    <t>CP00038600</t>
  </si>
  <si>
    <t>1176-A</t>
  </si>
  <si>
    <t>Quedan #2804 Investigaciones/2024 Asesoría administrativa, financiera y mecadológica Abril/2024</t>
  </si>
  <si>
    <t>CP00038624</t>
  </si>
  <si>
    <t>1177-A</t>
  </si>
  <si>
    <t>Quedan #2804 Arrendamiento, mes Abril 2024</t>
  </si>
  <si>
    <t>CP00038625</t>
  </si>
  <si>
    <t>1177-B</t>
  </si>
  <si>
    <t>Quedan #2804 Alquileres/24 Alquiler de inmueble ubicado en 17 Av. Norte número 119 Abril/2024</t>
  </si>
  <si>
    <t>CP00038626</t>
  </si>
  <si>
    <t>Quedan #2805 pago impresiones</t>
  </si>
  <si>
    <t>Quedan #2806 Alquiler /2024  I.M.D. Edificio Thomas Jefferson Escuela de Negocios- Abril/2024</t>
  </si>
  <si>
    <t>CP00038638</t>
  </si>
  <si>
    <t>Quedan #2808 mantenimiento ascensor Maestrías</t>
  </si>
  <si>
    <t>CP00038646</t>
  </si>
  <si>
    <t>Quedan #2809 Donaciones/24 Donación para hogar del niño minusválido correspondiente al mes de Abril del 2024</t>
  </si>
  <si>
    <t>CP00038652</t>
  </si>
  <si>
    <t>Quedan #2811 Alquiler /2024  P.A.R.Edificio Thomas Jefferson Escuela de Negocios, Abril 2024</t>
  </si>
  <si>
    <t>CP00038660</t>
  </si>
  <si>
    <t>TECNICOPIAS, SA CV</t>
  </si>
  <si>
    <t>Quedan #2814 Material didáctico/24 Consumo de fotocopias por contrato mes 03-2024</t>
  </si>
  <si>
    <t>CP00038677</t>
  </si>
  <si>
    <t>1183-A</t>
  </si>
  <si>
    <t>1183-B</t>
  </si>
  <si>
    <t>1183-C</t>
  </si>
  <si>
    <t>1183-D</t>
  </si>
  <si>
    <t>1183-E</t>
  </si>
  <si>
    <t>1183-F</t>
  </si>
  <si>
    <t>1183-G</t>
  </si>
  <si>
    <t>1183-H</t>
  </si>
  <si>
    <t>1183-I</t>
  </si>
  <si>
    <t>1183-J</t>
  </si>
  <si>
    <t>1183-K</t>
  </si>
  <si>
    <t>1183-L</t>
  </si>
  <si>
    <t>1183-M</t>
  </si>
  <si>
    <t>1183-N</t>
  </si>
  <si>
    <t>1183-O</t>
  </si>
  <si>
    <t>1183-P</t>
  </si>
  <si>
    <t>Quedan #2815 Servicios profesionales/2024 Pago de servicios profesionales por DIGITALIZACIÓN Febrero 2024</t>
  </si>
  <si>
    <t>CP00038723</t>
  </si>
  <si>
    <t>E-08-03-03-01</t>
  </si>
  <si>
    <t>Quedan #2816 publicidad</t>
  </si>
  <si>
    <t>Quedan #2818 publicidad</t>
  </si>
  <si>
    <t>EDITORIAL ALTAMIRANO, SA CV</t>
  </si>
  <si>
    <t>Quedan #2819 publicidad</t>
  </si>
  <si>
    <t>Quedan #2822 Serv. tecnológicos/24 Internet alumnos campus UTEC 04/24 Fibra óptica</t>
  </si>
  <si>
    <t>CP00038731</t>
  </si>
  <si>
    <t>SAMUEL OSVALDO ARGUETA AYALA</t>
  </si>
  <si>
    <t>Quedan #2821 transporte tour Utec</t>
  </si>
  <si>
    <t>AL COMPANY, SA CV</t>
  </si>
  <si>
    <t>Quedan #2823 mantenimiento AA Maestrías, diciembre/23</t>
  </si>
  <si>
    <t>CP00038742</t>
  </si>
  <si>
    <t>Quedan #2824 Mantenimiento/2024 Mantenimiento preventivo de AA, Febrero 2024</t>
  </si>
  <si>
    <t>CP00038743</t>
  </si>
  <si>
    <t>CARLOS SALOMON BAUTISTA</t>
  </si>
  <si>
    <t>pago por el servicio de desalojo de ripio</t>
  </si>
  <si>
    <t>Compra de papl higiénico y azúcar, existencia en proveeduría para el mes abril (reintegro a Tesoreria)</t>
  </si>
  <si>
    <t>E-13-09-02-03</t>
  </si>
  <si>
    <t>BANCO AGRICOLA</t>
  </si>
  <si>
    <t>BANCO DAVIVIENDA</t>
  </si>
  <si>
    <t>BANCO CUSCATLÁN</t>
  </si>
  <si>
    <t>Complemento de comisión por transferencia internacional Educación Para El Futuro Ref#TEF040320244</t>
  </si>
  <si>
    <t>CB00028123</t>
  </si>
  <si>
    <t>BANCO AZUL</t>
  </si>
  <si>
    <t>Comisión por certificación de cheque #753 Banco Azul-Referencia #FT2407195Z8K</t>
  </si>
  <si>
    <t>CB00027955</t>
  </si>
  <si>
    <t>BANCO DE AMERICA CENTRAL</t>
  </si>
  <si>
    <t>Comisión por servicios de colectores BEL-02-2024 Ref#31400606</t>
  </si>
  <si>
    <t>CB00028125</t>
  </si>
  <si>
    <t>Comisión por Transferencia Internacional -Oscar Ricardo Valentin Quintanilla Guzmán Ref#FT24079RBPM8</t>
  </si>
  <si>
    <t>CB00027959</t>
  </si>
  <si>
    <t>Comisión por certificación de cheque  Banco Agrícola Ref#3350</t>
  </si>
  <si>
    <t>CB00027953</t>
  </si>
  <si>
    <t>Comisión por certificación de 2 cheques  Banco Agrícola Ref#3344</t>
  </si>
  <si>
    <t>CB00027952</t>
  </si>
  <si>
    <t>Comisión por certificación de cheque Banco Agrícola Ref#3326</t>
  </si>
  <si>
    <t>CB00027954</t>
  </si>
  <si>
    <t>Comisión por ventas por medio de POS 03-2024- Ref#902029224</t>
  </si>
  <si>
    <t>CB00028121</t>
  </si>
  <si>
    <t>500000-18000105</t>
  </si>
  <si>
    <t>Comisión por servicios de cobro de colectores 03-2024 - Ref#318626416 y 318626417</t>
  </si>
  <si>
    <t>CB00028115</t>
  </si>
  <si>
    <t>BANCO ATLANTIDA</t>
  </si>
  <si>
    <t>Comisión por servicios de colecturía 03-2024  Banco Atlántida Ref#7759</t>
  </si>
  <si>
    <t>CB00027974</t>
  </si>
  <si>
    <t>Comisión por servicios de colecturía 03-2024  Banco Atlántida Ref#7760</t>
  </si>
  <si>
    <t>CB00027975</t>
  </si>
  <si>
    <t>Comisión por operaciones varias DB-SNPE Banco Agrícola del mes de 03/2024</t>
  </si>
  <si>
    <t>CB00027977</t>
  </si>
  <si>
    <t>Comisión por pagos NPE Banco Agrícola del mes 03-2024</t>
  </si>
  <si>
    <t>CB00027978</t>
  </si>
  <si>
    <t>Comisión por servicios de colecturía 03-2024- Banco Cuscatlan - Ref#2052679985</t>
  </si>
  <si>
    <t>CB00027980</t>
  </si>
  <si>
    <t>Comisión por ventas de liquidaciones del mes de 03-2024- Banco Promerica</t>
  </si>
  <si>
    <t>CB00028116</t>
  </si>
  <si>
    <t>Compra de cheques vouchers de cta.#0092 Davivienda de#32176 al 33175 (1,000) Ref#366666672</t>
  </si>
  <si>
    <t>CB00027565</t>
  </si>
  <si>
    <t>Cuota de préstamo Ref.#784005 - Banco Promerica 03-2024 - Ref#318477444</t>
  </si>
  <si>
    <t>CB00028114</t>
  </si>
  <si>
    <t>interes de préstamo Ref.#784005 - Banco Promerica 03-2024 - Ref#318477444</t>
  </si>
  <si>
    <t>TALLER DIDEA S.A DE C.V</t>
  </si>
  <si>
    <t>Pago de mantenimiento de vehiculo vicepresidencia</t>
  </si>
  <si>
    <t>CP00038748</t>
  </si>
  <si>
    <t>Pago cota del CAM mes de abril</t>
  </si>
  <si>
    <t>CP00038768</t>
  </si>
  <si>
    <t>DAVID LIZANDO MORENO PORTILLO</t>
  </si>
  <si>
    <t>Pago de restaurante y alimentos para evento del dóa 5 y 6 de abril. capacitacion Ingles para el futuro</t>
  </si>
  <si>
    <t>CP00038784</t>
  </si>
  <si>
    <t>SOFIA BEATRIZ RAMOS RIVAS</t>
  </si>
  <si>
    <t>Liquidacio laboral al 10 de abril 2024.</t>
  </si>
  <si>
    <t>SILVIA PATRICIA CRUZ SERRANO</t>
  </si>
  <si>
    <t>Liquidacion laborla al 10 de abril 2024.</t>
  </si>
  <si>
    <t>CARLOS ALEXANDER MARTINEZ PEREZ</t>
  </si>
  <si>
    <t>Pago de liquidacion laboral al 16 de abril 2024.</t>
  </si>
  <si>
    <t>Pago de arrendamiento mes de abril y publicidad y otros.</t>
  </si>
  <si>
    <t>CP00038769</t>
  </si>
  <si>
    <t>1240-A</t>
  </si>
  <si>
    <t>Pago de mantenimiento  mes de abril y publicidad y otros.</t>
  </si>
  <si>
    <t>CP00038770</t>
  </si>
  <si>
    <t>FUNDACION RED LATINOAMERICANA DE COOPERACION</t>
  </si>
  <si>
    <t>Pago de membresia anual RLCU</t>
  </si>
  <si>
    <t>E-32-02-02-00</t>
  </si>
  <si>
    <t>1242-A</t>
  </si>
  <si>
    <t>Prestaciones al personal codigo 1 del 1 al 15 de abril 2024</t>
  </si>
  <si>
    <t>CP000387451</t>
  </si>
  <si>
    <t>CP00038749</t>
  </si>
  <si>
    <t>CP00038750</t>
  </si>
  <si>
    <t>1243-A</t>
  </si>
  <si>
    <t>CP00038751</t>
  </si>
  <si>
    <t>CP00038753</t>
  </si>
  <si>
    <t>Pago de matricula de estudio de doctorado Universidad de Alicante</t>
  </si>
  <si>
    <t>Pago de matricula de estudio de doctorado Universidad de Alicante-REBECA DOLORES GANUZA</t>
  </si>
  <si>
    <t>ASOCIACION CONSORCIO DE BIBLIOTECAS UNIVERSITARIA DE EL SALVADOR</t>
  </si>
  <si>
    <t>Pago de renovacion de membresia CBUES</t>
  </si>
  <si>
    <t>E-29-02-04-00</t>
  </si>
  <si>
    <t>Alquileres/2024 Arrendamiento apto. Marbella 04-2024</t>
  </si>
  <si>
    <t>CP00038763</t>
  </si>
  <si>
    <t>Servicios profesionales principios y valores para personal administrativo 04/2024</t>
  </si>
  <si>
    <t>CP00038754</t>
  </si>
  <si>
    <t>Pago de Viáticos Malumbres 04/2024</t>
  </si>
  <si>
    <t>CP00038755</t>
  </si>
  <si>
    <t>SERVYCLEAN, SA CV</t>
  </si>
  <si>
    <t>Quedan #2807 Materiales de limpieza/2024 Compra de 45 galonesJABON EN GEL PARA BAÑOS EDIFICIOS ACADEMICOS</t>
  </si>
  <si>
    <t>CP00038826</t>
  </si>
  <si>
    <t>REPRESENTACIONES ROMA INVERSIONES, SA CV</t>
  </si>
  <si>
    <t>Quedan #2810 compra de articulos de limpieza</t>
  </si>
  <si>
    <t>Quedan #2812 compra articulos de despensa</t>
  </si>
  <si>
    <t>Quedan #2813 compra separadores de libros</t>
  </si>
  <si>
    <t>Quedan #2817 compra de materiales para mantenimiento</t>
  </si>
  <si>
    <t>PELSA, SA CV</t>
  </si>
  <si>
    <t>Quedan #2820 Mantenimiento/2024 Compra de materiales de electricida p/TRABAJOS SUB ESTACION EDIFICIO GARCIA LORCA</t>
  </si>
  <si>
    <t>CP00038559</t>
  </si>
  <si>
    <t>Honorarios por servicios profesionales como colaboradora en rectoría, corresponde al mes de 04-2024.</t>
  </si>
  <si>
    <t>CP00038794</t>
  </si>
  <si>
    <t>DANIELA PAOLA ORELLANA URQUILLA</t>
  </si>
  <si>
    <t>Devolucion por no llegar al cupo disponble en curso coreano</t>
  </si>
  <si>
    <t>CLAUDIA PATRICIA MARTIEZ URIA</t>
  </si>
  <si>
    <t>Devolucion por problemas de saliud  en curso coreano</t>
  </si>
  <si>
    <t>AGENCIA DE VIAJES ESCAMILLA</t>
  </si>
  <si>
    <t>Pago de boleto aereo  .</t>
  </si>
  <si>
    <t>Pago de honorario de la primera quincena mes de abril 2024.</t>
  </si>
  <si>
    <t>RENE HUMBERTO PANIAGUA BARAHONA</t>
  </si>
  <si>
    <t>Reintegro en concepto de matricula del doctorado</t>
  </si>
  <si>
    <t>Pago de la matricula y primera cuota de Maria Jose Calleja</t>
  </si>
  <si>
    <t>Pago de la segunda cuota de maestria de Byron Shiht Cordero</t>
  </si>
  <si>
    <t>LILIANA MARYDEL PEREZ PINTO</t>
  </si>
  <si>
    <t>Reintegro por lavado y planchado de togas de la universidad</t>
  </si>
  <si>
    <t>RICARDO MENESSES ORELLANA</t>
  </si>
  <si>
    <t>Reintegro por compra de respuesto de vehiculo Institucional</t>
  </si>
  <si>
    <t xml:space="preserve">PRESTACIONES AL PERSONAL/MEMBRESIA 04-2024 -RECTORIA </t>
  </si>
  <si>
    <t>PRESTACIONES AL PERSONAL/MEMBRESIA 04-2024-DECANATO DE ESTUDIANTE</t>
  </si>
  <si>
    <t>PRESTACIONES AL PERSONAL/MEMBRESIA 04-2024-ADMINISTRATIVOS</t>
  </si>
  <si>
    <t>PRESTACIONES AL PERSONAL/MEMBRESIAS MES 04-2024</t>
  </si>
  <si>
    <t>ENERGIA ELECTRICA MARZO 2024</t>
  </si>
  <si>
    <t>Pago de impuestos mes de marzo 2024</t>
  </si>
  <si>
    <t>3398 - 32118</t>
  </si>
  <si>
    <t>Reintegrp compras  varias vicepresidencia</t>
  </si>
  <si>
    <t>Pago de parqueo y tarjera de estacionamiento Local Metrocentro</t>
  </si>
  <si>
    <t>CODIGO</t>
  </si>
  <si>
    <t>DESCRIPCIÓN</t>
  </si>
  <si>
    <t>PRESUPUESTADO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</si>
  <si>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</si>
  <si>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</si>
  <si>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</si>
  <si>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</si>
  <si>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</si>
  <si>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</si>
  <si>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</si>
  <si>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</si>
  <si>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</si>
  <si>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</si>
  <si>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</si>
  <si>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</si>
  <si>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EJECUTADO</t>
  </si>
  <si>
    <t>I-01</t>
  </si>
  <si>
    <t>I-02</t>
  </si>
  <si>
    <t>I-03</t>
  </si>
  <si>
    <t>I-04</t>
  </si>
  <si>
    <t>I-05</t>
  </si>
  <si>
    <t xml:space="preserve">MAESTRÍAS, POSTGRADOS </t>
  </si>
  <si>
    <t>I-06</t>
  </si>
  <si>
    <t>I-07</t>
  </si>
  <si>
    <t>I-08</t>
  </si>
  <si>
    <t>Total</t>
  </si>
  <si>
    <t>E-01</t>
  </si>
  <si>
    <t>E-02</t>
  </si>
  <si>
    <t>E-03</t>
  </si>
  <si>
    <t>E-04</t>
  </si>
  <si>
    <t>E-05</t>
  </si>
  <si>
    <t>E-06</t>
  </si>
  <si>
    <t>HORA CLASE</t>
  </si>
  <si>
    <t>E-07</t>
  </si>
  <si>
    <t>E-08</t>
  </si>
  <si>
    <t>E-09</t>
  </si>
  <si>
    <t>E-10</t>
  </si>
  <si>
    <t>SERVICIOS PÚBLICOS</t>
  </si>
  <si>
    <t>E-11</t>
  </si>
  <si>
    <t>E-12</t>
  </si>
  <si>
    <t>E-13</t>
  </si>
  <si>
    <t>MAESTRÍAS Y POSTGRADOS</t>
  </si>
  <si>
    <t>E-14</t>
  </si>
  <si>
    <t>E-15</t>
  </si>
  <si>
    <t>E-16</t>
  </si>
  <si>
    <t>E-17</t>
  </si>
  <si>
    <t>E-18</t>
  </si>
  <si>
    <t>E-19</t>
  </si>
  <si>
    <t>E-20</t>
  </si>
  <si>
    <t>E-21</t>
  </si>
  <si>
    <t xml:space="preserve">DIPLOMADOS Y SEMINARIOS </t>
  </si>
  <si>
    <t>E-22</t>
  </si>
  <si>
    <t>E-23</t>
  </si>
  <si>
    <t>E-24</t>
  </si>
  <si>
    <t>E-25</t>
  </si>
  <si>
    <t>E-26</t>
  </si>
  <si>
    <t>EVENTOS INSTITUCIONALES</t>
  </si>
  <si>
    <t>E-27</t>
  </si>
  <si>
    <t>E-28</t>
  </si>
  <si>
    <t>E-29</t>
  </si>
  <si>
    <t>E-30</t>
  </si>
  <si>
    <t>E-31</t>
  </si>
  <si>
    <t>E-32</t>
  </si>
  <si>
    <t>E-33</t>
  </si>
  <si>
    <t>MONTO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</si>
  <si>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</si>
  <si>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</si>
  <si>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</si>
  <si>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</si>
  <si>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</si>
  <si>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</si>
  <si>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</si>
  <si>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</si>
  <si>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</si>
  <si>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</si>
  <si>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</si>
  <si>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</si>
  <si>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ORIGEN</t>
  </si>
  <si>
    <t>PRESUPUESTO 2024</t>
  </si>
  <si>
    <t>I-01-01-02-00</t>
  </si>
  <si>
    <t>I-02-01-01-00</t>
  </si>
  <si>
    <t>I-02-01-02-00</t>
  </si>
  <si>
    <t>I-06-01-01-00</t>
  </si>
  <si>
    <t>I-06-01-02-00</t>
  </si>
  <si>
    <t>I-01-02-01-00</t>
  </si>
  <si>
    <t>I-01-02-02-00</t>
  </si>
  <si>
    <t>I-02-02-01-00</t>
  </si>
  <si>
    <t>I-02-02-02-00</t>
  </si>
  <si>
    <t>I-06-02-01-00</t>
  </si>
  <si>
    <t>I-06-02-02-00</t>
  </si>
  <si>
    <t>I-01-03-01-00</t>
  </si>
  <si>
    <t>I-01-03-02-00</t>
  </si>
  <si>
    <t>I-02-03-01-00</t>
  </si>
  <si>
    <t>I-02-03-02-00</t>
  </si>
  <si>
    <t>I-06-03-01-00</t>
  </si>
  <si>
    <t>I-06-03-02-00</t>
  </si>
  <si>
    <t>I-01-04-01-00</t>
  </si>
  <si>
    <t>I-02-04-01-00</t>
  </si>
  <si>
    <t>I-06-04-01-00</t>
  </si>
  <si>
    <t>I-03-01-01-00</t>
  </si>
  <si>
    <t>I-03-01-02-00</t>
  </si>
  <si>
    <t>I-03-01-03-00</t>
  </si>
  <si>
    <t>I-03-01-04-00</t>
  </si>
  <si>
    <t>I-03-02-01-00</t>
  </si>
  <si>
    <t>I-03-02-02-00</t>
  </si>
  <si>
    <t>I-03-02-03-00</t>
  </si>
  <si>
    <t>I-04-01-02-00</t>
  </si>
  <si>
    <t>I-04-01-04-00</t>
  </si>
  <si>
    <t>I-04-02-01-00</t>
  </si>
  <si>
    <t>I-04-02-02-00</t>
  </si>
  <si>
    <t>I-04-02-03-00</t>
  </si>
  <si>
    <t>I-04-02-04-00</t>
  </si>
  <si>
    <t>I-05-01-01-00</t>
  </si>
  <si>
    <t>I-05-01-02-00</t>
  </si>
  <si>
    <t>I-05-01-03-00</t>
  </si>
  <si>
    <t>I-05-01-04-00</t>
  </si>
  <si>
    <t>I-05-01-05-00</t>
  </si>
  <si>
    <t>I-05-02-01-00</t>
  </si>
  <si>
    <t>I-05-02-02-00</t>
  </si>
  <si>
    <t>I-05-02-03-00</t>
  </si>
  <si>
    <t>I-05-02-04-00</t>
  </si>
  <si>
    <t>I-05-02-05-00</t>
  </si>
  <si>
    <t>I-05-03-01-00</t>
  </si>
  <si>
    <t>I-05-03-02-00</t>
  </si>
  <si>
    <t>I-05-03-03-00</t>
  </si>
  <si>
    <t>I-05-03-04-00</t>
  </si>
  <si>
    <t>I-05-03-05-00</t>
  </si>
  <si>
    <t>I-05-04-01-00</t>
  </si>
  <si>
    <t>I-05-04-02-00</t>
  </si>
  <si>
    <t>I-05-04-03-00</t>
  </si>
  <si>
    <t>I-05-04-04-00</t>
  </si>
  <si>
    <t>I-05-04-05-00</t>
  </si>
  <si>
    <t>I-05-05-01-00</t>
  </si>
  <si>
    <t>I-05-05-02-00</t>
  </si>
  <si>
    <t>I-05-05-03-00</t>
  </si>
  <si>
    <t>I-05-05-04-00</t>
  </si>
  <si>
    <t>I-05-05-05-00</t>
  </si>
  <si>
    <t>I-05-06-01-00</t>
  </si>
  <si>
    <t>I-05-06-02-00</t>
  </si>
  <si>
    <t>I-05-06-03-00</t>
  </si>
  <si>
    <t>I-05-06-04-00</t>
  </si>
  <si>
    <t>I-05-06-05-00</t>
  </si>
  <si>
    <t>I-05-07-01-00</t>
  </si>
  <si>
    <t>I-05-07-02-00</t>
  </si>
  <si>
    <t>I-05-07-03-00</t>
  </si>
  <si>
    <t>I-05-07-04-00</t>
  </si>
  <si>
    <t>I-05-07-05-00</t>
  </si>
  <si>
    <t>I-05-08-01-00</t>
  </si>
  <si>
    <t>I-05-08-02-00</t>
  </si>
  <si>
    <t>I-05-08-03-00</t>
  </si>
  <si>
    <t>I-05-08-04-00</t>
  </si>
  <si>
    <t>I-05-08-05-00</t>
  </si>
  <si>
    <t>I-05-09-01-00</t>
  </si>
  <si>
    <t>I-05-09-02-00</t>
  </si>
  <si>
    <t>I-05-09-03-00</t>
  </si>
  <si>
    <t>I-05-09-04-00</t>
  </si>
  <si>
    <t>I-05-09-05-00</t>
  </si>
  <si>
    <t>I-05-10-01-00</t>
  </si>
  <si>
    <t>I-05-10-02-00</t>
  </si>
  <si>
    <t>I-05-10-03-00</t>
  </si>
  <si>
    <t>I-05-10-04-00</t>
  </si>
  <si>
    <t>I-05-10-05-00</t>
  </si>
  <si>
    <t>I-05-11-01-00</t>
  </si>
  <si>
    <t>I-05-11-02-00</t>
  </si>
  <si>
    <t>I-05-11-03-00</t>
  </si>
  <si>
    <t>I-05-11-04-00</t>
  </si>
  <si>
    <t>I-05-11-05-00</t>
  </si>
  <si>
    <t>I-05-11-06-01</t>
  </si>
  <si>
    <t>I-05-11-06-02</t>
  </si>
  <si>
    <t>I-08-01-01-00</t>
  </si>
  <si>
    <t>I-08-01-02-00</t>
  </si>
  <si>
    <t>I-08-01-03-00</t>
  </si>
  <si>
    <t>I-08-01-04-00</t>
  </si>
  <si>
    <t>I-08-01-05-00</t>
  </si>
  <si>
    <t>I-08-01-06-00</t>
  </si>
  <si>
    <t>I-08-01-07-00</t>
  </si>
  <si>
    <t>I-08-01-08-00</t>
  </si>
  <si>
    <t>Aloe Servicio Limpieza y vigilancia   Agto $ 119,250.00 + $ 3,350.00 Mae</t>
  </si>
  <si>
    <t xml:space="preserve">Semae  mantenimiento  </t>
  </si>
  <si>
    <t xml:space="preserve"> Ojos de aguila Servicio Vigilancia </t>
  </si>
  <si>
    <t>E-01-05-01-00</t>
  </si>
  <si>
    <t>E-01-05-08-00</t>
  </si>
  <si>
    <t>E-01-05-10-00</t>
  </si>
  <si>
    <t>Ajuste pendiente de detallar</t>
  </si>
  <si>
    <t>BANCO CUSCATLÁN REF :  5278444 6 % $ 72,600.00 X 12</t>
  </si>
  <si>
    <t>DAVIVIENDA REF: 000704399016 5.90% $ 46,593.00 x 12</t>
  </si>
  <si>
    <t>BANCO PROMERICA REF 784005  6.50 % $ 40,200.00</t>
  </si>
  <si>
    <t>E-02-04-00-00</t>
  </si>
  <si>
    <t>Gastos Financieros y comisiones bancarias</t>
  </si>
  <si>
    <t>Presidencia Junta GU</t>
  </si>
  <si>
    <t>Presidencia</t>
  </si>
  <si>
    <t xml:space="preserve">Vicepresidencia </t>
  </si>
  <si>
    <t>Secretaria General</t>
  </si>
  <si>
    <t xml:space="preserve">Vicerrectoría Financiera </t>
  </si>
  <si>
    <t>Vicerrectoría de operaciones</t>
  </si>
  <si>
    <t>Dirección de Comunicaciones</t>
  </si>
  <si>
    <t>Dirección de Recursos Humanos</t>
  </si>
  <si>
    <t>Clinica Empresarial</t>
  </si>
  <si>
    <t xml:space="preserve">Servicios Generales </t>
  </si>
  <si>
    <t>Mantenimiento</t>
  </si>
  <si>
    <t>CC EMPRESARIALES</t>
  </si>
  <si>
    <t>CC INGENIERIA Y  CC APLICADAS</t>
  </si>
  <si>
    <t>CC SOCIALES</t>
  </si>
  <si>
    <t>CC JURIDICAS</t>
  </si>
  <si>
    <t>Rectoría</t>
  </si>
  <si>
    <t>VR Académica</t>
  </si>
  <si>
    <t>Dirección Educación Virtual</t>
  </si>
  <si>
    <t>Dirección de Informática</t>
  </si>
  <si>
    <t>Admón Académica</t>
  </si>
  <si>
    <t>Relaciones Internacionales</t>
  </si>
  <si>
    <t>Nuevo Ingreso</t>
  </si>
  <si>
    <t>Sistema Bibliotecario</t>
  </si>
  <si>
    <t>Dirección de Cultura</t>
  </si>
  <si>
    <t xml:space="preserve">CC JURIDICAS </t>
  </si>
  <si>
    <t>E-07-01-01-01</t>
  </si>
  <si>
    <t>E-07-01-01-04</t>
  </si>
  <si>
    <t>APP Estudiantes Mobiles El Salvador  $ 565.00</t>
  </si>
  <si>
    <t>E-07-01-03-01</t>
  </si>
  <si>
    <t>E-07-01-03-02</t>
  </si>
  <si>
    <t>E-07-01-04-02</t>
  </si>
  <si>
    <t>E-07-01-05-04</t>
  </si>
  <si>
    <t>E-07-02-02-00</t>
  </si>
  <si>
    <t>E-07-02-03-00</t>
  </si>
  <si>
    <t>E-07-02-04-00</t>
  </si>
  <si>
    <t>E-08-01-01-01</t>
  </si>
  <si>
    <t>E-08-01-02-01</t>
  </si>
  <si>
    <t>E-08-01-03-01</t>
  </si>
  <si>
    <t>Sofware y cerificación EDUSOFT-TOEIC</t>
  </si>
  <si>
    <t>E-08-01-03-02</t>
  </si>
  <si>
    <t>2 Escritorios DTC Marlon Lobos y Carlos Martínez</t>
  </si>
  <si>
    <t>2 Sillas secretariales DTC Narkis Lobos y Carlos Martínez</t>
  </si>
  <si>
    <t>1 Silla secretarial DTC Heesy de Rivas</t>
  </si>
  <si>
    <t>E-08-01-03-03</t>
  </si>
  <si>
    <t>3 Escritorios secretariales para consultorios</t>
  </si>
  <si>
    <t>6 Silla de espera para pacientes</t>
  </si>
  <si>
    <t>3 Sillas secretariales para terapeutas</t>
  </si>
  <si>
    <t>1 Espejo cuerpo enterio</t>
  </si>
  <si>
    <t>3 Relojes de pared para 3 clinicas nuevas</t>
  </si>
  <si>
    <t>1 Silla secretarial para recepcionista de la clinica</t>
  </si>
  <si>
    <t>3 Jugueteras para colocar juguetes en las salas de consulta</t>
  </si>
  <si>
    <t>4 Juegos de audifonos con microfno para atencion en linea de casos en crisis</t>
  </si>
  <si>
    <t>E-08-01-03-04</t>
  </si>
  <si>
    <t xml:space="preserve">2 Cámaras  EOS 90D </t>
  </si>
  <si>
    <t xml:space="preserve">2 Trípodes para cámaras </t>
  </si>
  <si>
    <t xml:space="preserve">2 Lentes Canon 18-200 mm  </t>
  </si>
  <si>
    <t xml:space="preserve">2 Kit de focos de modelado GODOX 75W 120V </t>
  </si>
  <si>
    <t xml:space="preserve">6 Tarjetas de memoria 10X o superior </t>
  </si>
  <si>
    <t xml:space="preserve">3 Paneles de luz led con trípodes  </t>
  </si>
  <si>
    <t xml:space="preserve">2 Baterias y cargador cámara Canon EOS 80D </t>
  </si>
  <si>
    <t xml:space="preserve">2 Baterias y cargador cámara Canon  REBEL T6 </t>
  </si>
  <si>
    <t xml:space="preserve">2 Baerias y cargador para cámara Canon REBEL T3 </t>
  </si>
  <si>
    <t xml:space="preserve"> 2 Splitter de AC </t>
  </si>
  <si>
    <t xml:space="preserve">1 Kit de luces Led avanzadas de  2.4G 480 de 2.4 GNEEWER </t>
  </si>
  <si>
    <t>E-08-01-03-05</t>
  </si>
  <si>
    <t>1 Archivo metálico 4 gavetas</t>
  </si>
  <si>
    <t>Sin detalle</t>
  </si>
  <si>
    <t>E-08-02-00-00</t>
  </si>
  <si>
    <t>Otras unidades administrativas Sin detalle</t>
  </si>
  <si>
    <t>Los Fundadores sin detalle</t>
  </si>
  <si>
    <t>E-08-03-01-01</t>
  </si>
  <si>
    <t>E-08-03-03-02</t>
  </si>
  <si>
    <t>E-09-02-01-00</t>
  </si>
  <si>
    <t>E-09-02-02-00</t>
  </si>
  <si>
    <t>E-09-02-03-00</t>
  </si>
  <si>
    <t>E-09-02-04-00</t>
  </si>
  <si>
    <t>No detallado</t>
  </si>
  <si>
    <t>E-09-04-00-00</t>
  </si>
  <si>
    <t>Energía Eléctrica</t>
  </si>
  <si>
    <t>Imptos Fiscales y municipales</t>
  </si>
  <si>
    <t>Servicio de Agua</t>
  </si>
  <si>
    <t>Servicio Telefónico Resumen de celulares y Vr. Inves.</t>
  </si>
  <si>
    <t>E-10-06-00-00</t>
  </si>
  <si>
    <t>Impuesto valor agregado - IVA</t>
  </si>
  <si>
    <t xml:space="preserve">Servicio planta telefónica </t>
  </si>
  <si>
    <t>Servicio de Cables</t>
  </si>
  <si>
    <t>E-10-09-00-00</t>
  </si>
  <si>
    <t>Servicio de Currier</t>
  </si>
  <si>
    <t xml:space="preserve">Sueldos  </t>
  </si>
  <si>
    <t>Para proyectos de investigación en 7 áreas del conocimiento. De las 4 facultades y de la DI. Deacuerdo al artículo 37, leteral "d" de la Ley de Educación Superior las universidades deben de realizar al menos un proyecto de investiagción por área del conocimiento</t>
  </si>
  <si>
    <t>E-11-05-01-00</t>
  </si>
  <si>
    <t>E-11-05-02-00</t>
  </si>
  <si>
    <t>E-11-05-03-00</t>
  </si>
  <si>
    <t>Licenciaa (Canva y Zoom)</t>
  </si>
  <si>
    <t>E-11-05-04-00</t>
  </si>
  <si>
    <t>Registro CNR</t>
  </si>
  <si>
    <t xml:space="preserve">SUELDOS </t>
  </si>
  <si>
    <t>E-12-01-02-01</t>
  </si>
  <si>
    <t>E-12-01-02-02</t>
  </si>
  <si>
    <t>E-12-01-03-01</t>
  </si>
  <si>
    <t>Facultad Ciencias Empresariales</t>
  </si>
  <si>
    <t>Facultad de Informática y Ciencias Aplicadas</t>
  </si>
  <si>
    <t>Facultad de Ciencias Sociales</t>
  </si>
  <si>
    <t>E-12-01-03-04</t>
  </si>
  <si>
    <t>Facultad de Derecho</t>
  </si>
  <si>
    <t>E-12-01-03-05</t>
  </si>
  <si>
    <t>Proyección Social itinerante ( Catedras )</t>
  </si>
  <si>
    <t>E-12-01-04-03</t>
  </si>
  <si>
    <t>E-12-01-05-01</t>
  </si>
  <si>
    <t>Membresía Fundemas</t>
  </si>
  <si>
    <t>Boletín informativo 2024</t>
  </si>
  <si>
    <t>Diplomas estudiantes y docentes</t>
  </si>
  <si>
    <t>Visitas de seguimiento y evaluación de proyectos</t>
  </si>
  <si>
    <t>E-12-01-10-02</t>
  </si>
  <si>
    <t>E-12-01-11-01</t>
  </si>
  <si>
    <t>Insumos</t>
  </si>
  <si>
    <t>E-12-01-11-02</t>
  </si>
  <si>
    <t>Diplomas</t>
  </si>
  <si>
    <t>Renta de equipo $ 2.260.00 x 12 Acelera</t>
  </si>
  <si>
    <t>E-12-02-01-02</t>
  </si>
  <si>
    <t>Renta Scanner 3D $ 30 x 12</t>
  </si>
  <si>
    <t>E-12-02-02-00</t>
  </si>
  <si>
    <t>ABS (11 rollos)</t>
  </si>
  <si>
    <t>E-12-02-03-00</t>
  </si>
  <si>
    <t>Acrílico 3 mm (2 pliegos aprox.)</t>
  </si>
  <si>
    <t>E-12-02-04-00</t>
  </si>
  <si>
    <t>Estación de aire caliente para soldar o desoldar</t>
  </si>
  <si>
    <t>E-12-02-05-00</t>
  </si>
  <si>
    <t>ELEGOO SATURN 2 8K (Impresora de resina)</t>
  </si>
  <si>
    <t>E-12-02-06-00</t>
  </si>
  <si>
    <t>Kit Prusa i3 MK3S, color: black, orange, + Textured Sheet ($40)</t>
  </si>
  <si>
    <t>E-12-02-07-00</t>
  </si>
  <si>
    <t xml:space="preserve">Pasantías 3DLAB UTEC </t>
  </si>
  <si>
    <t>E-12-02-08-00</t>
  </si>
  <si>
    <t>Publicidad y Eventos</t>
  </si>
  <si>
    <t>E-12-03-01-01</t>
  </si>
  <si>
    <t>Materiales  e invitaciones</t>
  </si>
  <si>
    <t>E-12-03-01-02</t>
  </si>
  <si>
    <t>Collage de publicaciones</t>
  </si>
  <si>
    <t>E-12-03-01-03</t>
  </si>
  <si>
    <t>Cedulas introductorias y rotulaciones</t>
  </si>
  <si>
    <t>E-12-03-02-01</t>
  </si>
  <si>
    <t>Día de la Cruz- incluye vinil</t>
  </si>
  <si>
    <t>E-12-03-02-02</t>
  </si>
  <si>
    <t>Día de los Museos y de los Muertos</t>
  </si>
  <si>
    <t>E-12-03-02-03</t>
  </si>
  <si>
    <t>Adquisicion indumentaria Danza</t>
  </si>
  <si>
    <t>E-12-03-02-04</t>
  </si>
  <si>
    <t>Adquisicion indumentaria Coro</t>
  </si>
  <si>
    <t>E-12-03-02-05</t>
  </si>
  <si>
    <t>Festivales, concursos de arte y literatura</t>
  </si>
  <si>
    <t>E-12-03-02-06</t>
  </si>
  <si>
    <t>Revista Koot</t>
  </si>
  <si>
    <t>E-12-03-03-00</t>
  </si>
  <si>
    <t>EXPOSICIONES PERMANENTES</t>
  </si>
  <si>
    <t>E-12-03-04-00</t>
  </si>
  <si>
    <t>Contratación permanentte Arqueologa curadora</t>
  </si>
  <si>
    <t>E-12-03-05-00</t>
  </si>
  <si>
    <t>varios equipos</t>
  </si>
  <si>
    <t>Sueldos</t>
  </si>
  <si>
    <t xml:space="preserve">Mantenimiento aire acondicionado </t>
  </si>
  <si>
    <t xml:space="preserve">Mantenimiento odorizacion baños </t>
  </si>
  <si>
    <t xml:space="preserve">Mantenimiento Asensores </t>
  </si>
  <si>
    <t xml:space="preserve">Mantenimiento de Planta emergencia </t>
  </si>
  <si>
    <t>Material de limpieza</t>
  </si>
  <si>
    <t>Mantenimiento instalaciones y fumigaciones</t>
  </si>
  <si>
    <t>E-13-05-07-00</t>
  </si>
  <si>
    <t>Material de jardineria</t>
  </si>
  <si>
    <t>Impuestos municipales  $ 1,293.00 x 12</t>
  </si>
  <si>
    <t>Servicio de Teléfono $ 339.00 X 12- 22751000</t>
  </si>
  <si>
    <t>Servicio Planta Telefónica $ 403 X 12</t>
  </si>
  <si>
    <t>Seguridad Ojos de Aguila $ 3,590.00 x 12</t>
  </si>
  <si>
    <t>Servicio de ordenanzas y jardineros Aloe $3,350.00 x 12</t>
  </si>
  <si>
    <t>Servicio de internet columbus $ 2,576.40</t>
  </si>
  <si>
    <t>Servicio Leasing  6  Desktop $  42.75*6 x $ 256.5 x 12</t>
  </si>
  <si>
    <t>Servicio Leasing 1 Desktop Docente Robotica  $ 52.25  x12</t>
  </si>
  <si>
    <t>Servicio Leasing 1 Laptop $ 83  x 12</t>
  </si>
  <si>
    <t>Servicio Leasing 4 Proyectores de cañon Aulas $ 146.78x 4 x 12 $ 587.12</t>
  </si>
  <si>
    <t>2 Servicio Leasing  Proyectores de cañon Auditorios  $ 244.63 x 2 $ 489.26 x12</t>
  </si>
  <si>
    <t>1 Proyector de cañon Sala reuniones $ 244.63 x 12</t>
  </si>
  <si>
    <t xml:space="preserve">Servicio Leasing 1 Proyector de cañon Sala Reuniones (aula de robótica) $ 161.50 x 12  </t>
  </si>
  <si>
    <t>8 Pantallas interactivas de 65 " $ 2,123.80 x 12</t>
  </si>
  <si>
    <t>E-13-09-01-00</t>
  </si>
  <si>
    <t>Planes  de estudios (Actualizaciones Planes de estudios + Nuevas maestrias)</t>
  </si>
  <si>
    <t>E-13-09-03-01</t>
  </si>
  <si>
    <t>E-13-09-03-03</t>
  </si>
  <si>
    <t>E-13-09-04-01</t>
  </si>
  <si>
    <t>E-13-09-04-03</t>
  </si>
  <si>
    <t>E-13-09-04-04</t>
  </si>
  <si>
    <t>E-13-09-04-05</t>
  </si>
  <si>
    <t>E-13-09-04-06</t>
  </si>
  <si>
    <t>E-13-09-04-07</t>
  </si>
  <si>
    <t>E-13-09-04-08</t>
  </si>
  <si>
    <t>Actividades promocionales.</t>
  </si>
  <si>
    <t>E-13-09-04-12</t>
  </si>
  <si>
    <t>E-13-09-04-13</t>
  </si>
  <si>
    <t>E-13-09-04-14</t>
  </si>
  <si>
    <t>E-13-09-05-01</t>
  </si>
  <si>
    <t>Cóctel</t>
  </si>
  <si>
    <t>E-13-09-05-02</t>
  </si>
  <si>
    <t>Alquiler togas</t>
  </si>
  <si>
    <t>E-13-09-05-03</t>
  </si>
  <si>
    <t>Arreglos florales</t>
  </si>
  <si>
    <t>E-13-09-05-04</t>
  </si>
  <si>
    <t>Tarjetas de invitación</t>
  </si>
  <si>
    <t>E-13-09-05-05</t>
  </si>
  <si>
    <t>Títulos Maestrías</t>
  </si>
  <si>
    <t>E-13-09-05-06</t>
  </si>
  <si>
    <t>Portatítulos</t>
  </si>
  <si>
    <t>E-13-09-05-07</t>
  </si>
  <si>
    <t>Fotografías</t>
  </si>
  <si>
    <t>E-13-09-05-08</t>
  </si>
  <si>
    <t>Pines</t>
  </si>
  <si>
    <t>Horas clase</t>
  </si>
  <si>
    <t>E-13-10-01-02</t>
  </si>
  <si>
    <t xml:space="preserve">Supervisión Lic Carlos Molina </t>
  </si>
  <si>
    <t>E-13-10-02-00</t>
  </si>
  <si>
    <t>E-13-11-01-00</t>
  </si>
  <si>
    <t>Membresía AUIP 2024</t>
  </si>
  <si>
    <t>CC Empresariales</t>
  </si>
  <si>
    <t>Informatica y CC Aplicadas</t>
  </si>
  <si>
    <t>CC Sociales</t>
  </si>
  <si>
    <t>CC Juridicas</t>
  </si>
  <si>
    <t>E-14-02-01-00</t>
  </si>
  <si>
    <t>E-14-02-02-00</t>
  </si>
  <si>
    <t>E-14-02-03-00</t>
  </si>
  <si>
    <t>E-14-02-04-00</t>
  </si>
  <si>
    <t>E-14-03-02-00</t>
  </si>
  <si>
    <t>E-14-03-03-01</t>
  </si>
  <si>
    <t>10 TirroS</t>
  </si>
  <si>
    <t>E-14-03-03-02</t>
  </si>
  <si>
    <t>4 Kit de baterias Recargables AA</t>
  </si>
  <si>
    <t>E-14-03-03-03</t>
  </si>
  <si>
    <t>8 Baterias Alkalina Doble AA</t>
  </si>
  <si>
    <t>E-14-03-03-04</t>
  </si>
  <si>
    <t>8 Tirro Ancho industrial</t>
  </si>
  <si>
    <t>E-14-03-03-05</t>
  </si>
  <si>
    <t>8 Baterias Alkalina Triple AAA</t>
  </si>
  <si>
    <t>E-14-03-03-07</t>
  </si>
  <si>
    <t>2 Kit de baterías AA recargables</t>
  </si>
  <si>
    <t>E-14-03-03-08</t>
  </si>
  <si>
    <t>2 Papel para impresor 6800/6R</t>
  </si>
  <si>
    <t>E-14-03-03-09</t>
  </si>
  <si>
    <t xml:space="preserve">2 Kit limpiador de camaras y lentes </t>
  </si>
  <si>
    <t>E-14-03-03-10</t>
  </si>
  <si>
    <t xml:space="preserve">8 Focos de color rojo para cuarto oscuro </t>
  </si>
  <si>
    <t>E-14-03-03-11</t>
  </si>
  <si>
    <t>2 Aire Comprimido para limpieza de contactos</t>
  </si>
  <si>
    <t>E-14-03-03-12</t>
  </si>
  <si>
    <t>5 Focos luz led blanca de 80 watts para equipo de luz continua</t>
  </si>
  <si>
    <t>E-14-03-03-13</t>
  </si>
  <si>
    <t xml:space="preserve">20 Focos para ampliadora  14 watts para ampliadora </t>
  </si>
  <si>
    <t>CC Empresariales $ 3,300 x 12</t>
  </si>
  <si>
    <t>Informática y CC Aplicadas $ 7,300.00 x 12</t>
  </si>
  <si>
    <t>CC Sociales $ 5800.00 x 12</t>
  </si>
  <si>
    <t>CC Jurídicas $ 1,900.00 x 12</t>
  </si>
  <si>
    <t>Informática y CC Aplicadas</t>
  </si>
  <si>
    <t>CC Jurídicas</t>
  </si>
  <si>
    <t xml:space="preserve">Montealban $ 30,045.00 x 12  </t>
  </si>
  <si>
    <t>Parqueo Calleja 12   $ 11,136.33</t>
  </si>
  <si>
    <t>Los Magaña-  $ 4,700.00 x 12</t>
  </si>
  <si>
    <t>Despacho en Cumbres de Cuscatlán $ 4,294.00 x 12</t>
  </si>
  <si>
    <t>Noris de López Apto. Marbella  $ 1,500.00 x12</t>
  </si>
  <si>
    <t xml:space="preserve">Salarios </t>
  </si>
  <si>
    <t>Modulos</t>
  </si>
  <si>
    <t>Asesoria Tesis</t>
  </si>
  <si>
    <t>Jurado de Tesis técnicos</t>
  </si>
  <si>
    <t>E-16-02-04-00</t>
  </si>
  <si>
    <t>Toelf Toeic</t>
  </si>
  <si>
    <t>E-16-02-05-00</t>
  </si>
  <si>
    <t>Investigaciones</t>
  </si>
  <si>
    <t>E-17-01-01-00</t>
  </si>
  <si>
    <t>Librerías de imágenes, música y proyectos ( Licencia Envato)</t>
  </si>
  <si>
    <t>Material estudio (cables, conectores y accesorios) - Estudio de TV</t>
  </si>
  <si>
    <t>Mantenimiento de vehículo - Estudio de TV</t>
  </si>
  <si>
    <t>Mantenimiento equipo - Estudio de TV</t>
  </si>
  <si>
    <t>E-17-01-05-00</t>
  </si>
  <si>
    <t xml:space="preserve">Transporte y viáticos al personal </t>
  </si>
  <si>
    <t>Estipendio pasante (1) (Yuri Sosa) - Estudio de TV</t>
  </si>
  <si>
    <t>E-17-01-07-00</t>
  </si>
  <si>
    <t>Combustible vehículo - Estudio de TV</t>
  </si>
  <si>
    <t>E-17-01-08-00</t>
  </si>
  <si>
    <t>Osmo poket / Producciones TT - Estudio de TV</t>
  </si>
  <si>
    <t>E-17-01-09-00</t>
  </si>
  <si>
    <t>DJI Micrófonos (2) (Estuche de carga y almacenamiento)  - Estudio de TV</t>
  </si>
  <si>
    <t>E-17-01-10-00</t>
  </si>
  <si>
    <t>2 cables HDMI (30 Metros cada uno) - Estudio de TV</t>
  </si>
  <si>
    <t>E-17-01-11-00</t>
  </si>
  <si>
    <t>Intercomunicadores Wireless - Los actuales tienen 7 años - Estudio de TV</t>
  </si>
  <si>
    <t>E-17-01-12-00</t>
  </si>
  <si>
    <t>Kit de luces + tripode + fuente + estabilizadores (3 luces led) - Estudio de TV</t>
  </si>
  <si>
    <t>E-17-01-13-00</t>
  </si>
  <si>
    <t>6 discos duros de 4 T para almacenamiento de producciones - Estudio de TV</t>
  </si>
  <si>
    <t>E-17-01-14-00</t>
  </si>
  <si>
    <t>Luz led para cámara de video -  Coberturas  - Estudio de TV</t>
  </si>
  <si>
    <t>E-17-01-15-00</t>
  </si>
  <si>
    <t>Cable de video coaxial de 40 metros - Estudio de TV</t>
  </si>
  <si>
    <t>E-17-01-16-00</t>
  </si>
  <si>
    <t>3 Black magic convertidor de SDI a HDMI - Estudio de TV</t>
  </si>
  <si>
    <t>E-17-01-17-00</t>
  </si>
  <si>
    <t>3 Microvertidor HDMI a SDI - Estudio de TV</t>
  </si>
  <si>
    <t>E-17-01-18-00</t>
  </si>
  <si>
    <t xml:space="preserve">1 Memoria para cámara profesional </t>
  </si>
  <si>
    <t>E-17-01-19-00</t>
  </si>
  <si>
    <t>4 Baterías para cámaras Nikon EN-EL14afor-D3200 - Estudio de TV</t>
  </si>
  <si>
    <t>E-17-02-01-00</t>
  </si>
  <si>
    <t>Estipendio pasante (1) (Evelyn Guadalupe Alfaro Durán)</t>
  </si>
  <si>
    <t>E-17-02-02-00</t>
  </si>
  <si>
    <t>3 diademas pata atención - Centro de llamadas</t>
  </si>
  <si>
    <t>E-17-02-03-00</t>
  </si>
  <si>
    <t>5 sillas secretariales con malla - Centro de llamadas</t>
  </si>
  <si>
    <t>E-17-02-04-00</t>
  </si>
  <si>
    <t>5 mouse pad con almoadilla de gel - Centro de llamadas</t>
  </si>
  <si>
    <t>E-17-02-05-00</t>
  </si>
  <si>
    <t>Celular Honor 90.5G - Producciones TIKTOK - Centro de llamadas</t>
  </si>
  <si>
    <t>E-17-02-06-00</t>
  </si>
  <si>
    <t>Estabilizador DJI Osmo - Centro de llamadas</t>
  </si>
  <si>
    <t>E-17-02-07-00</t>
  </si>
  <si>
    <t>Micrófono DJI Mic - Centro de llamadas</t>
  </si>
  <si>
    <t>Desarrollador y administrador de S. Web (Trend) $ 802.00</t>
  </si>
  <si>
    <t>E-18-06-02-00</t>
  </si>
  <si>
    <t>Manteniminto de la traducción del sitio web (Gtranslate) (abril)</t>
  </si>
  <si>
    <t>Licencia Buffer (Sotfware redes sociales) - Centro de llamadas</t>
  </si>
  <si>
    <t>E-18-06-04-00</t>
  </si>
  <si>
    <t>Suscripción periódicos locales LPG</t>
  </si>
  <si>
    <t>E-18-06-05-00</t>
  </si>
  <si>
    <t>Suscripción periódicos locales EDH</t>
  </si>
  <si>
    <t>E-17-04-01-00</t>
  </si>
  <si>
    <t>Catálogo institucional</t>
  </si>
  <si>
    <t>E-17-04-02-00</t>
  </si>
  <si>
    <t>Folletos y boletines</t>
  </si>
  <si>
    <t>E-17-04-03-00</t>
  </si>
  <si>
    <t>Librerías de imágenes, música y proyectos ( Shutterstock)</t>
  </si>
  <si>
    <t>Estipendios pasantes 2 (Daniel Durán y Adriana Arteaga)</t>
  </si>
  <si>
    <t>Carteleras en periódicos de actividades (agendas)</t>
  </si>
  <si>
    <t>Comunicados y esquelas</t>
  </si>
  <si>
    <t>Matrícula en medios</t>
  </si>
  <si>
    <t>E-18-02-01-00</t>
  </si>
  <si>
    <t>Producción de materiales audiovisuales para campaña publicitaria</t>
  </si>
  <si>
    <t>E-18-02-02-00</t>
  </si>
  <si>
    <t xml:space="preserve">Creación de concepto creativo - Agencia  </t>
  </si>
  <si>
    <t>E-18-02-03-00</t>
  </si>
  <si>
    <t>Producción agencia de publicidad</t>
  </si>
  <si>
    <t>E-18-02-04-00</t>
  </si>
  <si>
    <t>Almuerzos y refrigerios para modelos</t>
  </si>
  <si>
    <t>E-18-02-05-00</t>
  </si>
  <si>
    <t>E-18-02-06-00</t>
  </si>
  <si>
    <t xml:space="preserve">Producción materiales publicitarios </t>
  </si>
  <si>
    <t>Rotulación interna</t>
  </si>
  <si>
    <t>E-18-04-02-00</t>
  </si>
  <si>
    <t xml:space="preserve">Afiches, banner, mupis y roll-ups </t>
  </si>
  <si>
    <t>Protocolo y eventos (vestuario, acrílicos, bolígrafos y agua)</t>
  </si>
  <si>
    <t>E-18-04-04-00</t>
  </si>
  <si>
    <r>
      <t>Suscripción CANVA PRO</t>
    </r>
    <r>
      <rPr>
        <b/>
        <sz val="11"/>
        <color rgb="FF404040"/>
        <rFont val="Garamond"/>
        <family val="1"/>
      </rPr>
      <t xml:space="preserve"> (Aumentar a 5 usuarios)</t>
    </r>
  </si>
  <si>
    <t>E-18-04-05-00</t>
  </si>
  <si>
    <t>Mantenimiento de carteleras</t>
  </si>
  <si>
    <t xml:space="preserve">Estipendio pasante (Maria José Arteaga) </t>
  </si>
  <si>
    <t>E-18-04-07-00</t>
  </si>
  <si>
    <t>Restauración e ilumación de rótulos en edificios (5) - Led y timer</t>
  </si>
  <si>
    <t>Arrendamiento de 5 mupis digitales: SB, BJ, FM, GL Y GM ($2,200 mens)</t>
  </si>
  <si>
    <t xml:space="preserve">Contrato de Mantenimiento Aires Acondicionados </t>
  </si>
  <si>
    <t>Materiales Mantenimiento A/A</t>
  </si>
  <si>
    <t>Manto. Oficinas, Mobiliario y equipos</t>
  </si>
  <si>
    <t xml:space="preserve">Mantto. preventivo planta fotovoltaíca </t>
  </si>
  <si>
    <t>E-19-01-02-04</t>
  </si>
  <si>
    <t>Mantenimiento Bebederos</t>
  </si>
  <si>
    <t>E-19-01-02-05</t>
  </si>
  <si>
    <t>Mantenimiento Plantas Emergencia</t>
  </si>
  <si>
    <t>E-19-01-02-06</t>
  </si>
  <si>
    <t>Mantenimiento subestaciones eléctricas</t>
  </si>
  <si>
    <t>E-19-01-02-07</t>
  </si>
  <si>
    <t>Mantenimiento cisternas</t>
  </si>
  <si>
    <t xml:space="preserve">Materiales para Construcción </t>
  </si>
  <si>
    <t xml:space="preserve">Materiales Eléctricos </t>
  </si>
  <si>
    <t xml:space="preserve">Materiales mantenimiento </t>
  </si>
  <si>
    <t xml:space="preserve">Mantenimiento Fumigaciones </t>
  </si>
  <si>
    <t xml:space="preserve">Mantenimiento Pintura </t>
  </si>
  <si>
    <t>Mantenimiento de Jardines</t>
  </si>
  <si>
    <t>Mantenimiento El Palmarcito</t>
  </si>
  <si>
    <t>Mantenimiento terreno Ciudad Delgado</t>
  </si>
  <si>
    <t>Enmarcados</t>
  </si>
  <si>
    <t>Herramientas (carpinteros, mecánicos, pintores, fontaneros, jardineros, varias)</t>
  </si>
  <si>
    <t>E-19-01-06-01</t>
  </si>
  <si>
    <t>Equipo de protección especial (incluye botsa, líneas de vida, entre otros)</t>
  </si>
  <si>
    <t>Mantenimiento en talleres</t>
  </si>
  <si>
    <t>Alcohol para alumnos</t>
  </si>
  <si>
    <t>E-19-02-04-01</t>
  </si>
  <si>
    <t>E-19-03-01-01</t>
  </si>
  <si>
    <t>E-19-03-01-02</t>
  </si>
  <si>
    <t>E-19-03-01-03</t>
  </si>
  <si>
    <t>E-19-03-01-04</t>
  </si>
  <si>
    <t>E-19-03-01-05</t>
  </si>
  <si>
    <t>E-19-03-01-06</t>
  </si>
  <si>
    <t>E-19-03-01-07</t>
  </si>
  <si>
    <t>E-19-03-01-08</t>
  </si>
  <si>
    <t>E-19-03-01-10</t>
  </si>
  <si>
    <t>E-21-01-04-00</t>
  </si>
  <si>
    <t xml:space="preserve">Ponente </t>
  </si>
  <si>
    <t>E-21-02-02-00</t>
  </si>
  <si>
    <t>Publicidad</t>
  </si>
  <si>
    <t>E-21-02-03-00</t>
  </si>
  <si>
    <t>Insumos Taller Turismo, Diplomados y Refrigerios</t>
  </si>
  <si>
    <t>E-21-02-04-00</t>
  </si>
  <si>
    <t>Pago licencias AMADEUS</t>
  </si>
  <si>
    <t>E-21-02-05-00</t>
  </si>
  <si>
    <t>Actividades Centro Emprendedor Crea Utec (Activación Emprendedora, Networking y Feria Emprendedora)</t>
  </si>
  <si>
    <t>E-21-03-01-00</t>
  </si>
  <si>
    <t>Ponente</t>
  </si>
  <si>
    <t>E-21-03-02-00</t>
  </si>
  <si>
    <t>Insumos Diplomados y Refrigerios</t>
  </si>
  <si>
    <t>E-21-06-01-00</t>
  </si>
  <si>
    <t>Ponentes</t>
  </si>
  <si>
    <t>E-21-06-02-00</t>
  </si>
  <si>
    <t xml:space="preserve">Insumos Diplomados </t>
  </si>
  <si>
    <t>E-21-06-03-00</t>
  </si>
  <si>
    <t xml:space="preserve">Pago licencias HBR </t>
  </si>
  <si>
    <t>E-21-06-04-00</t>
  </si>
  <si>
    <t>Pago de Licencias Innovanet</t>
  </si>
  <si>
    <t>Insumos Seminarios y refrigerios (Canvas)</t>
  </si>
  <si>
    <t>E-21-07-01-00</t>
  </si>
  <si>
    <t>E-21-07-02-00</t>
  </si>
  <si>
    <t>Insumos Seminarios y refrigerios</t>
  </si>
  <si>
    <t>E-21-08-01-00</t>
  </si>
  <si>
    <t>E-21-08-03-00</t>
  </si>
  <si>
    <t>E-21-09-00-00</t>
  </si>
  <si>
    <t>E-22-01-01-01</t>
  </si>
  <si>
    <t>Modelo de formación de competencias, Nivel 2</t>
  </si>
  <si>
    <t>E-22-01-01-02</t>
  </si>
  <si>
    <t>Metodología de investigación para las ciencias Económmicas</t>
  </si>
  <si>
    <t>E-22-01-01-03</t>
  </si>
  <si>
    <t>Eiqueta, protocolo e imagen profesional</t>
  </si>
  <si>
    <t>E-22-01-01-04</t>
  </si>
  <si>
    <t>Power BI e Inteligencia de negocios</t>
  </si>
  <si>
    <t>E-22-01-01-05</t>
  </si>
  <si>
    <t>Excel intermedio y avanzado</t>
  </si>
  <si>
    <t>E-22-01-01-06</t>
  </si>
  <si>
    <t>Seminarios y congresos externos</t>
  </si>
  <si>
    <t>E-22-01-01-07</t>
  </si>
  <si>
    <t>Movilidad internacional</t>
  </si>
  <si>
    <t>Maestría Lic. Henry  Cerritos</t>
  </si>
  <si>
    <t>E-22-01-02-02</t>
  </si>
  <si>
    <t>Uso de herramientas de Inteligencia Artificial y aprendizaje automático</t>
  </si>
  <si>
    <t>E-22-01-02-03</t>
  </si>
  <si>
    <t>Aplicaciones prácticas de la Inteligencia Artificial en la Ingeniería</t>
  </si>
  <si>
    <t>E-22-01-02-04</t>
  </si>
  <si>
    <t>Prevención de amenazas y ataques cibernéticos</t>
  </si>
  <si>
    <t>E-22-01-02-05</t>
  </si>
  <si>
    <t>Maestría en Entornos Virtuales de Aprendizaje. Licda. María José Callejas</t>
  </si>
  <si>
    <t>E-22-01-02-06</t>
  </si>
  <si>
    <t>Maestría en Gestión del Curriculum, Didactiva y Evaluación. Licda. Cecilia Méndez de Romero</t>
  </si>
  <si>
    <t>E-22-01-03-01</t>
  </si>
  <si>
    <t>Ingeniera industrial Dr Ruben A. Funez $ 56.00</t>
  </si>
  <si>
    <t>Doctorado en Educaión, Lic. Aldo Maldonado</t>
  </si>
  <si>
    <t>Maestría Beatríaz Martínez</t>
  </si>
  <si>
    <t>E-22-01-03-05</t>
  </si>
  <si>
    <t xml:space="preserve">Participación en Congreso Internacional de Psicología </t>
  </si>
  <si>
    <t>E-22-01-03-06</t>
  </si>
  <si>
    <t>Diplomado en Test Psicológicos en área clínica</t>
  </si>
  <si>
    <t>E-22-01-03-07</t>
  </si>
  <si>
    <t>Seminario de Autocuiodo y Arteterapia</t>
  </si>
  <si>
    <t>Otras capacitaciones Escuela de Derecho</t>
  </si>
  <si>
    <t>Capacitaciones personal de Maestrías</t>
  </si>
  <si>
    <t>Maestría: Adriana Baires</t>
  </si>
  <si>
    <t>E-22-03-01-02</t>
  </si>
  <si>
    <t>E-22-03-02-01</t>
  </si>
  <si>
    <t>E-22-03-02-02</t>
  </si>
  <si>
    <t>E-22-03-03-01</t>
  </si>
  <si>
    <t>Varios REFRIGERIOS</t>
  </si>
  <si>
    <t>E-22-03-06-01</t>
  </si>
  <si>
    <t>E-22-03-06-02</t>
  </si>
  <si>
    <t>E-22-03-07-01</t>
  </si>
  <si>
    <t>E-22-03-09-01</t>
  </si>
  <si>
    <t>E-22-04-01-01</t>
  </si>
  <si>
    <t>E-22-04-02-01</t>
  </si>
  <si>
    <t>E-22-04-03-01</t>
  </si>
  <si>
    <t>E-22-04-04-01</t>
  </si>
  <si>
    <t>E-22-04-05-01</t>
  </si>
  <si>
    <t>E-22-04-05-02</t>
  </si>
  <si>
    <t>E-22-04-05-03</t>
  </si>
  <si>
    <t>E-22-04-05-04</t>
  </si>
  <si>
    <t>E-22-04-06-01</t>
  </si>
  <si>
    <t>E-22-04-07-01</t>
  </si>
  <si>
    <t>E-22-04-08-01</t>
  </si>
  <si>
    <t>E-22-04-09-01</t>
  </si>
  <si>
    <t>E-23-03-00-00</t>
  </si>
  <si>
    <t>TRASLADO VALORES DE TESORERIA</t>
  </si>
  <si>
    <t>E-24-01-01-00</t>
  </si>
  <si>
    <t>E-24-01-02-00</t>
  </si>
  <si>
    <t>E-24-01-04-00</t>
  </si>
  <si>
    <t>E-24-01-06-00</t>
  </si>
  <si>
    <t>E-24-01-07-00</t>
  </si>
  <si>
    <t>E-24-02-01-00</t>
  </si>
  <si>
    <t>Publicidad en periódicos digitales- Social Media Day</t>
  </si>
  <si>
    <t>Publicidad en Facebook</t>
  </si>
  <si>
    <t>E-24-02-03-00</t>
  </si>
  <si>
    <t>Publicidad en Twitter</t>
  </si>
  <si>
    <t>E-24-02-04-00</t>
  </si>
  <si>
    <t>Publicidad en Google</t>
  </si>
  <si>
    <t>Publicidad en LinkedIn</t>
  </si>
  <si>
    <t>E-24-02-06-00</t>
  </si>
  <si>
    <t>Suscripción Mail Chimp $ 750.00 x 12</t>
  </si>
  <si>
    <t>E-24-02-07-00</t>
  </si>
  <si>
    <t>Licencias Freepik- Banco de Imágenes</t>
  </si>
  <si>
    <t>E-24-02-08-00</t>
  </si>
  <si>
    <t>Consumo móvil</t>
  </si>
  <si>
    <t>E-24-03-01-01</t>
  </si>
  <si>
    <t>E-24-03-01-02</t>
  </si>
  <si>
    <t>E-24-03-02-01</t>
  </si>
  <si>
    <t>E-24-03-02-02</t>
  </si>
  <si>
    <t>E-24-03-03-01</t>
  </si>
  <si>
    <t>E-24-03-03-02</t>
  </si>
  <si>
    <t>E-24-03-03-03</t>
  </si>
  <si>
    <t>E-24-03-03-04</t>
  </si>
  <si>
    <t>E-24-03-04-01</t>
  </si>
  <si>
    <t>E-24-03-04-02</t>
  </si>
  <si>
    <t xml:space="preserve">Desayunos  Red Utec </t>
  </si>
  <si>
    <t>Eventos Especiales a directores</t>
  </si>
  <si>
    <t>E-24-04-01-03</t>
  </si>
  <si>
    <t>Patrocinios Educación media</t>
  </si>
  <si>
    <t>E-24-04-01-04</t>
  </si>
  <si>
    <t>Promocionales para directores</t>
  </si>
  <si>
    <t>E-24-04-02-01</t>
  </si>
  <si>
    <t>Capacitaciones a docentes entornos virtuales</t>
  </si>
  <si>
    <t>E-24-04-02-02</t>
  </si>
  <si>
    <t>Capacitaciones a docentes de la red</t>
  </si>
  <si>
    <t>Refrigerios</t>
  </si>
  <si>
    <t>E-24-04-02-04</t>
  </si>
  <si>
    <t>Diplomas y cartapacios para certificados</t>
  </si>
  <si>
    <t>E-24-04-03-01</t>
  </si>
  <si>
    <t>Personal 3  Giovanni, Sergio, Elber</t>
  </si>
  <si>
    <t>E-24-04-03-02</t>
  </si>
  <si>
    <t>E-24-04-03-03</t>
  </si>
  <si>
    <t>Transportes</t>
  </si>
  <si>
    <t>E-24-04-03-04</t>
  </si>
  <si>
    <t>Suscripción anual ZOOM y  Webbinar</t>
  </si>
  <si>
    <t>Participación en ferias: Counter, Viáticos y hospedaje Ferias</t>
  </si>
  <si>
    <t>E-24-05-01-00</t>
  </si>
  <si>
    <t>Sueldos personal permamente y eventual</t>
  </si>
  <si>
    <t>Alquiler de Local $ 3108*12  (Armida)</t>
  </si>
  <si>
    <t>Mantenimiento de local $ 436.23</t>
  </si>
  <si>
    <t>E-24-05-04-00</t>
  </si>
  <si>
    <t>Mantenimiento equipos $ 19.* 12</t>
  </si>
  <si>
    <t>Mantenimiento limpieza fumigaciones</t>
  </si>
  <si>
    <t>Servicio Internet $ 203.*12 II000001789</t>
  </si>
  <si>
    <t>Servicio telefónico $ 25 X 12</t>
  </si>
  <si>
    <t>Servicio Energia Eléctrica  $ 300 X 12</t>
  </si>
  <si>
    <t>Parqueo vehículos del personal $ 40</t>
  </si>
  <si>
    <t>Útiles de Escritorio y otros</t>
  </si>
  <si>
    <t>Aromatización $ 55.00 * 12</t>
  </si>
  <si>
    <t>E-24-06-01-00</t>
  </si>
  <si>
    <t>Sueldos del personal fijo y eventuales</t>
  </si>
  <si>
    <t>Servicio telefónico Telefonica $ 419 x 12 CHC0053</t>
  </si>
  <si>
    <t xml:space="preserve">Servicio telefono móvil $ 35 x 12 </t>
  </si>
  <si>
    <t>E-24-06-04-00</t>
  </si>
  <si>
    <t>Arrendamiento telefonos Dada Dada $ 814 x 12</t>
  </si>
  <si>
    <t>E-24-07-01-00</t>
  </si>
  <si>
    <t>Sueldos fijos y eventual</t>
  </si>
  <si>
    <t>Renta de local $ 2,917.85</t>
  </si>
  <si>
    <t>E-24-07-03-00</t>
  </si>
  <si>
    <t>Seguridad CAM $ 385 X 12</t>
  </si>
  <si>
    <t>Energia electrica $ 200 X 12</t>
  </si>
  <si>
    <t>Servicio de agua $ 10.00</t>
  </si>
  <si>
    <t>Servicio telefónico  $ 20 X 12 22757566</t>
  </si>
  <si>
    <t>E-24-07-07-00</t>
  </si>
  <si>
    <t>Imptos municipales $ 14 X 12</t>
  </si>
  <si>
    <t>Servicio internet $ 203 x 12 II000001969</t>
  </si>
  <si>
    <t>Mtto aire acondicionado  $ 35.00</t>
  </si>
  <si>
    <t>Fumigación</t>
  </si>
  <si>
    <t xml:space="preserve">Insumos de oficina- agua cristal $ 44.00 </t>
  </si>
  <si>
    <t>Promoción centro de atención</t>
  </si>
  <si>
    <t xml:space="preserve"> Sueldo de Decano de + secretaria y Josseline  $ 4000+400</t>
  </si>
  <si>
    <t>Impresiones$ 1,020 x 12</t>
  </si>
  <si>
    <t>Membresia Club</t>
  </si>
  <si>
    <t>Papeleria e  insumos  de escritorio</t>
  </si>
  <si>
    <t>Sueldo Lic. Carlos Magno Pineda $ 1700*13 + Kevin colaborador $ 400</t>
  </si>
  <si>
    <t>E-25-02-02-00</t>
  </si>
  <si>
    <t>Bienvenida alumnos Nuevo Ingreso</t>
  </si>
  <si>
    <t>E-25-02-03-00</t>
  </si>
  <si>
    <t>Congreso de tutores e instructores</t>
  </si>
  <si>
    <t>Sueldos  Claudia Marcela $ 700 x13</t>
  </si>
  <si>
    <t>E-25-03-02-00</t>
  </si>
  <si>
    <t>Reuniones con coordinadores</t>
  </si>
  <si>
    <t>Sueldos  Lic. Juan  Montano y Beatriz Arias  $ 1,100. + 400</t>
  </si>
  <si>
    <t xml:space="preserve">Sueldo Encargado Unidad $ 750.00 </t>
  </si>
  <si>
    <t>Colaborador $ 500</t>
  </si>
  <si>
    <t>Entrenadores Morataya $ 450, Panameño $ 600. - SON $ 500 + 600.00</t>
  </si>
  <si>
    <t>Uniformes Deportivos</t>
  </si>
  <si>
    <t>Implementos deportivos</t>
  </si>
  <si>
    <t>E-25-05-06-00</t>
  </si>
  <si>
    <t>Trofeos y premiaciones</t>
  </si>
  <si>
    <t>Inscripciones de torneos universitarios</t>
  </si>
  <si>
    <t>E-25-05-08-00</t>
  </si>
  <si>
    <t>Arbitrajes</t>
  </si>
  <si>
    <t>E-25-05-09-00</t>
  </si>
  <si>
    <t>Alquiler de cancha futbol 11</t>
  </si>
  <si>
    <t>Servicio de agua cristal</t>
  </si>
  <si>
    <t>Sesiones y conferencias   Senado Consultivo Presidencia</t>
  </si>
  <si>
    <t>Comites ejecutivos</t>
  </si>
  <si>
    <t>Dietas</t>
  </si>
  <si>
    <t>E-26-01-01-04</t>
  </si>
  <si>
    <t>Reuniones Rectoria</t>
  </si>
  <si>
    <t>E-26-01-01-05</t>
  </si>
  <si>
    <t>Direción corporativa</t>
  </si>
  <si>
    <t>Atencion Floral  y esquelas por defunsiones</t>
  </si>
  <si>
    <t>Gastos de Representacion Dr. Loucel $ 8888.88</t>
  </si>
  <si>
    <t>E-26-01-03-01</t>
  </si>
  <si>
    <t>Día de la secretaria</t>
  </si>
  <si>
    <t>E-26-01-03-02</t>
  </si>
  <si>
    <t>Socializando clima laboral</t>
  </si>
  <si>
    <t>E-26-01-03-03</t>
  </si>
  <si>
    <t xml:space="preserve">Festejo navideño a hijos de empleados </t>
  </si>
  <si>
    <t>E-26-01-03-04</t>
  </si>
  <si>
    <t>Saludo Navideño</t>
  </si>
  <si>
    <t>Hotel Crown Plaza- refrigerios y atención</t>
  </si>
  <si>
    <t>E-26-02-02-01</t>
  </si>
  <si>
    <t>Hotel Cena</t>
  </si>
  <si>
    <t>E-26-02-02-02</t>
  </si>
  <si>
    <t>Bebida</t>
  </si>
  <si>
    <t>E-26-02-02-03</t>
  </si>
  <si>
    <t>Regalos, rifas y canastas</t>
  </si>
  <si>
    <t>E-26-02-02-04</t>
  </si>
  <si>
    <t>Musica</t>
  </si>
  <si>
    <t>E-26-02-02-05</t>
  </si>
  <si>
    <t>Decoracion floral</t>
  </si>
  <si>
    <t>E-26-02-02-06</t>
  </si>
  <si>
    <t>Papelería</t>
  </si>
  <si>
    <t>E-26-02-02-07</t>
  </si>
  <si>
    <t>Bocas para evento</t>
  </si>
  <si>
    <t>E-26-02-02-08</t>
  </si>
  <si>
    <t>Viaticos personal organizador</t>
  </si>
  <si>
    <t>E-26-02-02-09</t>
  </si>
  <si>
    <t>Reconocimientos a docentes distinguidos</t>
  </si>
  <si>
    <t>E-26-02-03-01</t>
  </si>
  <si>
    <t>E-26-02-03-02</t>
  </si>
  <si>
    <t>E-26-02-03-03</t>
  </si>
  <si>
    <t xml:space="preserve">CC SOCIALES </t>
  </si>
  <si>
    <t>E-26-02-03-04</t>
  </si>
  <si>
    <t>E-26-02-04-04</t>
  </si>
  <si>
    <t>E-26-02-05-01</t>
  </si>
  <si>
    <t>E-26-02-05-02</t>
  </si>
  <si>
    <t>E-26-02-05-03</t>
  </si>
  <si>
    <t>E-26-02-05-04</t>
  </si>
  <si>
    <t>E-26-02-06-01</t>
  </si>
  <si>
    <t>E-26-02-06-02</t>
  </si>
  <si>
    <t>E-26-02-06-03</t>
  </si>
  <si>
    <t>E-26-02-07-01</t>
  </si>
  <si>
    <t>E-26-02-07-02</t>
  </si>
  <si>
    <t>E-26-02-07-03</t>
  </si>
  <si>
    <t>E-26-02-07-04</t>
  </si>
  <si>
    <t>E-26-02-08-01</t>
  </si>
  <si>
    <t>Desayuno con gremios profesionales</t>
  </si>
  <si>
    <t>Patrocinio ASPAE</t>
  </si>
  <si>
    <t>Patrocinio Gremio Contable</t>
  </si>
  <si>
    <t>E-26-02-08-03</t>
  </si>
  <si>
    <t>Desayunos con gremios</t>
  </si>
  <si>
    <t>E-26-02-08-04</t>
  </si>
  <si>
    <t>Reunion Asociación de profesionales CC Juridicas</t>
  </si>
  <si>
    <t>E-26-02-09-01</t>
  </si>
  <si>
    <t>Camisetas y gorras  identificadoras becarios UTEC VERDE</t>
  </si>
  <si>
    <t>E-26-02-09-02</t>
  </si>
  <si>
    <t>Chalecos</t>
  </si>
  <si>
    <t>E-26-02-09-03</t>
  </si>
  <si>
    <t>Adquisición de insumos operación vivero</t>
  </si>
  <si>
    <t>E-26-02-09-04</t>
  </si>
  <si>
    <t>Adecuación de instalaciones físicas Utec Verde</t>
  </si>
  <si>
    <t>E-26-02-09-05</t>
  </si>
  <si>
    <t>Recursos publicitarios para posicionamiento Utec Verde (Rollups, brochures)</t>
  </si>
  <si>
    <t>E-26-02-09-06</t>
  </si>
  <si>
    <t>Plan de Manejo de Desechos Sólidos</t>
  </si>
  <si>
    <t>E-26-02-09-07</t>
  </si>
  <si>
    <t>Celebración 15 Aniversario Utec Verde</t>
  </si>
  <si>
    <t>E-26-02-09-08</t>
  </si>
  <si>
    <t>Jornada de Conferencias Ambientales</t>
  </si>
  <si>
    <t>E-26-02-09-09</t>
  </si>
  <si>
    <t>Linea de souvenirs</t>
  </si>
  <si>
    <t>E-26-02-09-10</t>
  </si>
  <si>
    <t>Estructuras de ODS</t>
  </si>
  <si>
    <t>Impresionesadministrativas  $ 5,900.00</t>
  </si>
  <si>
    <t>Otras papeleria y utiles (Toner, Tintas, café, agua, impresos etc)  proveeduría</t>
  </si>
  <si>
    <t xml:space="preserve"> SALARIO  $ 3,550.00 X 13 </t>
  </si>
  <si>
    <t>E-28-03-01-00</t>
  </si>
  <si>
    <t>E-28-05-01-00</t>
  </si>
  <si>
    <t>E-29-01-04-00</t>
  </si>
  <si>
    <t>E-29-02-02-00</t>
  </si>
  <si>
    <t>E-29-02-03-00</t>
  </si>
  <si>
    <t>E-29-02-06-00</t>
  </si>
  <si>
    <t>E-29-02-07-00</t>
  </si>
  <si>
    <t>E-29-02-08-00</t>
  </si>
  <si>
    <t>E-29-02-09-00</t>
  </si>
  <si>
    <t>E-29-03-01-00</t>
  </si>
  <si>
    <t>E-30-01-02-00</t>
  </si>
  <si>
    <t>E-30-01-05-00</t>
  </si>
  <si>
    <t>E-30-01-07-00</t>
  </si>
  <si>
    <t>E-30-01-08-00</t>
  </si>
  <si>
    <t>E-30-02-01-00</t>
  </si>
  <si>
    <t>E-30-02-02-00</t>
  </si>
  <si>
    <t>E-31-01-02-00</t>
  </si>
  <si>
    <t>E-31-01-03-00</t>
  </si>
  <si>
    <t>E-31-01-04-00</t>
  </si>
  <si>
    <t>E-31-01-05-00</t>
  </si>
  <si>
    <t>E-31-01-06-00</t>
  </si>
  <si>
    <t>E-31-01-09-00</t>
  </si>
  <si>
    <t>Herramienta Dropbok $11.99</t>
  </si>
  <si>
    <t>E-32-02-01-00</t>
  </si>
  <si>
    <t>E-32-03-01-00</t>
  </si>
  <si>
    <t>E-32-04-01-00</t>
  </si>
  <si>
    <t>1 Imprsor tinta multifuncional</t>
  </si>
  <si>
    <t>E-32-05-01-00</t>
  </si>
  <si>
    <t>E-32-05-02-00</t>
  </si>
  <si>
    <t>E-32-05-03-00</t>
  </si>
  <si>
    <t>E-32-05-05-00</t>
  </si>
  <si>
    <t>E-32-05-06-00</t>
  </si>
  <si>
    <t>E-32-06-01-00</t>
  </si>
  <si>
    <t>E-32-06-02-00</t>
  </si>
  <si>
    <t>E-32-06-04-00</t>
  </si>
  <si>
    <t>E-32-06-05-00</t>
  </si>
  <si>
    <t>E-32-06-06-00</t>
  </si>
  <si>
    <t>E-32-06-07-00</t>
  </si>
  <si>
    <t>E-32-06-08-00</t>
  </si>
  <si>
    <t>DANIA DARLYN HERNANDEZ MANCIA</t>
  </si>
  <si>
    <t>CUOTA</t>
  </si>
  <si>
    <t>FERNANDO MATEO JUAREZ ANDRADE</t>
  </si>
  <si>
    <t>KARLA XIOMARA NAVAS SALAS</t>
  </si>
  <si>
    <t>LUIS ANTONIO CHICAS CHAVARRIA</t>
  </si>
  <si>
    <t>MADELINE ALEXANDER MAZARIEGO TORRES</t>
  </si>
  <si>
    <t>DIEGO OANTONIO VUELLA ERAZO</t>
  </si>
  <si>
    <t>ANGEL ALEXIS ORIVE BAUTISTA</t>
  </si>
  <si>
    <t>DANIELA STEPHANY HERRIQUEZ CORDOVA</t>
  </si>
  <si>
    <t>LESLIE MARCELA SOLANO AMAYA</t>
  </si>
  <si>
    <t>KEREN ESTEFANY GUADRON FERMAN</t>
  </si>
  <si>
    <t>enero</t>
  </si>
  <si>
    <t>I-05-12-00-00</t>
  </si>
  <si>
    <t>I-05-13-00-00</t>
  </si>
  <si>
    <t>I-05-14-00-00</t>
  </si>
  <si>
    <t>febrero</t>
  </si>
  <si>
    <t>marzo</t>
  </si>
  <si>
    <t>Columna1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</si>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</sst>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404040"/>
      <name val="Garamond"/>
      <family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sz val="11"/>
      <color rgb="FF000000"/>
      <name val="Calibri"/>
      <scheme val="minor"/>
    </font>
    <font>
      <sz val="11"/>
      <color theme="1"/>
      <name val="Calibri"/>
      <charset val="1"/>
    </font>
    <font>
      <sz val="11"/>
      <color rgb="FF002060"/>
      <name val="Calibri"/>
      <scheme val="minor"/>
    </font>
    <font>
      <sz val="11"/>
      <color rgb="FF002060"/>
      <name val="Calibri"/>
    </font>
    <font>
      <sz val="11"/>
      <color rgb="FF000000"/>
      <name val="Arial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name val="Calibri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</cellStyleXfs>
  <cellXfs count="195">
    <xf numFmtId="0" fontId="0" fillId="0" borderId="0" xfId="0"/>
    <xf numFmtId="0" fontId="5" fillId="0" borderId="1" xfId="0" applyFont="1" applyBorder="1"/>
    <xf numFmtId="164" fontId="0" fillId="0" borderId="0" xfId="1" applyFont="1"/>
    <xf numFmtId="0" fontId="5" fillId="2" borderId="2" xfId="0" applyFont="1" applyFill="1" applyBorder="1"/>
    <xf numFmtId="0" fontId="5" fillId="0" borderId="3" xfId="0" applyFont="1" applyBorder="1"/>
    <xf numFmtId="164" fontId="0" fillId="0" borderId="0" xfId="1" applyFont="1" applyBorder="1"/>
    <xf numFmtId="1" fontId="0" fillId="0" borderId="0" xfId="1" applyNumberFormat="1" applyFont="1"/>
    <xf numFmtId="0" fontId="6" fillId="0" borderId="0" xfId="0" applyFont="1"/>
    <xf numFmtId="49" fontId="7" fillId="0" borderId="0" xfId="0" applyNumberFormat="1" applyFont="1"/>
    <xf numFmtId="0" fontId="9" fillId="0" borderId="0" xfId="0" applyFont="1"/>
    <xf numFmtId="164" fontId="0" fillId="0" borderId="0" xfId="0" applyNumberFormat="1"/>
    <xf numFmtId="0" fontId="10" fillId="4" borderId="4" xfId="0" applyFont="1" applyFill="1" applyBorder="1"/>
    <xf numFmtId="0" fontId="10" fillId="3" borderId="4" xfId="0" applyFont="1" applyFill="1" applyBorder="1"/>
    <xf numFmtId="14" fontId="0" fillId="2" borderId="3" xfId="0" applyNumberFormat="1" applyFill="1" applyBorder="1"/>
    <xf numFmtId="0" fontId="0" fillId="2" borderId="3" xfId="0" applyFill="1" applyBorder="1"/>
    <xf numFmtId="164" fontId="0" fillId="2" borderId="3" xfId="1" applyFont="1" applyFill="1" applyBorder="1"/>
    <xf numFmtId="1" fontId="0" fillId="2" borderId="3" xfId="1" applyNumberFormat="1" applyFont="1" applyFill="1" applyBorder="1"/>
    <xf numFmtId="0" fontId="0" fillId="0" borderId="0" xfId="0" applyAlignment="1">
      <alignment wrapText="1"/>
    </xf>
    <xf numFmtId="44" fontId="0" fillId="0" borderId="0" xfId="0" applyNumberFormat="1"/>
    <xf numFmtId="164" fontId="9" fillId="0" borderId="0" xfId="1" applyFont="1"/>
    <xf numFmtId="0" fontId="0" fillId="2" borderId="0" xfId="0" applyFill="1"/>
    <xf numFmtId="14" fontId="0" fillId="0" borderId="0" xfId="0" applyNumberFormat="1"/>
    <xf numFmtId="0" fontId="0" fillId="5" borderId="3" xfId="0" applyFill="1" applyBorder="1"/>
    <xf numFmtId="14" fontId="0" fillId="5" borderId="3" xfId="0" applyNumberFormat="1" applyFill="1" applyBorder="1"/>
    <xf numFmtId="0" fontId="0" fillId="6" borderId="0" xfId="0" applyFill="1"/>
    <xf numFmtId="0" fontId="0" fillId="7" borderId="3" xfId="0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0" xfId="0" applyNumberFormat="1" applyFill="1"/>
    <xf numFmtId="0" fontId="9" fillId="7" borderId="0" xfId="0" applyFont="1" applyFill="1"/>
    <xf numFmtId="164" fontId="6" fillId="0" borderId="0" xfId="1" applyFont="1"/>
    <xf numFmtId="14" fontId="0" fillId="8" borderId="0" xfId="0" applyNumberFormat="1" applyFill="1"/>
    <xf numFmtId="0" fontId="0" fillId="8" borderId="3" xfId="0" applyFill="1" applyBorder="1"/>
    <xf numFmtId="14" fontId="0" fillId="8" borderId="3" xfId="0" applyNumberFormat="1" applyFill="1" applyBorder="1"/>
    <xf numFmtId="0" fontId="9" fillId="8" borderId="0" xfId="0" applyFont="1" applyFill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49" fontId="12" fillId="0" borderId="0" xfId="0" applyNumberFormat="1" applyFont="1"/>
    <xf numFmtId="0" fontId="7" fillId="0" borderId="0" xfId="0" applyFont="1"/>
    <xf numFmtId="14" fontId="6" fillId="2" borderId="3" xfId="0" applyNumberFormat="1" applyFont="1" applyFill="1" applyBorder="1"/>
    <xf numFmtId="0" fontId="6" fillId="2" borderId="3" xfId="0" applyFont="1" applyFill="1" applyBorder="1"/>
    <xf numFmtId="164" fontId="6" fillId="2" borderId="3" xfId="1" applyFont="1" applyFill="1" applyBorder="1"/>
    <xf numFmtId="1" fontId="6" fillId="2" borderId="3" xfId="1" applyNumberFormat="1" applyFont="1" applyFill="1" applyBorder="1"/>
    <xf numFmtId="0" fontId="0" fillId="5" borderId="0" xfId="0" applyFill="1"/>
    <xf numFmtId="0" fontId="9" fillId="5" borderId="0" xfId="0" applyFont="1" applyFill="1"/>
    <xf numFmtId="0" fontId="9" fillId="5" borderId="3" xfId="0" applyFont="1" applyFill="1" applyBorder="1"/>
    <xf numFmtId="14" fontId="9" fillId="5" borderId="3" xfId="0" applyNumberFormat="1" applyFont="1" applyFill="1" applyBorder="1"/>
    <xf numFmtId="164" fontId="9" fillId="5" borderId="0" xfId="1" applyFont="1" applyFill="1" applyBorder="1"/>
    <xf numFmtId="1" fontId="9" fillId="5" borderId="3" xfId="1" applyNumberFormat="1" applyFont="1" applyFill="1" applyBorder="1"/>
    <xf numFmtId="0" fontId="0" fillId="9" borderId="0" xfId="0" applyFill="1" applyAlignment="1">
      <alignment wrapText="1"/>
    </xf>
    <xf numFmtId="0" fontId="0" fillId="9" borderId="0" xfId="0" applyFill="1"/>
    <xf numFmtId="164" fontId="0" fillId="9" borderId="0" xfId="1" applyFont="1" applyFill="1"/>
    <xf numFmtId="1" fontId="0" fillId="9" borderId="0" xfId="1" applyNumberFormat="1" applyFont="1" applyFill="1"/>
    <xf numFmtId="164" fontId="0" fillId="6" borderId="0" xfId="1" applyFont="1" applyFill="1"/>
    <xf numFmtId="14" fontId="0" fillId="2" borderId="0" xfId="0" applyNumberFormat="1" applyFill="1"/>
    <xf numFmtId="164" fontId="0" fillId="2" borderId="0" xfId="1" applyFont="1" applyFill="1" applyBorder="1"/>
    <xf numFmtId="1" fontId="0" fillId="2" borderId="0" xfId="1" applyNumberFormat="1" applyFont="1" applyFill="1" applyBorder="1"/>
    <xf numFmtId="14" fontId="9" fillId="2" borderId="0" xfId="0" applyNumberFormat="1" applyFont="1" applyFill="1"/>
    <xf numFmtId="0" fontId="9" fillId="2" borderId="3" xfId="0" applyFont="1" applyFill="1" applyBorder="1"/>
    <xf numFmtId="164" fontId="9" fillId="2" borderId="0" xfId="1" applyFont="1" applyFill="1" applyBorder="1"/>
    <xf numFmtId="1" fontId="9" fillId="2" borderId="3" xfId="1" applyNumberFormat="1" applyFont="1" applyFill="1" applyBorder="1"/>
    <xf numFmtId="14" fontId="6" fillId="0" borderId="0" xfId="0" applyNumberFormat="1" applyFont="1"/>
    <xf numFmtId="49" fontId="9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5" xfId="0" applyBorder="1"/>
    <xf numFmtId="164" fontId="0" fillId="0" borderId="5" xfId="1" applyFont="1" applyBorder="1"/>
    <xf numFmtId="0" fontId="0" fillId="10" borderId="0" xfId="0" applyFill="1"/>
    <xf numFmtId="164" fontId="0" fillId="10" borderId="0" xfId="1" applyFont="1" applyFill="1"/>
    <xf numFmtId="49" fontId="6" fillId="0" borderId="0" xfId="0" applyNumberFormat="1" applyFont="1"/>
    <xf numFmtId="0" fontId="0" fillId="10" borderId="5" xfId="0" applyFill="1" applyBorder="1"/>
    <xf numFmtId="0" fontId="6" fillId="10" borderId="0" xfId="0" applyFont="1" applyFill="1"/>
    <xf numFmtId="14" fontId="0" fillId="11" borderId="0" xfId="0" applyNumberFormat="1" applyFill="1"/>
    <xf numFmtId="0" fontId="0" fillId="11" borderId="0" xfId="0" applyFill="1"/>
    <xf numFmtId="49" fontId="0" fillId="11" borderId="0" xfId="0" applyNumberFormat="1" applyFill="1" applyAlignment="1">
      <alignment wrapText="1"/>
    </xf>
    <xf numFmtId="164" fontId="0" fillId="11" borderId="0" xfId="1" applyFont="1" applyFill="1"/>
    <xf numFmtId="1" fontId="0" fillId="0" borderId="0" xfId="0" applyNumberFormat="1"/>
    <xf numFmtId="164" fontId="0" fillId="0" borderId="0" xfId="1" applyFont="1" applyAlignment="1">
      <alignment horizontal="left"/>
    </xf>
    <xf numFmtId="164" fontId="0" fillId="0" borderId="5" xfId="1" applyFont="1" applyBorder="1" applyAlignment="1">
      <alignment horizontal="left"/>
    </xf>
    <xf numFmtId="164" fontId="0" fillId="10" borderId="0" xfId="1" applyFont="1" applyFill="1" applyAlignment="1">
      <alignment horizontal="left"/>
    </xf>
    <xf numFmtId="164" fontId="6" fillId="0" borderId="0" xfId="1" applyFont="1" applyAlignment="1">
      <alignment horizontal="left"/>
    </xf>
    <xf numFmtId="0" fontId="5" fillId="0" borderId="0" xfId="0" applyFont="1"/>
    <xf numFmtId="165" fontId="0" fillId="0" borderId="0" xfId="1" applyNumberFormat="1" applyFont="1" applyAlignment="1">
      <alignment horizontal="left"/>
    </xf>
    <xf numFmtId="164" fontId="3" fillId="0" borderId="0" xfId="1" applyFont="1"/>
    <xf numFmtId="14" fontId="3" fillId="5" borderId="3" xfId="0" applyNumberFormat="1" applyFont="1" applyFill="1" applyBorder="1"/>
    <xf numFmtId="0" fontId="3" fillId="5" borderId="3" xfId="0" applyFont="1" applyFill="1" applyBorder="1"/>
    <xf numFmtId="164" fontId="3" fillId="5" borderId="3" xfId="1" applyFont="1" applyFill="1" applyBorder="1"/>
    <xf numFmtId="1" fontId="3" fillId="5" borderId="3" xfId="1" applyNumberFormat="1" applyFont="1" applyFill="1" applyBorder="1"/>
    <xf numFmtId="0" fontId="3" fillId="5" borderId="0" xfId="0" applyFont="1" applyFill="1"/>
    <xf numFmtId="164" fontId="3" fillId="5" borderId="0" xfId="1" applyFont="1" applyFill="1" applyBorder="1"/>
    <xf numFmtId="0" fontId="3" fillId="7" borderId="0" xfId="0" applyFont="1" applyFill="1"/>
    <xf numFmtId="164" fontId="3" fillId="7" borderId="0" xfId="1" applyFont="1" applyFill="1" applyBorder="1"/>
    <xf numFmtId="1" fontId="3" fillId="7" borderId="3" xfId="1" applyNumberFormat="1" applyFont="1" applyFill="1" applyBorder="1"/>
    <xf numFmtId="0" fontId="3" fillId="8" borderId="0" xfId="0" applyFont="1" applyFill="1"/>
    <xf numFmtId="164" fontId="3" fillId="8" borderId="0" xfId="1" applyFont="1" applyFill="1" applyBorder="1"/>
    <xf numFmtId="1" fontId="3" fillId="8" borderId="3" xfId="1" applyNumberFormat="1" applyFont="1" applyFill="1" applyBorder="1"/>
    <xf numFmtId="0" fontId="3" fillId="8" borderId="3" xfId="0" applyFont="1" applyFill="1" applyBorder="1"/>
    <xf numFmtId="14" fontId="3" fillId="2" borderId="3" xfId="0" applyNumberFormat="1" applyFont="1" applyFill="1" applyBorder="1"/>
    <xf numFmtId="0" fontId="3" fillId="2" borderId="3" xfId="0" applyFont="1" applyFill="1" applyBorder="1"/>
    <xf numFmtId="164" fontId="3" fillId="2" borderId="3" xfId="1" applyFont="1" applyFill="1" applyBorder="1"/>
    <xf numFmtId="1" fontId="3" fillId="2" borderId="3" xfId="1" applyNumberFormat="1" applyFont="1" applyFill="1" applyBorder="1"/>
    <xf numFmtId="14" fontId="3" fillId="2" borderId="0" xfId="0" applyNumberFormat="1" applyFont="1" applyFill="1"/>
    <xf numFmtId="0" fontId="3" fillId="2" borderId="0" xfId="0" applyFont="1" applyFill="1"/>
    <xf numFmtId="164" fontId="3" fillId="2" borderId="0" xfId="1" applyFont="1" applyFill="1" applyBorder="1"/>
    <xf numFmtId="1" fontId="3" fillId="2" borderId="0" xfId="1" applyNumberFormat="1" applyFont="1" applyFill="1" applyBorder="1"/>
    <xf numFmtId="0" fontId="14" fillId="0" borderId="0" xfId="0" applyFont="1"/>
    <xf numFmtId="0" fontId="14" fillId="0" borderId="0" xfId="0" applyFont="1" applyAlignment="1">
      <alignment wrapText="1"/>
    </xf>
    <xf numFmtId="0" fontId="14" fillId="12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5" fillId="12" borderId="0" xfId="0" applyFont="1" applyFill="1" applyAlignment="1">
      <alignment wrapText="1"/>
    </xf>
    <xf numFmtId="14" fontId="0" fillId="10" borderId="0" xfId="0" applyNumberFormat="1" applyFill="1"/>
    <xf numFmtId="0" fontId="17" fillId="0" borderId="0" xfId="0" applyFont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top"/>
    </xf>
    <xf numFmtId="1" fontId="0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1" applyFont="1" applyAlignment="1">
      <alignment vertical="center"/>
    </xf>
    <xf numFmtId="164" fontId="3" fillId="0" borderId="0" xfId="1" applyFont="1" applyAlignment="1">
      <alignment vertical="center"/>
    </xf>
    <xf numFmtId="1" fontId="0" fillId="0" borderId="0" xfId="1" applyNumberFormat="1" applyFont="1" applyAlignment="1">
      <alignment horizontal="right"/>
    </xf>
    <xf numFmtId="0" fontId="0" fillId="0" borderId="0" xfId="0" applyAlignment="1">
      <alignment horizontal="left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wrapText="1"/>
    </xf>
    <xf numFmtId="0" fontId="14" fillId="0" borderId="6" xfId="0" applyFont="1" applyBorder="1" applyAlignment="1">
      <alignment wrapText="1"/>
    </xf>
    <xf numFmtId="14" fontId="0" fillId="0" borderId="0" xfId="0" applyNumberFormat="1" applyAlignment="1">
      <alignment vertical="center" wrapText="1"/>
    </xf>
    <xf numFmtId="1" fontId="0" fillId="10" borderId="0" xfId="1" applyNumberFormat="1" applyFont="1" applyFill="1"/>
    <xf numFmtId="0" fontId="15" fillId="10" borderId="0" xfId="0" applyFont="1" applyFill="1" applyAlignment="1">
      <alignment wrapText="1"/>
    </xf>
    <xf numFmtId="14" fontId="0" fillId="10" borderId="0" xfId="0" applyNumberFormat="1" applyFill="1" applyAlignment="1">
      <alignment wrapText="1"/>
    </xf>
    <xf numFmtId="49" fontId="0" fillId="10" borderId="0" xfId="0" applyNumberFormat="1" applyFill="1" applyAlignment="1">
      <alignment wrapText="1"/>
    </xf>
    <xf numFmtId="0" fontId="18" fillId="0" borderId="0" xfId="0" applyFont="1"/>
    <xf numFmtId="0" fontId="19" fillId="0" borderId="0" xfId="0" applyFont="1"/>
    <xf numFmtId="1" fontId="0" fillId="13" borderId="0" xfId="1" applyNumberFormat="1" applyFont="1" applyFill="1"/>
    <xf numFmtId="14" fontId="0" fillId="13" borderId="0" xfId="0" applyNumberFormat="1" applyFill="1"/>
    <xf numFmtId="0" fontId="0" fillId="13" borderId="0" xfId="0" applyFill="1" applyAlignment="1">
      <alignment wrapText="1"/>
    </xf>
    <xf numFmtId="49" fontId="0" fillId="13" borderId="0" xfId="0" applyNumberFormat="1" applyFill="1" applyAlignment="1">
      <alignment wrapText="1"/>
    </xf>
    <xf numFmtId="0" fontId="0" fillId="13" borderId="0" xfId="0" applyFill="1"/>
    <xf numFmtId="164" fontId="0" fillId="13" borderId="0" xfId="1" applyFont="1" applyFill="1"/>
    <xf numFmtId="164" fontId="3" fillId="13" borderId="0" xfId="1" applyFont="1" applyFill="1"/>
    <xf numFmtId="0" fontId="16" fillId="0" borderId="0" xfId="0" applyFont="1"/>
    <xf numFmtId="0" fontId="0" fillId="10" borderId="0" xfId="0" applyFill="1" applyAlignment="1">
      <alignment wrapText="1"/>
    </xf>
    <xf numFmtId="0" fontId="12" fillId="10" borderId="0" xfId="0" applyFont="1" applyFill="1"/>
    <xf numFmtId="164" fontId="0" fillId="0" borderId="0" xfId="1" applyFont="1" applyFill="1"/>
    <xf numFmtId="0" fontId="0" fillId="14" borderId="0" xfId="0" applyFill="1"/>
    <xf numFmtId="0" fontId="20" fillId="12" borderId="7" xfId="0" applyFont="1" applyFill="1" applyBorder="1"/>
    <xf numFmtId="1" fontId="0" fillId="0" borderId="0" xfId="1" applyNumberFormat="1" applyFont="1" applyFill="1"/>
    <xf numFmtId="164" fontId="3" fillId="0" borderId="0" xfId="1" applyFont="1" applyFill="1"/>
    <xf numFmtId="0" fontId="21" fillId="0" borderId="0" xfId="0" applyFont="1"/>
    <xf numFmtId="164" fontId="0" fillId="0" borderId="0" xfId="1" applyFont="1" applyAlignment="1"/>
    <xf numFmtId="0" fontId="22" fillId="0" borderId="0" xfId="0" applyFont="1"/>
    <xf numFmtId="49" fontId="0" fillId="2" borderId="1" xfId="0" applyNumberFormat="1" applyFill="1" applyBorder="1" applyAlignment="1">
      <alignment wrapText="1"/>
    </xf>
    <xf numFmtId="0" fontId="15" fillId="0" borderId="8" xfId="0" applyFont="1" applyBorder="1"/>
    <xf numFmtId="0" fontId="14" fillId="0" borderId="8" xfId="0" applyFont="1" applyBorder="1"/>
    <xf numFmtId="49" fontId="19" fillId="0" borderId="0" xfId="0" applyNumberFormat="1" applyFont="1"/>
    <xf numFmtId="14" fontId="0" fillId="0" borderId="0" xfId="0" applyNumberFormat="1" applyAlignment="1">
      <alignment vertical="top" wrapText="1"/>
    </xf>
    <xf numFmtId="0" fontId="23" fillId="0" borderId="0" xfId="0" applyFont="1"/>
    <xf numFmtId="0" fontId="0" fillId="0" borderId="0" xfId="0" applyAlignment="1">
      <alignment vertical="center" wrapText="1"/>
    </xf>
    <xf numFmtId="0" fontId="25" fillId="15" borderId="0" xfId="0" applyFont="1" applyFill="1"/>
    <xf numFmtId="164" fontId="25" fillId="15" borderId="0" xfId="1" applyFont="1" applyFill="1"/>
    <xf numFmtId="14" fontId="25" fillId="15" borderId="0" xfId="0" applyNumberFormat="1" applyFont="1" applyFill="1"/>
    <xf numFmtId="164" fontId="25" fillId="15" borderId="0" xfId="0" applyNumberFormat="1" applyFont="1" applyFill="1"/>
    <xf numFmtId="164" fontId="25" fillId="15" borderId="0" xfId="1" applyFont="1" applyFill="1" applyAlignment="1">
      <alignment vertical="center"/>
    </xf>
    <xf numFmtId="164" fontId="24" fillId="15" borderId="0" xfId="1" applyFont="1" applyFill="1"/>
    <xf numFmtId="164" fontId="24" fillId="15" borderId="0" xfId="1" applyFont="1" applyFill="1" applyAlignment="1">
      <alignment vertical="center"/>
    </xf>
    <xf numFmtId="0" fontId="25" fillId="15" borderId="0" xfId="1" applyNumberFormat="1" applyFont="1" applyFill="1"/>
    <xf numFmtId="1" fontId="26" fillId="0" borderId="0" xfId="1" applyNumberFormat="1" applyFont="1"/>
    <xf numFmtId="14" fontId="26" fillId="0" borderId="0" xfId="0" applyNumberFormat="1" applyFont="1"/>
    <xf numFmtId="14" fontId="26" fillId="0" borderId="0" xfId="0" applyNumberFormat="1" applyFont="1" applyAlignment="1">
      <alignment wrapText="1"/>
    </xf>
    <xf numFmtId="49" fontId="26" fillId="0" borderId="0" xfId="0" applyNumberFormat="1" applyFont="1" applyAlignment="1">
      <alignment wrapText="1"/>
    </xf>
    <xf numFmtId="0" fontId="26" fillId="0" borderId="0" xfId="0" applyFont="1"/>
    <xf numFmtId="0" fontId="15" fillId="0" borderId="0" xfId="0" applyFont="1"/>
    <xf numFmtId="14" fontId="14" fillId="0" borderId="0" xfId="0" applyNumberFormat="1" applyFont="1"/>
    <xf numFmtId="0" fontId="24" fillId="15" borderId="0" xfId="1" applyNumberFormat="1" applyFont="1" applyFill="1"/>
    <xf numFmtId="164" fontId="2" fillId="0" borderId="0" xfId="0" applyNumberFormat="1" applyFont="1"/>
    <xf numFmtId="0" fontId="25" fillId="15" borderId="0" xfId="0" applyFont="1" applyFill="1" applyAlignment="1">
      <alignment vertical="center"/>
    </xf>
    <xf numFmtId="14" fontId="25" fillId="15" borderId="0" xfId="0" applyNumberFormat="1" applyFont="1" applyFill="1" applyAlignment="1">
      <alignment vertical="center"/>
    </xf>
    <xf numFmtId="0" fontId="25" fillId="15" borderId="0" xfId="1" applyNumberFormat="1" applyFont="1" applyFill="1" applyAlignment="1">
      <alignment vertical="center"/>
    </xf>
    <xf numFmtId="14" fontId="15" fillId="0" borderId="0" xfId="0" applyNumberFormat="1" applyFont="1"/>
    <xf numFmtId="0" fontId="27" fillId="0" borderId="0" xfId="0" applyFont="1"/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" fontId="1" fillId="0" borderId="0" xfId="1" applyNumberFormat="1" applyFont="1"/>
    <xf numFmtId="164" fontId="1" fillId="0" borderId="0" xfId="1" applyFont="1"/>
    <xf numFmtId="164" fontId="1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1" fontId="1" fillId="0" borderId="0" xfId="1" applyNumberFormat="1" applyFont="1" applyAlignment="1">
      <alignment vertical="center"/>
    </xf>
    <xf numFmtId="49" fontId="19" fillId="10" borderId="0" xfId="0" applyNumberFormat="1" applyFont="1" applyFill="1"/>
    <xf numFmtId="0" fontId="28" fillId="0" borderId="0" xfId="0" applyFont="1"/>
    <xf numFmtId="164" fontId="0" fillId="0" borderId="0" xfId="1" applyFont="1" applyBorder="1" applyAlignment="1">
      <alignment horizontal="left"/>
    </xf>
  </cellXfs>
  <cellStyles count="5">
    <cellStyle name="Moneda" xfId="1" builtinId="4"/>
    <cellStyle name="Normal" xfId="0" builtinId="0"/>
    <cellStyle name="Normal 5" xfId="3" xr:uid="{00000000-0005-0000-0000-000002000000}"/>
    <cellStyle name="Normal 6 2" xfId="2" xr:uid="{00000000-0005-0000-0000-000003000000}"/>
    <cellStyle name="Normal 6 2 2" xfId="4" xr:uid="{00000000-0005-0000-0000-000004000000}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/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70C0"/>
        </patternFill>
      </fill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</dxf>
    <dxf>
      <font>
        <color theme="0"/>
      </font>
      <numFmt numFmtId="16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color theme="0"/>
      </font>
      <numFmt numFmtId="0" formatCode="General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color theme="0"/>
      </font>
      <numFmt numFmtId="0" formatCode="General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/m/yyyy"/>
      <fill>
        <patternFill patternType="solid">
          <fgColor indexed="64"/>
          <bgColor rgb="FF0070C0"/>
        </patternFill>
      </fill>
    </dxf>
    <dxf>
      <font>
        <color theme="0"/>
      </font>
      <numFmt numFmtId="166" formatCode="dd/mm/yyyy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/m/yyyy"/>
      <fill>
        <patternFill patternType="solid">
          <fgColor indexed="64"/>
          <bgColor rgb="FF0070C0"/>
        </patternFill>
      </fill>
    </dxf>
    <dxf>
      <font>
        <color theme="0"/>
      </font>
      <numFmt numFmtId="166" formatCode="dd/mm/yyyy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color theme="0"/>
      </font>
      <numFmt numFmtId="0" formatCode="General"/>
      <fill>
        <patternFill patternType="solid">
          <fgColor indexed="64"/>
          <bgColor rgb="FF0070C0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dd/mm/yyyy"/>
      <alignment wrapText="1"/>
    </dxf>
    <dxf>
      <numFmt numFmtId="19" formatCode="d/m/yyyy"/>
    </dxf>
    <dxf>
      <numFmt numFmtId="166" formatCode="dd/mm/yyyy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8339462C-E60C-44FC-AD68-88A0356DA678}">
    <nsvFilter filterId="{00000000-0009-0000-0100-000004000000}" ref="A1:T1688" tableId="4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TALOGO" displayName="CATALOGO" ref="A1:I1041" totalsRowShown="0" headerRowDxfId="218" dataDxfId="217">
  <autoFilter ref="A1:I1041" xr:uid="{00000000-0009-0000-0100-000002000000}"/>
  <tableColumns count="9">
    <tableColumn id="1" xr3:uid="{00000000-0010-0000-0000-000001000000}" name="Código" dataDxfId="216">
      <calculatedColumnFormula>C2&amp;"-"&amp;D2&amp;"-"&amp;E2&amp;"-"&amp;F2&amp;"-"&amp;CATALOGO[[#This Row],[Sub cuenta 3]]</calculatedColumnFormula>
    </tableColumn>
    <tableColumn id="2" xr3:uid="{00000000-0010-0000-0000-000002000000}" name="Descripción" dataDxfId="215"/>
    <tableColumn id="3" xr3:uid="{00000000-0010-0000-0000-000003000000}" name="Clase" dataDxfId="214"/>
    <tableColumn id="4" xr3:uid="{00000000-0010-0000-0000-000004000000}" name="Rubro" dataDxfId="213"/>
    <tableColumn id="5" xr3:uid="{00000000-0010-0000-0000-000005000000}" name="Sub cuenta" dataDxfId="212"/>
    <tableColumn id="6" xr3:uid="{00000000-0010-0000-0000-000006000000}" name="Sub cuenta 2" dataDxfId="211"/>
    <tableColumn id="8" xr3:uid="{00000000-0010-0000-0000-000008000000}" name="Sub cuenta 3" dataDxfId="210"/>
    <tableColumn id="7" xr3:uid="{00000000-0010-0000-0000-000007000000}" name="Acepta movimientos" dataDxfId="209"/>
    <tableColumn id="9" xr3:uid="{E64BAF29-B91D-4A1F-8302-1A268B0A7091}" name="Columna1" dataDxfId="2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JECUTADO" displayName="EJECUTADO" ref="A1:T1689" totalsRowCount="1" totalsRowDxfId="207" totalsRowCellStyle="Moneda">
  <autoFilter ref="A1:T1688" xr:uid="{00000000-0009-0000-0100-000004000000}"/>
  <tableColumns count="20">
    <tableColumn id="9" xr3:uid="{00000000-0010-0000-0200-000009000000}" name="DOCUMENTO" dataDxfId="206" totalsRowDxfId="205" dataCellStyle="Moneda"/>
    <tableColumn id="1" xr3:uid="{00000000-0010-0000-0200-000001000000}" name="FECHA" dataDxfId="204" totalsRowDxfId="203"/>
    <tableColumn id="10" xr3:uid="{00000000-0010-0000-0200-00000A000000}" name="PROVEEDOR" dataDxfId="202" totalsRowDxfId="201"/>
    <tableColumn id="4" xr3:uid="{00000000-0010-0000-0200-000004000000}" name="DESCRIPCIÓN DE APLICACIÓN" dataDxfId="200" totalsRowDxfId="199"/>
    <tableColumn id="12" xr3:uid="{00000000-0010-0000-0200-00000C000000}" name="PARTIDA" dataDxfId="198" totalsRowDxfId="197"/>
    <tableColumn id="2" xr3:uid="{00000000-0010-0000-0200-000002000000}" name="CUENTA"/>
    <tableColumn id="8" xr3:uid="{00000000-0010-0000-0200-000008000000}" name="MES" dataDxfId="196" totalsRowDxfId="195">
      <calculatedColumnFormula>MONTH(EJECUTADO[[#This Row],[FECHA]])</calculatedColumnFormula>
    </tableColumn>
    <tableColumn id="7" xr3:uid="{00000000-0010-0000-0200-000007000000}" name="APLICACIÓN" dataDxfId="194" totalsRowDxfId="193">
      <calculatedColumnFormula>MID(EJECUTADO[[#This Row],[CUENTA]],1,4)</calculatedColumnFormula>
    </tableColumn>
    <tableColumn id="17" xr3:uid="{00000000-0010-0000-0200-000011000000}" name="RUBRO" dataDxfId="192" totalsRowDxfId="191">
      <calculatedColumnFormula>INDEX(CATALOGO[Descripción],MATCH(EJECUTADO[[#This Row],[APLICACIÓN]]&amp;"-00-00-00",CATALOGO[Código],0))</calculatedColumnFormula>
    </tableColumn>
    <tableColumn id="3" xr3:uid="{00000000-0010-0000-0200-000003000000}" name="DESCRIPCION CUENTA" dataDxfId="190" totalsRowDxfId="189">
      <calculatedColumnFormula>IF(INDEX(CATALOGO[Acepta movimientos],MATCH(EJECUTADO[[#This Row],[CUENTA]],CATALOGO[Código],0))="S",INDEX(CATALOGO[Descripción],MATCH(EJECUTADO[[#This Row],[CUENTA]],CATALOGO[Código],0)),"LA CUENTA SELECCIONADA NO PERMITE MOVIMIENTO")</calculatedColumnFormula>
    </tableColumn>
    <tableColumn id="19" xr3:uid="{00000000-0010-0000-0200-000013000000}" name="PRESUPUESTO" dataDxfId="188" totalsRowDxfId="187">
      <calculatedColumnFormula>IF((EJECUTADO[[#This Row],[MONTO DISPONIBLE ]]-EJECUTADO[[#This Row],[MONTO SOLICITADO]])&gt;=0,"PRESUPUESTO: SI","PRESUPUESTO: NO")</calculatedColumnFormula>
    </tableColumn>
    <tableColumn id="18" xr3:uid="{00000000-0010-0000-0200-000012000000}" name="MONTO DISPONIBLE " dataDxfId="186" totalsRowDxfId="185" dataCellStyle="Moneda">
      <calculatedColumnFormula>SUMIF(PRESUPUESTO[CUENTA],EJECUTADO[[#This Row],[CUENTA]],PRESUPUESTO[MONTO])-SUMIF($F$1:F1,EJECUTADO[[#This Row],[CUENTA]],$M$1:M1)</calculatedColumnFormula>
    </tableColumn>
    <tableColumn id="5" xr3:uid="{00000000-0010-0000-0200-000005000000}" name="MONTO SOLICITADO" totalsRowDxfId="184" dataCellStyle="Moneda"/>
    <tableColumn id="13" xr3:uid="{00000000-0010-0000-0200-00000D000000}" name="RETENCION IVA" dataDxfId="183" totalsRowDxfId="182" dataCellStyle="Moneda"/>
    <tableColumn id="14" xr3:uid="{00000000-0010-0000-0200-00000E000000}" name="RETENCION ISR" dataDxfId="181" totalsRowDxfId="180" dataCellStyle="Moneda"/>
    <tableColumn id="15" xr3:uid="{00000000-0010-0000-0200-00000F000000}" name="VALOR DE CHEQUE" dataDxfId="179" totalsRowDxfId="178" dataCellStyle="Moneda">
      <calculatedColumnFormula>+EJECUTADO[[#This Row],[MONTO SOLICITADO]]-EJECUTADO[[#This Row],[RETENCION IVA]]-EJECUTADO[[#This Row],[RETENCION ISR]]</calculatedColumnFormula>
    </tableColumn>
    <tableColumn id="11" xr3:uid="{00000000-0010-0000-0200-00000B000000}" name="USUARIO" dataDxfId="177" totalsRowDxfId="176" dataCellStyle="Moneda"/>
    <tableColumn id="16" xr3:uid="{00000000-0010-0000-0200-000010000000}" name="OBSERVACIÓN" dataDxfId="175" totalsRowDxfId="174" dataCellStyle="Moneda"/>
    <tableColumn id="6" xr3:uid="{00000000-0010-0000-0200-000006000000}" name="CHEQUE"/>
    <tableColumn id="20" xr3:uid="{00000000-0010-0000-0200-000014000000}" name="Descripción presupuestal" dataDxfId="173" totalsRowDxfId="172" dataCellStyle="Moneda">
      <calculatedColumnFormula>_xlfn.CONCAT(I2," - ",J2," Disponible $",L2," Solicitado $",M2," ",K2,)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E" displayName="REPORTE" ref="A13:P47" totalsRowCount="1">
  <autoFilter ref="A13:P46" xr:uid="{00000000-0009-0000-0100-000005000000}"/>
  <sortState xmlns:xlrd2="http://schemas.microsoft.com/office/spreadsheetml/2017/richdata2" ref="A14:P46">
    <sortCondition descending="1" ref="P13:P46"/>
  </sortState>
  <tableColumns count="16">
    <tableColumn id="1" xr3:uid="{00000000-0010-0000-0400-000001000000}" name="CODIGO" dataDxfId="171" totalsRowDxfId="170"/>
    <tableColumn id="2" xr3:uid="{00000000-0010-0000-0400-000002000000}" name="DESCRIPCIÓN" dataDxfId="169" totalsRowDxfId="168"/>
    <tableColumn id="3" xr3:uid="{00000000-0010-0000-0400-000003000000}" name="PRESUPUESTADO" totalsRowFunction="sum" totalsRowDxfId="167" dataCellStyle="Moneda">
      <calculatedColumnFormula>SUMIFS(PRESUPUESTO[MONTO],PRESUPUESTO[APLICACIÓN],REPORTE[[#This Row],[CODIGO]])</calculatedColumnFormula>
    </tableColumn>
    <tableColumn id="4" xr3:uid="{00000000-0010-0000-0400-000004000000}" name="ENERO" totalsRowFunction="sum" totalsRowDxfId="166" dataCellStyle="Moneda">
      <calculatedColumnFormula>SUMIFS(EJECUTADO[MONTO SOLICITADO],EJECUTADO[APLICACIÓN],REPORTE[[#This Row],[CODIGO]],EJECUTADO[MES],1)</calculatedColumnFormula>
    </tableColumn>
    <tableColumn id="5" xr3:uid="{00000000-0010-0000-0400-000005000000}" name="FEBRERO" totalsRowFunction="sum" totalsRowDxfId="165" dataCellStyle="Moneda">
      <calculatedColumnFormula>SUMIFS(EJECUTADO[MONTO SOLICITADO],EJECUTADO[APLICACIÓN],REPORTE[[#This Row],[CODIGO]],EJECUTADO[MES],2)</calculatedColumnFormula>
    </tableColumn>
    <tableColumn id="6" xr3:uid="{00000000-0010-0000-0400-000006000000}" name="MARZO" totalsRowFunction="sum" totalsRowDxfId="164" dataCellStyle="Moneda">
      <calculatedColumnFormula>SUMIFS(EJECUTADO[MONTO SOLICITADO],EJECUTADO[APLICACIÓN],REPORTE[[#This Row],[CODIGO]],EJECUTADO[MES],3)</calculatedColumnFormula>
    </tableColumn>
    <tableColumn id="7" xr3:uid="{00000000-0010-0000-0400-000007000000}" name="ABRIL" totalsRowFunction="sum" dataDxfId="163" totalsRowDxfId="162" dataCellStyle="Moneda">
      <calculatedColumnFormula>SUMIFS(EJECUTADO[MONTO SOLICITADO],EJECUTADO[APLICACIÓN],REPORTE[[#This Row],[CODIGO]],EJECUTADO[MES],4)</calculatedColumnFormula>
    </tableColumn>
    <tableColumn id="8" xr3:uid="{00000000-0010-0000-0400-000008000000}" name="MAYO" totalsRowFunction="sum" dataDxfId="161" totalsRowDxfId="160" dataCellStyle="Moneda">
      <calculatedColumnFormula>SUMIFS(EJECUTADO[MONTO SOLICITADO],EJECUTADO[APLICACIÓN],REPORTE[[#This Row],[CODIGO]],EJECUTADO[MES],5)</calculatedColumnFormula>
    </tableColumn>
    <tableColumn id="9" xr3:uid="{00000000-0010-0000-0400-000009000000}" name="JUNIO" totalsRowFunction="sum" totalsRowDxfId="159" dataCellStyle="Moneda">
      <calculatedColumnFormula>SUMIFS(EJECUTADO[MONTO SOLICITADO],EJECUTADO[APLICACIÓN],REPORTE[[#This Row],[CODIGO]],EJECUTADO[MES],6)</calculatedColumnFormula>
    </tableColumn>
    <tableColumn id="10" xr3:uid="{00000000-0010-0000-0400-00000A000000}" name="JULIO" totalsRowFunction="sum" totalsRowDxfId="158" dataCellStyle="Moneda">
      <calculatedColumnFormula>SUMIFS(EJECUTADO[MONTO SOLICITADO],EJECUTADO[APLICACIÓN],REPORTE[[#This Row],[CODIGO]],EJECUTADO[MES],7)</calculatedColumnFormula>
    </tableColumn>
    <tableColumn id="11" xr3:uid="{00000000-0010-0000-0400-00000B000000}" name="AGOSTO" totalsRowFunction="sum" dataDxfId="157" totalsRowDxfId="156" dataCellStyle="Moneda">
      <calculatedColumnFormula>SUMIFS(EJECUTADO[MONTO SOLICITADO],EJECUTADO[APLICACIÓN],REPORTE[[#This Row],[CODIGO]],EJECUTADO[MES],8)</calculatedColumnFormula>
    </tableColumn>
    <tableColumn id="12" xr3:uid="{00000000-0010-0000-0400-00000C000000}" name="SEPTIEMBRE" totalsRowFunction="sum" dataDxfId="155" totalsRowDxfId="154" dataCellStyle="Moneda">
      <calculatedColumnFormula>SUMIFS(EJECUTADO[MONTO SOLICITADO],EJECUTADO[APLICACIÓN],REPORTE[[#This Row],[CODIGO]],EJECUTADO[MES],9)</calculatedColumnFormula>
    </tableColumn>
    <tableColumn id="13" xr3:uid="{00000000-0010-0000-0400-00000D000000}" name="OCTUBRE" totalsRowFunction="sum" dataDxfId="153" totalsRowDxfId="152" dataCellStyle="Moneda">
      <calculatedColumnFormula>SUMIFS(EJECUTADO[MONTO SOLICITADO],EJECUTADO[APLICACIÓN],REPORTE[[#This Row],[CODIGO]],EJECUTADO[MES],10)</calculatedColumnFormula>
    </tableColumn>
    <tableColumn id="14" xr3:uid="{00000000-0010-0000-0400-00000E000000}" name="NOVIEMBRE" totalsRowFunction="sum" totalsRowDxfId="151" dataCellStyle="Moneda">
      <calculatedColumnFormula>SUMIFS(EJECUTADO[MONTO SOLICITADO],EJECUTADO[APLICACIÓN],REPORTE[[#This Row],[CODIGO]],EJECUTADO[MES],11)</calculatedColumnFormula>
    </tableColumn>
    <tableColumn id="15" xr3:uid="{00000000-0010-0000-0400-00000F000000}" name="DICIEMBRE" totalsRowFunction="sum" dataDxfId="150" totalsRowDxfId="149" dataCellStyle="Moneda">
      <calculatedColumnFormula>SUMIFS(EJECUTADO[MONTO SOLICITADO],EJECUTADO[APLICACIÓN],REPORTE[[#This Row],[CODIGO]],EJECUTADO[MES],12)</calculatedColumnFormula>
    </tableColumn>
    <tableColumn id="16" xr3:uid="{00000000-0010-0000-0400-000010000000}" name="EJECUTADO" totalsRowFunction="sum" totalsRowDxfId="148" dataCellStyle="Moneda">
      <calculatedColumnFormula>SUM(REPORTE[[#This Row],[ENERO]:[DICIEMBRE]])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REPING" displayName="REPING" ref="A1:P10" totalsRowCount="1">
  <autoFilter ref="A1:P9" xr:uid="{00000000-0009-0000-0100-000001000000}"/>
  <tableColumns count="16">
    <tableColumn id="1" xr3:uid="{00000000-0010-0000-0500-000001000000}" name="CODIGO" totalsRowLabel="Total"/>
    <tableColumn id="2" xr3:uid="{00000000-0010-0000-0500-000002000000}" name="DESCRIPCIÓN"/>
    <tableColumn id="3" xr3:uid="{00000000-0010-0000-0500-000003000000}" name="PRESUPUESTADO" totalsRowFunction="sum" dataDxfId="147" totalsRowDxfId="146">
      <calculatedColumnFormula>SUMIFS(PRESUPUESTO[MONTO],PRESUPUESTO[APLICACIÓN],REPING[[#This Row],[CODIGO]])</calculatedColumnFormula>
    </tableColumn>
    <tableColumn id="4" xr3:uid="{00000000-0010-0000-0500-000004000000}" name="ENERO" totalsRowFunction="custom" dataDxfId="145" totalsRowDxfId="144" dataCellStyle="Moneda">
      <calculatedColumnFormula>SUMIFS(EJECUTADO[MONTO SOLICITADO],EJECUTADO[APLICACIÓN],REPORTE[[#This Row],[CODIGO]],EJECUTADO[MES],1)</calculatedColumnFormula>
      <totalsRowFormula>SUBTOTAL(109,D2:D9)</totalsRowFormula>
    </tableColumn>
    <tableColumn id="5" xr3:uid="{00000000-0010-0000-0500-000005000000}" name="FEBRERO" totalsRowFunction="custom" dataDxfId="143" totalsRowDxfId="142" dataCellStyle="Moneda">
      <calculatedColumnFormula>SUMIFS(EJECUTADO[MONTO SOLICITADO],EJECUTADO[APLICACIÓN],REPORTE[[#This Row],[CODIGO]],EJECUTADO[MES],2)</calculatedColumnFormula>
      <totalsRowFormula>SUBTOTAL(109,E2:E9)</totalsRowFormula>
    </tableColumn>
    <tableColumn id="6" xr3:uid="{00000000-0010-0000-0500-000006000000}" name="MARZO" totalsRowFunction="custom" totalsRowDxfId="141" dataCellStyle="Moneda">
      <calculatedColumnFormula>SUMIFS(EJECUTADO[MONTO SOLICITADO],EJECUTADO[APLICACIÓN],REPORTE[[#This Row],[CODIGO]],EJECUTADO[MES],3)</calculatedColumnFormula>
      <totalsRowFormula>SUBTOTAL(109,F2:F9)</totalsRowFormula>
    </tableColumn>
    <tableColumn id="7" xr3:uid="{00000000-0010-0000-0500-000007000000}" name="ABRIL" totalsRowFunction="sum" dataDxfId="140" totalsRowDxfId="139" dataCellStyle="Moneda">
      <calculatedColumnFormula>SUMIFS(EJECUTADO[MONTO SOLICITADO],EJECUTADO[APLICACIÓN],REPORTE[[#This Row],[CODIGO]],EJECUTADO[MES],4)</calculatedColumnFormula>
    </tableColumn>
    <tableColumn id="8" xr3:uid="{00000000-0010-0000-0500-000008000000}" name="MAYO" totalsRowFunction="custom" dataDxfId="138" totalsRowDxfId="137" dataCellStyle="Moneda">
      <calculatedColumnFormula>SUMIFS(EJECUTADO[MONTO SOLICITADO],EJECUTADO[APLICACIÓN],REPORTE[[#This Row],[CODIGO]],EJECUTADO[MES],5)</calculatedColumnFormula>
      <totalsRowFormula>SUBTOTAL(109,H2:H9)</totalsRowFormula>
    </tableColumn>
    <tableColumn id="9" xr3:uid="{00000000-0010-0000-0500-000009000000}" name="JUNIO" totalsRowFunction="custom" dataDxfId="136" totalsRowDxfId="135" dataCellStyle="Moneda">
      <calculatedColumnFormula>SUMIFS(EJECUTADO[MONTO SOLICITADO],EJECUTADO[APLICACIÓN],REPORTE[[#This Row],[CODIGO]],EJECUTADO[MES],6)</calculatedColumnFormula>
      <totalsRowFormula>SUBTOTAL(109,I2:I9)</totalsRowFormula>
    </tableColumn>
    <tableColumn id="10" xr3:uid="{00000000-0010-0000-0500-00000A000000}" name="JULIO" totalsRowFunction="sum" dataDxfId="134" totalsRowDxfId="133" dataCellStyle="Moneda">
      <calculatedColumnFormula>SUMIFS(EJECUTADO[MONTO SOLICITADO],EJECUTADO[APLICACIÓN],REPORTE[[#This Row],[CODIGO]],EJECUTADO[MES],7)</calculatedColumnFormula>
    </tableColumn>
    <tableColumn id="11" xr3:uid="{00000000-0010-0000-0500-00000B000000}" name="AGOSTO" totalsRowFunction="sum" dataDxfId="132" totalsRowDxfId="131" dataCellStyle="Moneda">
      <calculatedColumnFormula>SUMIFS(EJECUTADO[MONTO SOLICITADO],EJECUTADO[APLICACIÓN],REPORTE[[#This Row],[CODIGO]],EJECUTADO[MES],8)</calculatedColumnFormula>
    </tableColumn>
    <tableColumn id="12" xr3:uid="{00000000-0010-0000-0500-00000C000000}" name="SEPTIEMBRE" totalsRowFunction="custom" dataDxfId="130" totalsRowDxfId="129" dataCellStyle="Moneda">
      <calculatedColumnFormula>SUMIFS(EJECUTADO[MONTO SOLICITADO],EJECUTADO[APLICACIÓN],REPORTE[[#This Row],[CODIGO]],EJECUTADO[MES],9)</calculatedColumnFormula>
      <totalsRowFormula>SUBTOTAL(109,L2:L9)</totalsRowFormula>
    </tableColumn>
    <tableColumn id="13" xr3:uid="{00000000-0010-0000-0500-00000D000000}" name="OCTUBRE" totalsRowFunction="custom" dataDxfId="128">
      <calculatedColumnFormula>SUMIFS(EJECUTADO[MONTO SOLICITADO],EJECUTADO[APLICACIÓN],REPORTE[[#This Row],[CODIGO]],EJECUTADO[MES],10)</calculatedColumnFormula>
      <totalsRowFormula>SUBTOTAL(109,M2:M9)</totalsRowFormula>
    </tableColumn>
    <tableColumn id="14" xr3:uid="{00000000-0010-0000-0500-00000E000000}" name="NOVIEMBRE" totalsRowFunction="sum" dataDxfId="127">
      <calculatedColumnFormula>SUMIFS(EJECUTADO[MONTO SOLICITADO],EJECUTADO[APLICACIÓN],REPORTE[[#This Row],[CODIGO]],EJECUTADO[MES],11)</calculatedColumnFormula>
    </tableColumn>
    <tableColumn id="15" xr3:uid="{00000000-0010-0000-0500-00000F000000}" name="DICIEMBRE" totalsRowFunction="custom" dataDxfId="126">
      <calculatedColumnFormula>SUMIFS(EJECUTADO[MONTO SOLICITADO],EJECUTADO[APLICACIÓN],REPORTE[[#This Row],[CODIGO]],EJECUTADO[MES],12)</calculatedColumnFormula>
      <totalsRowFormula>SUBTOTAL(109,O2:O9)</totalsRowFormula>
    </tableColumn>
    <tableColumn id="16" xr3:uid="{00000000-0010-0000-0500-000010000000}" name="EJECUTADO" totalsRowFunction="custom" dataDxfId="125" totalsRowDxfId="124" dataCellStyle="Moneda">
      <calculatedColumnFormula>SUM(REPORTE[[#This Row],[ENERO]:[DICIEMBRE]])</calculatedColumnFormula>
      <totalsRowFormula>SUBTOTAL(109,P2:P9)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ESUPUESTO" displayName="PRESUPUESTO" ref="A1:S782" totalsRowShown="0">
  <autoFilter ref="A1:S782" xr:uid="{00000000-0009-0000-0100-000003000000}">
    <filterColumn colId="0">
      <filters>
        <filter val="I-01-01-01-00"/>
        <filter val="I-01-01-02-00"/>
        <filter val="I-01-02-01-00"/>
        <filter val="I-01-02-02-00"/>
        <filter val="I-01-03-01-00"/>
        <filter val="I-01-03-02-00"/>
        <filter val="I-01-04-01-00"/>
        <filter val="I-02-01-01-00"/>
        <filter val="I-02-01-02-00"/>
        <filter val="I-02-02-01-00"/>
        <filter val="I-02-02-02-00"/>
        <filter val="I-02-03-01-00"/>
        <filter val="I-02-03-02-00"/>
        <filter val="I-02-04-01-00"/>
        <filter val="I-03-01-01-00"/>
        <filter val="I-03-01-02-00"/>
        <filter val="I-03-01-03-00"/>
        <filter val="I-03-01-04-00"/>
        <filter val="I-03-02-01-00"/>
        <filter val="I-03-02-02-00"/>
        <filter val="I-03-02-03-00"/>
        <filter val="I-04-01-01-00"/>
        <filter val="I-04-01-02-00"/>
        <filter val="I-04-01-03-00"/>
        <filter val="I-04-01-04-00"/>
        <filter val="I-04-02-01-00"/>
        <filter val="I-04-02-02-00"/>
        <filter val="I-04-02-03-00"/>
        <filter val="I-04-02-04-00"/>
        <filter val="I-05-01-01-00"/>
        <filter val="I-05-01-02-00"/>
        <filter val="I-05-01-03-00"/>
        <filter val="I-05-01-04-00"/>
        <filter val="I-05-01-05-00"/>
        <filter val="I-05-02-01-00"/>
        <filter val="I-05-02-02-00"/>
        <filter val="I-05-02-03-00"/>
        <filter val="I-05-02-04-00"/>
        <filter val="I-05-02-05-00"/>
        <filter val="I-05-03-01-00"/>
        <filter val="I-05-03-02-00"/>
        <filter val="I-05-03-03-00"/>
        <filter val="I-05-03-04-00"/>
        <filter val="I-05-03-05-00"/>
        <filter val="I-05-04-01-00"/>
        <filter val="I-05-04-02-00"/>
        <filter val="I-05-04-03-00"/>
        <filter val="I-05-04-04-00"/>
        <filter val="I-05-04-05-00"/>
        <filter val="I-05-05-01-00"/>
        <filter val="I-05-05-02-00"/>
        <filter val="I-05-05-03-00"/>
        <filter val="I-05-05-04-00"/>
        <filter val="I-05-05-05-00"/>
        <filter val="I-05-06-01-00"/>
        <filter val="I-05-06-02-00"/>
        <filter val="I-05-06-03-00"/>
        <filter val="I-05-06-04-00"/>
        <filter val="I-05-06-05-00"/>
        <filter val="I-05-07-01-00"/>
        <filter val="I-05-07-02-00"/>
        <filter val="I-05-07-03-00"/>
        <filter val="I-05-07-04-00"/>
        <filter val="I-05-07-05-00"/>
        <filter val="I-05-08-01-00"/>
        <filter val="I-05-08-02-00"/>
        <filter val="I-05-08-03-00"/>
        <filter val="I-05-08-04-00"/>
        <filter val="I-05-08-05-00"/>
        <filter val="I-05-09-01-00"/>
        <filter val="I-05-09-02-00"/>
        <filter val="I-05-09-03-00"/>
        <filter val="I-05-09-04-00"/>
        <filter val="I-05-09-05-00"/>
        <filter val="I-05-10-01-00"/>
        <filter val="I-05-10-02-00"/>
        <filter val="I-05-10-03-00"/>
        <filter val="I-05-10-04-00"/>
        <filter val="I-05-10-05-00"/>
        <filter val="I-05-11-01-00"/>
        <filter val="I-05-11-02-00"/>
        <filter val="I-05-11-03-00"/>
        <filter val="I-05-11-04-00"/>
        <filter val="I-05-11-05-00"/>
        <filter val="I-05-11-06-01"/>
        <filter val="I-05-11-06-02"/>
        <filter val="I-06-01-01-00"/>
        <filter val="I-06-01-02-00"/>
        <filter val="I-06-02-01-00"/>
        <filter val="I-06-02-02-00"/>
        <filter val="I-06-03-01-00"/>
        <filter val="I-06-03-02-00"/>
        <filter val="I-06-04-01-00"/>
        <filter val="I-08-01-01-00"/>
        <filter val="I-08-01-02-00"/>
        <filter val="I-08-01-03-00"/>
        <filter val="I-08-01-04-00"/>
        <filter val="I-08-01-05-00"/>
        <filter val="I-08-01-06-00"/>
        <filter val="I-08-01-07-00"/>
        <filter val="I-08-01-08-00"/>
      </filters>
    </filterColumn>
  </autoFilter>
  <sortState xmlns:xlrd2="http://schemas.microsoft.com/office/spreadsheetml/2017/richdata2" ref="A2:S781">
    <sortCondition ref="C1:C782"/>
  </sortState>
  <tableColumns count="19">
    <tableColumn id="1" xr3:uid="{00000000-0010-0000-0100-000001000000}" name="CUENTA"/>
    <tableColumn id="6" xr3:uid="{00000000-0010-0000-0100-000006000000}" name="APLICACIÓN" dataDxfId="123">
      <calculatedColumnFormula>MID(PRESUPUESTO[[#This Row],[CUENTA]],1,4)</calculatedColumnFormula>
    </tableColumn>
    <tableColumn id="7" xr3:uid="{00000000-0010-0000-0100-000007000000}" name="RUBRO" dataDxfId="122">
      <calculatedColumnFormula>INDEX(CATALOGO[Descripción],MATCH(PRESUPUESTO[[#This Row],[APLICACIÓN]]&amp;"-00-00-00",CATALOGO[Código],0))</calculatedColumnFormula>
    </tableColumn>
    <tableColumn id="2" xr3:uid="{00000000-0010-0000-0100-000002000000}" name="DESCRIPCION CUENTA" dataDxfId="121">
      <calculatedColumnFormula>IF(INDEX(CATALOGO[Acepta movimientos],MATCH(PRESUPUESTO[[#This Row],[CUENTA]],CATALOGO[Código],0))="S",INDEX(CATALOGO[Descripción],MATCH(PRESUPUESTO[[#This Row],[CUENTA]],CATALOGO[Código],0)),"LA CUENTA SELECCIONADA NO PERMITE MOVIMIENTO")</calculatedColumnFormula>
    </tableColumn>
    <tableColumn id="3" xr3:uid="{00000000-0010-0000-0100-000003000000}" name="DESCRIPCIÓN DE APLICACIÓN"/>
    <tableColumn id="4" xr3:uid="{00000000-0010-0000-0100-000004000000}" name="MONTO" dataDxfId="120" dataCellStyle="Moneda"/>
    <tableColumn id="8" xr3:uid="{00000000-0010-0000-0100-000008000000}" name="Enero" dataDxfId="119" dataCellStyle="Moneda"/>
    <tableColumn id="9" xr3:uid="{00000000-0010-0000-0100-000009000000}" name="Febrero" dataDxfId="118" dataCellStyle="Moneda"/>
    <tableColumn id="10" xr3:uid="{00000000-0010-0000-0100-00000A000000}" name="Marzo" dataDxfId="117" dataCellStyle="Moneda"/>
    <tableColumn id="11" xr3:uid="{00000000-0010-0000-0100-00000B000000}" name="Abril" dataDxfId="116" dataCellStyle="Moneda"/>
    <tableColumn id="12" xr3:uid="{00000000-0010-0000-0100-00000C000000}" name="Mayo" dataDxfId="115" dataCellStyle="Moneda"/>
    <tableColumn id="13" xr3:uid="{00000000-0010-0000-0100-00000D000000}" name="Junio" dataDxfId="114" dataCellStyle="Moneda"/>
    <tableColumn id="14" xr3:uid="{00000000-0010-0000-0100-00000E000000}" name="Julio" dataDxfId="113" dataCellStyle="Moneda"/>
    <tableColumn id="15" xr3:uid="{00000000-0010-0000-0100-00000F000000}" name="Agosto" dataDxfId="112" dataCellStyle="Moneda"/>
    <tableColumn id="16" xr3:uid="{00000000-0010-0000-0100-000010000000}" name="Septiembre" dataDxfId="111" dataCellStyle="Moneda"/>
    <tableColumn id="17" xr3:uid="{00000000-0010-0000-0100-000011000000}" name="Octubre" dataDxfId="110" dataCellStyle="Moneda"/>
    <tableColumn id="18" xr3:uid="{00000000-0010-0000-0100-000012000000}" name="Noviembre" dataDxfId="109" dataCellStyle="Moneda"/>
    <tableColumn id="19" xr3:uid="{00000000-0010-0000-0100-000013000000}" name="Diciembre" dataDxfId="108" dataCellStyle="Moneda"/>
    <tableColumn id="5" xr3:uid="{00000000-0010-0000-0100-000005000000}" name="ORI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INGRESOS" displayName="INGRESOS" ref="A1:J844" totalsRowShown="0" headerRowDxfId="107" dataDxfId="105" headerRowBorderDxfId="106" tableBorderDxfId="104" totalsRowBorderDxfId="103">
  <autoFilter ref="A1:J844" xr:uid="{00000000-0009-0000-0100-000006000000}"/>
  <tableColumns count="10">
    <tableColumn id="1" xr3:uid="{00000000-0010-0000-0300-000001000000}" name="FECHA" dataDxfId="102"/>
    <tableColumn id="2" xr3:uid="{00000000-0010-0000-0300-000002000000}" name="CUENTA" dataDxfId="101"/>
    <tableColumn id="3" xr3:uid="{00000000-0010-0000-0300-000003000000}" name="MES" dataDxfId="100"/>
    <tableColumn id="4" xr3:uid="{00000000-0010-0000-0300-000004000000}" name="APLICACIÓN" dataDxfId="99"/>
    <tableColumn id="5" xr3:uid="{00000000-0010-0000-0300-000005000000}" name="DESCRIPCION CUENTA" dataDxfId="98"/>
    <tableColumn id="6" xr3:uid="{00000000-0010-0000-0300-000006000000}" name="DESCRIPCIÓN DE APLICACIÓN" dataDxfId="97"/>
    <tableColumn id="7" xr3:uid="{00000000-0010-0000-0300-000007000000}" name="PROVEEDOR" dataDxfId="96"/>
    <tableColumn id="8" xr3:uid="{00000000-0010-0000-0300-000008000000}" name="MONTO" dataDxfId="95" dataCellStyle="Moneda"/>
    <tableColumn id="9" xr3:uid="{00000000-0010-0000-0300-000009000000}" name="DOCUMENTO" dataDxfId="94" dataCellStyle="Moneda"/>
    <tableColumn id="10" xr3:uid="{00000000-0010-0000-0300-00000A000000}" name="CHEQUE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1041"/>
  <sheetViews>
    <sheetView topLeftCell="A996" zoomScaleNormal="100" workbookViewId="0">
      <selection activeCell="A1009" sqref="A1009"/>
    </sheetView>
  </sheetViews>
  <sheetFormatPr baseColWidth="10" defaultColWidth="11.42578125" defaultRowHeight="15" x14ac:dyDescent="0.25"/>
  <cols>
    <col min="1" max="1" width="17.28515625" customWidth="1"/>
    <col min="2" max="2" width="68.7109375" customWidth="1"/>
    <col min="5" max="5" width="12.85546875" customWidth="1"/>
    <col min="6" max="6" width="14.28515625" customWidth="1"/>
    <col min="7" max="7" width="12.85546875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93" t="s">
        <v>4034</v>
      </c>
    </row>
    <row r="2" spans="1:10" x14ac:dyDescent="0.25">
      <c r="A2" s="35" t="str">
        <f>C2&amp;"-"&amp;D2&amp;"-"&amp;E2&amp;"-"&amp;F2&amp;"-"&amp;CATALOGO[[#This Row],[Sub cuenta 3]]</f>
        <v>I-01-00-00-00</v>
      </c>
      <c r="B2" s="35" t="s">
        <v>8</v>
      </c>
      <c r="C2" s="35" t="s">
        <v>9</v>
      </c>
      <c r="D2" s="36" t="s">
        <v>10</v>
      </c>
      <c r="E2" s="36" t="s">
        <v>11</v>
      </c>
      <c r="F2" s="36" t="s">
        <v>11</v>
      </c>
      <c r="G2" s="36" t="s">
        <v>11</v>
      </c>
      <c r="H2" s="36" t="s">
        <v>12</v>
      </c>
      <c r="I2" s="157">
        <v>407</v>
      </c>
      <c r="J2" t="s">
        <v>4035</v>
      </c>
    </row>
    <row r="3" spans="1:10" x14ac:dyDescent="0.25">
      <c r="A3" s="37" t="str">
        <f>C3&amp;"-"&amp;D3&amp;"-"&amp;E3&amp;"-"&amp;F3&amp;"-"&amp;CATALOGO[[#This Row],[Sub cuenta 3]]</f>
        <v>I-01-01-00-00</v>
      </c>
      <c r="B3" s="37" t="s">
        <v>13</v>
      </c>
      <c r="C3" s="37" t="s">
        <v>9</v>
      </c>
      <c r="D3" s="38" t="s">
        <v>10</v>
      </c>
      <c r="E3" s="38" t="s">
        <v>10</v>
      </c>
      <c r="F3" s="38" t="s">
        <v>11</v>
      </c>
      <c r="G3" s="38" t="s">
        <v>11</v>
      </c>
      <c r="H3" s="38" t="s">
        <v>12</v>
      </c>
      <c r="I3" s="38">
        <v>407</v>
      </c>
      <c r="J3" t="s">
        <v>4035</v>
      </c>
    </row>
    <row r="4" spans="1:10" x14ac:dyDescent="0.25">
      <c r="A4" s="37" t="str">
        <f>C4&amp;"-"&amp;D4&amp;"-"&amp;E4&amp;"-"&amp;F4&amp;"-"&amp;CATALOGO[[#This Row],[Sub cuenta 3]]</f>
        <v>I-01-01-01-00</v>
      </c>
      <c r="B4" s="37" t="s">
        <v>14</v>
      </c>
      <c r="C4" s="37" t="s">
        <v>9</v>
      </c>
      <c r="D4" s="38" t="s">
        <v>10</v>
      </c>
      <c r="E4" s="38" t="s">
        <v>10</v>
      </c>
      <c r="F4" s="38" t="s">
        <v>10</v>
      </c>
      <c r="G4" s="36" t="s">
        <v>11</v>
      </c>
      <c r="H4" s="38" t="s">
        <v>15</v>
      </c>
      <c r="I4" s="38">
        <v>407</v>
      </c>
      <c r="J4" t="s">
        <v>4035</v>
      </c>
    </row>
    <row r="5" spans="1:10" x14ac:dyDescent="0.25">
      <c r="A5" s="37" t="str">
        <f>C5&amp;"-"&amp;D5&amp;"-"&amp;E5&amp;"-"&amp;F5&amp;"-"&amp;CATALOGO[[#This Row],[Sub cuenta 3]]</f>
        <v>I-01-01-02-00</v>
      </c>
      <c r="B5" s="37" t="s">
        <v>16</v>
      </c>
      <c r="C5" s="37" t="s">
        <v>9</v>
      </c>
      <c r="D5" s="38" t="s">
        <v>10</v>
      </c>
      <c r="E5" s="38" t="s">
        <v>10</v>
      </c>
      <c r="F5" s="38" t="s">
        <v>17</v>
      </c>
      <c r="G5" s="38" t="s">
        <v>11</v>
      </c>
      <c r="H5" s="38" t="s">
        <v>15</v>
      </c>
      <c r="I5" s="38">
        <v>407</v>
      </c>
      <c r="J5" t="s">
        <v>4035</v>
      </c>
    </row>
    <row r="6" spans="1:10" x14ac:dyDescent="0.25">
      <c r="A6" s="37" t="str">
        <f>C6&amp;"-"&amp;D6&amp;"-"&amp;E6&amp;"-"&amp;F6&amp;"-"&amp;CATALOGO[[#This Row],[Sub cuenta 3]]</f>
        <v>I-01-02-00-00</v>
      </c>
      <c r="B6" s="37" t="s">
        <v>18</v>
      </c>
      <c r="C6" s="37" t="s">
        <v>9</v>
      </c>
      <c r="D6" s="38" t="s">
        <v>10</v>
      </c>
      <c r="E6" s="38" t="s">
        <v>17</v>
      </c>
      <c r="F6" s="38" t="s">
        <v>11</v>
      </c>
      <c r="G6" s="36" t="s">
        <v>11</v>
      </c>
      <c r="H6" s="38" t="s">
        <v>12</v>
      </c>
      <c r="I6" s="157">
        <v>407</v>
      </c>
      <c r="J6" t="s">
        <v>4035</v>
      </c>
    </row>
    <row r="7" spans="1:10" x14ac:dyDescent="0.25">
      <c r="A7" s="37" t="str">
        <f>C7&amp;"-"&amp;D7&amp;"-"&amp;E7&amp;"-"&amp;F7&amp;"-"&amp;CATALOGO[[#This Row],[Sub cuenta 3]]</f>
        <v>I-01-02-01-00</v>
      </c>
      <c r="B7" s="37" t="s">
        <v>19</v>
      </c>
      <c r="C7" s="37" t="s">
        <v>9</v>
      </c>
      <c r="D7" s="38" t="s">
        <v>10</v>
      </c>
      <c r="E7" s="38" t="s">
        <v>17</v>
      </c>
      <c r="F7" s="38" t="s">
        <v>10</v>
      </c>
      <c r="G7" s="38" t="s">
        <v>11</v>
      </c>
      <c r="H7" s="38" t="s">
        <v>15</v>
      </c>
      <c r="I7" s="157">
        <v>407</v>
      </c>
      <c r="J7" t="s">
        <v>4035</v>
      </c>
    </row>
    <row r="8" spans="1:10" x14ac:dyDescent="0.25">
      <c r="A8" s="37" t="str">
        <f>C8&amp;"-"&amp;D8&amp;"-"&amp;E8&amp;"-"&amp;F8&amp;"-"&amp;CATALOGO[[#This Row],[Sub cuenta 3]]</f>
        <v>I-01-02-02-00</v>
      </c>
      <c r="B8" s="37" t="s">
        <v>20</v>
      </c>
      <c r="C8" s="37" t="s">
        <v>9</v>
      </c>
      <c r="D8" s="38" t="s">
        <v>10</v>
      </c>
      <c r="E8" s="38" t="s">
        <v>17</v>
      </c>
      <c r="F8" s="38" t="s">
        <v>17</v>
      </c>
      <c r="G8" s="36" t="s">
        <v>11</v>
      </c>
      <c r="H8" s="38" t="s">
        <v>15</v>
      </c>
      <c r="I8" s="157">
        <v>407</v>
      </c>
      <c r="J8" t="s">
        <v>4035</v>
      </c>
    </row>
    <row r="9" spans="1:10" x14ac:dyDescent="0.25">
      <c r="A9" s="37" t="str">
        <f>C9&amp;"-"&amp;D9&amp;"-"&amp;E9&amp;"-"&amp;F9&amp;"-"&amp;CATALOGO[[#This Row],[Sub cuenta 3]]</f>
        <v>I-01-03-00-00</v>
      </c>
      <c r="B9" s="37" t="s">
        <v>21</v>
      </c>
      <c r="C9" s="37" t="s">
        <v>9</v>
      </c>
      <c r="D9" s="38" t="s">
        <v>10</v>
      </c>
      <c r="E9" s="38" t="s">
        <v>22</v>
      </c>
      <c r="F9" s="38" t="s">
        <v>11</v>
      </c>
      <c r="G9" s="38" t="s">
        <v>11</v>
      </c>
      <c r="H9" s="38" t="s">
        <v>12</v>
      </c>
      <c r="I9" s="157">
        <v>407</v>
      </c>
      <c r="J9" t="s">
        <v>4035</v>
      </c>
    </row>
    <row r="10" spans="1:10" x14ac:dyDescent="0.25">
      <c r="A10" s="37" t="str">
        <f>C10&amp;"-"&amp;D10&amp;"-"&amp;E10&amp;"-"&amp;F10&amp;"-"&amp;CATALOGO[[#This Row],[Sub cuenta 3]]</f>
        <v>I-01-03-01-00</v>
      </c>
      <c r="B10" s="37" t="s">
        <v>23</v>
      </c>
      <c r="C10" s="37" t="s">
        <v>9</v>
      </c>
      <c r="D10" s="38" t="s">
        <v>10</v>
      </c>
      <c r="E10" s="38" t="s">
        <v>22</v>
      </c>
      <c r="F10" s="38" t="s">
        <v>10</v>
      </c>
      <c r="G10" s="36" t="s">
        <v>11</v>
      </c>
      <c r="H10" s="38" t="s">
        <v>15</v>
      </c>
      <c r="I10" s="157">
        <v>407</v>
      </c>
      <c r="J10" t="s">
        <v>4035</v>
      </c>
    </row>
    <row r="11" spans="1:10" x14ac:dyDescent="0.25">
      <c r="A11" s="37" t="str">
        <f>C11&amp;"-"&amp;D11&amp;"-"&amp;E11&amp;"-"&amp;F11&amp;"-"&amp;CATALOGO[[#This Row],[Sub cuenta 3]]</f>
        <v>I-01-03-02-00</v>
      </c>
      <c r="B11" s="37" t="s">
        <v>24</v>
      </c>
      <c r="C11" s="37" t="s">
        <v>9</v>
      </c>
      <c r="D11" s="38" t="s">
        <v>10</v>
      </c>
      <c r="E11" s="38" t="s">
        <v>22</v>
      </c>
      <c r="F11" s="38" t="s">
        <v>17</v>
      </c>
      <c r="G11" s="38" t="s">
        <v>11</v>
      </c>
      <c r="H11" s="38" t="s">
        <v>15</v>
      </c>
      <c r="I11" s="157">
        <v>407</v>
      </c>
      <c r="J11" t="s">
        <v>4035</v>
      </c>
    </row>
    <row r="12" spans="1:10" x14ac:dyDescent="0.25">
      <c r="A12" s="37" t="str">
        <f>C12&amp;"-"&amp;D12&amp;"-"&amp;E12&amp;"-"&amp;F12&amp;"-"&amp;CATALOGO[[#This Row],[Sub cuenta 3]]</f>
        <v>I-01-04-00-00</v>
      </c>
      <c r="B12" s="37" t="s">
        <v>25</v>
      </c>
      <c r="C12" s="37" t="s">
        <v>9</v>
      </c>
      <c r="D12" s="38" t="s">
        <v>10</v>
      </c>
      <c r="E12" s="38" t="s">
        <v>26</v>
      </c>
      <c r="F12" s="38" t="s">
        <v>11</v>
      </c>
      <c r="G12" s="36" t="s">
        <v>11</v>
      </c>
      <c r="H12" s="38" t="s">
        <v>12</v>
      </c>
      <c r="I12" s="157">
        <v>407</v>
      </c>
      <c r="J12" t="s">
        <v>4035</v>
      </c>
    </row>
    <row r="13" spans="1:10" x14ac:dyDescent="0.25">
      <c r="A13" s="37" t="str">
        <f>C13&amp;"-"&amp;D13&amp;"-"&amp;E13&amp;"-"&amp;F13&amp;"-"&amp;CATALOGO[[#This Row],[Sub cuenta 3]]</f>
        <v>I-01-04-01-00</v>
      </c>
      <c r="B13" s="37" t="s">
        <v>27</v>
      </c>
      <c r="C13" s="37" t="s">
        <v>9</v>
      </c>
      <c r="D13" s="38" t="s">
        <v>10</v>
      </c>
      <c r="E13" s="38" t="s">
        <v>26</v>
      </c>
      <c r="F13" s="38" t="s">
        <v>10</v>
      </c>
      <c r="G13" s="38" t="s">
        <v>11</v>
      </c>
      <c r="H13" s="38" t="s">
        <v>15</v>
      </c>
      <c r="I13" s="157">
        <v>407</v>
      </c>
      <c r="J13" t="s">
        <v>4035</v>
      </c>
    </row>
    <row r="14" spans="1:10" x14ac:dyDescent="0.25">
      <c r="A14" s="35" t="str">
        <f>C14&amp;"-"&amp;D14&amp;"-"&amp;E14&amp;"-"&amp;F14&amp;"-"&amp;CATALOGO[[#This Row],[Sub cuenta 3]]</f>
        <v>I-02-00-00-00</v>
      </c>
      <c r="B14" s="35" t="s">
        <v>28</v>
      </c>
      <c r="C14" s="35" t="s">
        <v>9</v>
      </c>
      <c r="D14" s="36" t="s">
        <v>17</v>
      </c>
      <c r="E14" s="36" t="s">
        <v>11</v>
      </c>
      <c r="F14" s="36" t="s">
        <v>11</v>
      </c>
      <c r="G14" s="38" t="s">
        <v>11</v>
      </c>
      <c r="H14" s="36" t="s">
        <v>12</v>
      </c>
      <c r="I14" s="157">
        <v>407</v>
      </c>
      <c r="J14" t="s">
        <v>4035</v>
      </c>
    </row>
    <row r="15" spans="1:10" x14ac:dyDescent="0.25">
      <c r="A15" s="37" t="str">
        <f>C15&amp;"-"&amp;D15&amp;"-"&amp;E15&amp;"-"&amp;F15&amp;"-"&amp;CATALOGO[[#This Row],[Sub cuenta 3]]</f>
        <v>I-02-01-00-00</v>
      </c>
      <c r="B15" s="37" t="s">
        <v>29</v>
      </c>
      <c r="C15" s="37" t="s">
        <v>9</v>
      </c>
      <c r="D15" s="38" t="s">
        <v>17</v>
      </c>
      <c r="E15" s="38" t="s">
        <v>10</v>
      </c>
      <c r="F15" s="38" t="s">
        <v>11</v>
      </c>
      <c r="G15" s="36" t="s">
        <v>11</v>
      </c>
      <c r="H15" s="38" t="s">
        <v>15</v>
      </c>
      <c r="I15" s="157">
        <v>407</v>
      </c>
      <c r="J15" t="s">
        <v>4035</v>
      </c>
    </row>
    <row r="16" spans="1:10" x14ac:dyDescent="0.25">
      <c r="A16" s="37" t="str">
        <f>C16&amp;"-"&amp;D16&amp;"-"&amp;E16&amp;"-"&amp;F16&amp;"-"&amp;CATALOGO[[#This Row],[Sub cuenta 3]]</f>
        <v>I-02-01-01-00</v>
      </c>
      <c r="B16" s="37" t="s">
        <v>30</v>
      </c>
      <c r="C16" s="37" t="s">
        <v>9</v>
      </c>
      <c r="D16" s="38" t="s">
        <v>17</v>
      </c>
      <c r="E16" s="38" t="s">
        <v>10</v>
      </c>
      <c r="F16" s="38" t="s">
        <v>10</v>
      </c>
      <c r="G16" s="38" t="s">
        <v>11</v>
      </c>
      <c r="H16" s="38" t="s">
        <v>15</v>
      </c>
      <c r="I16" s="157">
        <v>407</v>
      </c>
      <c r="J16" t="s">
        <v>4035</v>
      </c>
    </row>
    <row r="17" spans="1:10" x14ac:dyDescent="0.25">
      <c r="A17" s="37" t="str">
        <f>C17&amp;"-"&amp;D17&amp;"-"&amp;E17&amp;"-"&amp;F17&amp;"-"&amp;CATALOGO[[#This Row],[Sub cuenta 3]]</f>
        <v>I-02-01-02-00</v>
      </c>
      <c r="B17" s="37" t="s">
        <v>31</v>
      </c>
      <c r="C17" s="37" t="s">
        <v>9</v>
      </c>
      <c r="D17" s="38" t="s">
        <v>17</v>
      </c>
      <c r="E17" s="38" t="s">
        <v>10</v>
      </c>
      <c r="F17" s="38" t="s">
        <v>17</v>
      </c>
      <c r="G17" s="36" t="s">
        <v>11</v>
      </c>
      <c r="H17" s="38" t="s">
        <v>15</v>
      </c>
      <c r="I17" s="157">
        <v>407</v>
      </c>
      <c r="J17" t="s">
        <v>4035</v>
      </c>
    </row>
    <row r="18" spans="1:10" x14ac:dyDescent="0.25">
      <c r="A18" s="37" t="str">
        <f>C18&amp;"-"&amp;D18&amp;"-"&amp;E18&amp;"-"&amp;F18&amp;"-"&amp;CATALOGO[[#This Row],[Sub cuenta 3]]</f>
        <v>I-02-02-00-00</v>
      </c>
      <c r="B18" s="37" t="s">
        <v>32</v>
      </c>
      <c r="C18" s="37" t="s">
        <v>9</v>
      </c>
      <c r="D18" s="38" t="s">
        <v>17</v>
      </c>
      <c r="E18" s="38" t="s">
        <v>17</v>
      </c>
      <c r="F18" s="38" t="s">
        <v>11</v>
      </c>
      <c r="G18" s="38" t="s">
        <v>11</v>
      </c>
      <c r="H18" s="38" t="s">
        <v>12</v>
      </c>
      <c r="I18" s="157">
        <v>407</v>
      </c>
      <c r="J18" t="s">
        <v>4035</v>
      </c>
    </row>
    <row r="19" spans="1:10" x14ac:dyDescent="0.25">
      <c r="A19" s="37" t="str">
        <f>C19&amp;"-"&amp;D19&amp;"-"&amp;E19&amp;"-"&amp;F19&amp;"-"&amp;CATALOGO[[#This Row],[Sub cuenta 3]]</f>
        <v>I-02-02-01-00</v>
      </c>
      <c r="B19" s="37" t="s">
        <v>33</v>
      </c>
      <c r="C19" s="37" t="s">
        <v>9</v>
      </c>
      <c r="D19" s="38" t="s">
        <v>17</v>
      </c>
      <c r="E19" s="38" t="s">
        <v>17</v>
      </c>
      <c r="F19" s="38" t="s">
        <v>10</v>
      </c>
      <c r="G19" s="36" t="s">
        <v>11</v>
      </c>
      <c r="H19" s="38" t="s">
        <v>15</v>
      </c>
      <c r="I19" s="157">
        <v>407</v>
      </c>
      <c r="J19" t="s">
        <v>4035</v>
      </c>
    </row>
    <row r="20" spans="1:10" x14ac:dyDescent="0.25">
      <c r="A20" s="37" t="str">
        <f>C20&amp;"-"&amp;D20&amp;"-"&amp;E20&amp;"-"&amp;F20&amp;"-"&amp;CATALOGO[[#This Row],[Sub cuenta 3]]</f>
        <v>I-02-02-02-00</v>
      </c>
      <c r="B20" s="37" t="s">
        <v>34</v>
      </c>
      <c r="C20" s="37" t="s">
        <v>9</v>
      </c>
      <c r="D20" s="38" t="s">
        <v>17</v>
      </c>
      <c r="E20" s="38" t="s">
        <v>17</v>
      </c>
      <c r="F20" s="38" t="s">
        <v>17</v>
      </c>
      <c r="G20" s="38" t="s">
        <v>11</v>
      </c>
      <c r="H20" s="38" t="s">
        <v>15</v>
      </c>
      <c r="I20" s="157">
        <v>407</v>
      </c>
      <c r="J20" t="s">
        <v>4035</v>
      </c>
    </row>
    <row r="21" spans="1:10" x14ac:dyDescent="0.25">
      <c r="A21" s="37" t="str">
        <f>C21&amp;"-"&amp;D21&amp;"-"&amp;E21&amp;"-"&amp;F21&amp;"-"&amp;CATALOGO[[#This Row],[Sub cuenta 3]]</f>
        <v>I-02-03-00-00</v>
      </c>
      <c r="B21" s="37" t="s">
        <v>35</v>
      </c>
      <c r="C21" s="37" t="s">
        <v>9</v>
      </c>
      <c r="D21" s="38" t="s">
        <v>17</v>
      </c>
      <c r="E21" s="38" t="s">
        <v>22</v>
      </c>
      <c r="F21" s="38" t="s">
        <v>11</v>
      </c>
      <c r="G21" s="36" t="s">
        <v>11</v>
      </c>
      <c r="H21" s="38" t="s">
        <v>12</v>
      </c>
      <c r="I21" s="157">
        <v>407</v>
      </c>
      <c r="J21" t="s">
        <v>4035</v>
      </c>
    </row>
    <row r="22" spans="1:10" x14ac:dyDescent="0.25">
      <c r="A22" s="37" t="str">
        <f>C22&amp;"-"&amp;D22&amp;"-"&amp;E22&amp;"-"&amp;F22&amp;"-"&amp;CATALOGO[[#This Row],[Sub cuenta 3]]</f>
        <v>I-02-03-01-00</v>
      </c>
      <c r="B22" s="37" t="s">
        <v>36</v>
      </c>
      <c r="C22" s="37" t="s">
        <v>9</v>
      </c>
      <c r="D22" s="38" t="s">
        <v>17</v>
      </c>
      <c r="E22" s="38" t="s">
        <v>22</v>
      </c>
      <c r="F22" s="38" t="s">
        <v>10</v>
      </c>
      <c r="G22" s="38" t="s">
        <v>11</v>
      </c>
      <c r="H22" s="38" t="s">
        <v>15</v>
      </c>
      <c r="I22" s="157">
        <v>407</v>
      </c>
      <c r="J22" t="s">
        <v>4035</v>
      </c>
    </row>
    <row r="23" spans="1:10" x14ac:dyDescent="0.25">
      <c r="A23" s="37" t="str">
        <f>C23&amp;"-"&amp;D23&amp;"-"&amp;E23&amp;"-"&amp;F23&amp;"-"&amp;CATALOGO[[#This Row],[Sub cuenta 3]]</f>
        <v>I-02-03-02-00</v>
      </c>
      <c r="B23" s="37" t="s">
        <v>37</v>
      </c>
      <c r="C23" s="37" t="s">
        <v>9</v>
      </c>
      <c r="D23" s="38" t="s">
        <v>17</v>
      </c>
      <c r="E23" s="38" t="s">
        <v>22</v>
      </c>
      <c r="F23" s="38" t="s">
        <v>17</v>
      </c>
      <c r="G23" s="36" t="s">
        <v>11</v>
      </c>
      <c r="H23" s="38" t="s">
        <v>15</v>
      </c>
      <c r="I23" s="157">
        <v>407</v>
      </c>
      <c r="J23" t="s">
        <v>4035</v>
      </c>
    </row>
    <row r="24" spans="1:10" x14ac:dyDescent="0.25">
      <c r="A24" s="37" t="str">
        <f>C24&amp;"-"&amp;D24&amp;"-"&amp;E24&amp;"-"&amp;F24&amp;"-"&amp;CATALOGO[[#This Row],[Sub cuenta 3]]</f>
        <v>I-02-04-00-00</v>
      </c>
      <c r="B24" s="37" t="s">
        <v>38</v>
      </c>
      <c r="C24" s="37" t="s">
        <v>9</v>
      </c>
      <c r="D24" s="38" t="s">
        <v>17</v>
      </c>
      <c r="E24" s="38" t="s">
        <v>26</v>
      </c>
      <c r="F24" s="38" t="s">
        <v>11</v>
      </c>
      <c r="G24" s="38" t="s">
        <v>11</v>
      </c>
      <c r="H24" s="38" t="s">
        <v>12</v>
      </c>
      <c r="I24" s="157">
        <v>407</v>
      </c>
      <c r="J24" t="s">
        <v>4035</v>
      </c>
    </row>
    <row r="25" spans="1:10" x14ac:dyDescent="0.25">
      <c r="A25" s="37" t="str">
        <f>C25&amp;"-"&amp;D25&amp;"-"&amp;E25&amp;"-"&amp;F25&amp;"-"&amp;CATALOGO[[#This Row],[Sub cuenta 3]]</f>
        <v>I-02-04-01-00</v>
      </c>
      <c r="B25" s="37" t="s">
        <v>39</v>
      </c>
      <c r="C25" s="37" t="s">
        <v>9</v>
      </c>
      <c r="D25" s="38" t="s">
        <v>17</v>
      </c>
      <c r="E25" s="38" t="s">
        <v>26</v>
      </c>
      <c r="F25" s="38" t="s">
        <v>10</v>
      </c>
      <c r="G25" s="36" t="s">
        <v>11</v>
      </c>
      <c r="H25" s="38" t="s">
        <v>15</v>
      </c>
      <c r="I25" s="157">
        <v>407</v>
      </c>
      <c r="J25" t="s">
        <v>4035</v>
      </c>
    </row>
    <row r="26" spans="1:10" x14ac:dyDescent="0.25">
      <c r="A26" s="35" t="str">
        <f>C26&amp;"-"&amp;D26&amp;"-"&amp;E26&amp;"-"&amp;F26&amp;"-"&amp;CATALOGO[[#This Row],[Sub cuenta 3]]</f>
        <v>I-03-00-00-00</v>
      </c>
      <c r="B26" s="35" t="s">
        <v>40</v>
      </c>
      <c r="C26" s="35" t="s">
        <v>9</v>
      </c>
      <c r="D26" s="36" t="s">
        <v>22</v>
      </c>
      <c r="E26" s="36" t="s">
        <v>11</v>
      </c>
      <c r="F26" s="36" t="s">
        <v>11</v>
      </c>
      <c r="G26" s="36" t="s">
        <v>11</v>
      </c>
      <c r="H26" s="36" t="s">
        <v>12</v>
      </c>
      <c r="I26" s="157">
        <v>407</v>
      </c>
      <c r="J26" t="s">
        <v>4035</v>
      </c>
    </row>
    <row r="27" spans="1:10" x14ac:dyDescent="0.25">
      <c r="A27" s="37" t="str">
        <f>C27&amp;"-"&amp;D27&amp;"-"&amp;E27&amp;"-"&amp;F27&amp;"-"&amp;CATALOGO[[#This Row],[Sub cuenta 3]]</f>
        <v>I-03-01-00-00</v>
      </c>
      <c r="B27" s="37" t="s">
        <v>41</v>
      </c>
      <c r="C27" s="37" t="s">
        <v>9</v>
      </c>
      <c r="D27" s="38" t="s">
        <v>22</v>
      </c>
      <c r="E27" s="38" t="s">
        <v>10</v>
      </c>
      <c r="F27" s="38" t="s">
        <v>11</v>
      </c>
      <c r="G27" s="38" t="s">
        <v>11</v>
      </c>
      <c r="H27" s="38" t="s">
        <v>12</v>
      </c>
      <c r="I27" s="157">
        <v>407</v>
      </c>
      <c r="J27" t="s">
        <v>4035</v>
      </c>
    </row>
    <row r="28" spans="1:10" x14ac:dyDescent="0.25">
      <c r="A28" s="37" t="str">
        <f>C28&amp;"-"&amp;D28&amp;"-"&amp;E28&amp;"-"&amp;F28&amp;"-"&amp;CATALOGO[[#This Row],[Sub cuenta 3]]</f>
        <v>I-03-01-01-00</v>
      </c>
      <c r="B28" s="37" t="s">
        <v>42</v>
      </c>
      <c r="C28" s="37" t="s">
        <v>9</v>
      </c>
      <c r="D28" s="38" t="s">
        <v>22</v>
      </c>
      <c r="E28" s="38" t="s">
        <v>10</v>
      </c>
      <c r="F28" s="38" t="s">
        <v>10</v>
      </c>
      <c r="G28" s="36" t="s">
        <v>11</v>
      </c>
      <c r="H28" s="38" t="s">
        <v>15</v>
      </c>
      <c r="I28" s="157">
        <v>407</v>
      </c>
      <c r="J28" t="s">
        <v>4035</v>
      </c>
    </row>
    <row r="29" spans="1:10" x14ac:dyDescent="0.25">
      <c r="A29" s="37" t="str">
        <f>C29&amp;"-"&amp;D29&amp;"-"&amp;E29&amp;"-"&amp;F29&amp;"-"&amp;CATALOGO[[#This Row],[Sub cuenta 3]]</f>
        <v>I-03-01-02-00</v>
      </c>
      <c r="B29" s="37" t="s">
        <v>43</v>
      </c>
      <c r="C29" s="37" t="s">
        <v>9</v>
      </c>
      <c r="D29" s="38" t="s">
        <v>22</v>
      </c>
      <c r="E29" s="38" t="s">
        <v>10</v>
      </c>
      <c r="F29" s="38" t="s">
        <v>17</v>
      </c>
      <c r="G29" s="38" t="s">
        <v>11</v>
      </c>
      <c r="H29" s="38" t="s">
        <v>15</v>
      </c>
      <c r="I29" s="157">
        <v>407</v>
      </c>
      <c r="J29" t="s">
        <v>4035</v>
      </c>
    </row>
    <row r="30" spans="1:10" x14ac:dyDescent="0.25">
      <c r="A30" s="37" t="str">
        <f>C30&amp;"-"&amp;D30&amp;"-"&amp;E30&amp;"-"&amp;F30&amp;"-"&amp;CATALOGO[[#This Row],[Sub cuenta 3]]</f>
        <v>I-03-01-03-00</v>
      </c>
      <c r="B30" s="37" t="s">
        <v>44</v>
      </c>
      <c r="C30" s="37" t="s">
        <v>9</v>
      </c>
      <c r="D30" s="38" t="s">
        <v>22</v>
      </c>
      <c r="E30" s="38" t="s">
        <v>10</v>
      </c>
      <c r="F30" s="38" t="s">
        <v>22</v>
      </c>
      <c r="G30" s="36" t="s">
        <v>11</v>
      </c>
      <c r="H30" s="38" t="s">
        <v>15</v>
      </c>
      <c r="I30" s="157">
        <v>407</v>
      </c>
      <c r="J30" t="s">
        <v>4035</v>
      </c>
    </row>
    <row r="31" spans="1:10" x14ac:dyDescent="0.25">
      <c r="A31" s="37" t="str">
        <f>C31&amp;"-"&amp;D31&amp;"-"&amp;E31&amp;"-"&amp;F31&amp;"-"&amp;CATALOGO[[#This Row],[Sub cuenta 3]]</f>
        <v>I-03-01-04-00</v>
      </c>
      <c r="B31" s="37" t="s">
        <v>45</v>
      </c>
      <c r="C31" s="37" t="s">
        <v>9</v>
      </c>
      <c r="D31" s="38" t="s">
        <v>22</v>
      </c>
      <c r="E31" s="38" t="s">
        <v>10</v>
      </c>
      <c r="F31" s="38" t="s">
        <v>26</v>
      </c>
      <c r="G31" s="38" t="s">
        <v>11</v>
      </c>
      <c r="H31" s="38" t="s">
        <v>15</v>
      </c>
      <c r="I31" s="157">
        <v>407</v>
      </c>
      <c r="J31" t="s">
        <v>4035</v>
      </c>
    </row>
    <row r="32" spans="1:10" x14ac:dyDescent="0.25">
      <c r="A32" s="37" t="str">
        <f>C32&amp;"-"&amp;D32&amp;"-"&amp;E32&amp;"-"&amp;F32&amp;"-"&amp;CATALOGO[[#This Row],[Sub cuenta 3]]</f>
        <v>I-03-02-00-00</v>
      </c>
      <c r="B32" s="37" t="s">
        <v>46</v>
      </c>
      <c r="C32" s="37" t="s">
        <v>9</v>
      </c>
      <c r="D32" s="38" t="s">
        <v>22</v>
      </c>
      <c r="E32" s="38" t="s">
        <v>17</v>
      </c>
      <c r="F32" s="38" t="s">
        <v>11</v>
      </c>
      <c r="G32" s="36" t="s">
        <v>11</v>
      </c>
      <c r="H32" s="38" t="s">
        <v>12</v>
      </c>
      <c r="I32" s="157">
        <v>407</v>
      </c>
      <c r="J32" t="s">
        <v>4035</v>
      </c>
    </row>
    <row r="33" spans="1:10" x14ac:dyDescent="0.25">
      <c r="A33" s="37" t="str">
        <f>C33&amp;"-"&amp;D33&amp;"-"&amp;E33&amp;"-"&amp;F33&amp;"-"&amp;CATALOGO[[#This Row],[Sub cuenta 3]]</f>
        <v>I-03-02-01-00</v>
      </c>
      <c r="B33" s="37" t="s">
        <v>47</v>
      </c>
      <c r="C33" s="37" t="s">
        <v>9</v>
      </c>
      <c r="D33" s="38" t="s">
        <v>22</v>
      </c>
      <c r="E33" s="38" t="s">
        <v>17</v>
      </c>
      <c r="F33" s="38" t="s">
        <v>10</v>
      </c>
      <c r="G33" s="38" t="s">
        <v>11</v>
      </c>
      <c r="H33" s="38" t="s">
        <v>15</v>
      </c>
      <c r="I33" s="157">
        <v>407</v>
      </c>
      <c r="J33" t="s">
        <v>4035</v>
      </c>
    </row>
    <row r="34" spans="1:10" x14ac:dyDescent="0.25">
      <c r="A34" s="37" t="str">
        <f>C34&amp;"-"&amp;D34&amp;"-"&amp;E34&amp;"-"&amp;F34&amp;"-"&amp;CATALOGO[[#This Row],[Sub cuenta 3]]</f>
        <v>I-03-02-02-00</v>
      </c>
      <c r="B34" s="37" t="s">
        <v>48</v>
      </c>
      <c r="C34" s="37" t="s">
        <v>9</v>
      </c>
      <c r="D34" s="38" t="s">
        <v>22</v>
      </c>
      <c r="E34" s="38" t="s">
        <v>17</v>
      </c>
      <c r="F34" s="38" t="s">
        <v>17</v>
      </c>
      <c r="G34" s="36" t="s">
        <v>11</v>
      </c>
      <c r="H34" s="38" t="s">
        <v>15</v>
      </c>
      <c r="I34" s="157">
        <v>407</v>
      </c>
      <c r="J34" t="s">
        <v>4035</v>
      </c>
    </row>
    <row r="35" spans="1:10" x14ac:dyDescent="0.25">
      <c r="A35" s="37" t="str">
        <f>C35&amp;"-"&amp;D35&amp;"-"&amp;E35&amp;"-"&amp;F35&amp;"-"&amp;CATALOGO[[#This Row],[Sub cuenta 3]]</f>
        <v>I-03-02-03-00</v>
      </c>
      <c r="B35" s="37" t="s">
        <v>49</v>
      </c>
      <c r="C35" s="37" t="s">
        <v>9</v>
      </c>
      <c r="D35" s="38" t="s">
        <v>22</v>
      </c>
      <c r="E35" s="38" t="s">
        <v>17</v>
      </c>
      <c r="F35" s="38" t="s">
        <v>22</v>
      </c>
      <c r="G35" s="38" t="s">
        <v>11</v>
      </c>
      <c r="H35" s="38" t="s">
        <v>15</v>
      </c>
      <c r="I35" s="157">
        <v>407</v>
      </c>
      <c r="J35" t="s">
        <v>4035</v>
      </c>
    </row>
    <row r="36" spans="1:10" x14ac:dyDescent="0.25">
      <c r="A36" s="35" t="str">
        <f>C36&amp;"-"&amp;D36&amp;"-"&amp;E36&amp;"-"&amp;F36&amp;"-"&amp;CATALOGO[[#This Row],[Sub cuenta 3]]</f>
        <v>I-04-00-00-00</v>
      </c>
      <c r="B36" s="35" t="s">
        <v>50</v>
      </c>
      <c r="C36" s="35" t="s">
        <v>9</v>
      </c>
      <c r="D36" s="36" t="s">
        <v>26</v>
      </c>
      <c r="E36" s="36" t="s">
        <v>11</v>
      </c>
      <c r="F36" s="36" t="s">
        <v>11</v>
      </c>
      <c r="G36" s="38" t="s">
        <v>11</v>
      </c>
      <c r="H36" s="36" t="s">
        <v>12</v>
      </c>
      <c r="I36" s="157">
        <v>407</v>
      </c>
      <c r="J36" t="s">
        <v>4035</v>
      </c>
    </row>
    <row r="37" spans="1:10" x14ac:dyDescent="0.25">
      <c r="A37" s="37" t="str">
        <f>C37&amp;"-"&amp;D37&amp;"-"&amp;E37&amp;"-"&amp;F37&amp;"-"&amp;CATALOGO[[#This Row],[Sub cuenta 3]]</f>
        <v>I-04-01-00-00</v>
      </c>
      <c r="B37" s="37" t="s">
        <v>51</v>
      </c>
      <c r="C37" s="37" t="s">
        <v>9</v>
      </c>
      <c r="D37" s="38" t="s">
        <v>26</v>
      </c>
      <c r="E37" s="38" t="s">
        <v>10</v>
      </c>
      <c r="F37" s="38" t="s">
        <v>11</v>
      </c>
      <c r="G37" s="36" t="s">
        <v>11</v>
      </c>
      <c r="H37" s="38" t="s">
        <v>12</v>
      </c>
      <c r="I37" s="157">
        <v>407</v>
      </c>
      <c r="J37" t="s">
        <v>4035</v>
      </c>
    </row>
    <row r="38" spans="1:10" x14ac:dyDescent="0.25">
      <c r="A38" s="37" t="str">
        <f>C38&amp;"-"&amp;D38&amp;"-"&amp;E38&amp;"-"&amp;F38&amp;"-"&amp;CATALOGO[[#This Row],[Sub cuenta 3]]</f>
        <v>I-04-01-01-00</v>
      </c>
      <c r="B38" s="37" t="s">
        <v>52</v>
      </c>
      <c r="C38" s="37" t="s">
        <v>9</v>
      </c>
      <c r="D38" s="38" t="s">
        <v>26</v>
      </c>
      <c r="E38" s="38" t="s">
        <v>10</v>
      </c>
      <c r="F38" s="38" t="s">
        <v>10</v>
      </c>
      <c r="G38" s="38" t="s">
        <v>11</v>
      </c>
      <c r="H38" s="38" t="s">
        <v>15</v>
      </c>
      <c r="I38" s="157">
        <v>407</v>
      </c>
      <c r="J38" t="s">
        <v>4035</v>
      </c>
    </row>
    <row r="39" spans="1:10" x14ac:dyDescent="0.25">
      <c r="A39" s="37" t="str">
        <f>C39&amp;"-"&amp;D39&amp;"-"&amp;E39&amp;"-"&amp;F39&amp;"-"&amp;CATALOGO[[#This Row],[Sub cuenta 3]]</f>
        <v>I-04-01-02-00</v>
      </c>
      <c r="B39" s="37" t="s">
        <v>53</v>
      </c>
      <c r="C39" s="37" t="s">
        <v>9</v>
      </c>
      <c r="D39" s="38" t="s">
        <v>26</v>
      </c>
      <c r="E39" s="38" t="s">
        <v>10</v>
      </c>
      <c r="F39" s="38" t="s">
        <v>17</v>
      </c>
      <c r="G39" s="36" t="s">
        <v>11</v>
      </c>
      <c r="H39" s="38" t="s">
        <v>15</v>
      </c>
      <c r="I39" s="157">
        <v>407</v>
      </c>
      <c r="J39" t="s">
        <v>4035</v>
      </c>
    </row>
    <row r="40" spans="1:10" x14ac:dyDescent="0.25">
      <c r="A40" s="37" t="str">
        <f>C40&amp;"-"&amp;D40&amp;"-"&amp;E40&amp;"-"&amp;F40&amp;"-"&amp;CATALOGO[[#This Row],[Sub cuenta 3]]</f>
        <v>I-04-01-03-00</v>
      </c>
      <c r="B40" s="37" t="s">
        <v>54</v>
      </c>
      <c r="C40" s="37" t="s">
        <v>9</v>
      </c>
      <c r="D40" s="38" t="s">
        <v>26</v>
      </c>
      <c r="E40" s="38" t="s">
        <v>10</v>
      </c>
      <c r="F40" s="38" t="s">
        <v>22</v>
      </c>
      <c r="G40" s="38" t="s">
        <v>11</v>
      </c>
      <c r="H40" s="38" t="s">
        <v>15</v>
      </c>
      <c r="I40" s="157">
        <v>407</v>
      </c>
      <c r="J40" t="s">
        <v>4035</v>
      </c>
    </row>
    <row r="41" spans="1:10" x14ac:dyDescent="0.25">
      <c r="A41" s="37" t="str">
        <f>C41&amp;"-"&amp;D41&amp;"-"&amp;E41&amp;"-"&amp;F41&amp;"-"&amp;CATALOGO[[#This Row],[Sub cuenta 3]]</f>
        <v>I-04-01-04-00</v>
      </c>
      <c r="B41" s="37" t="s">
        <v>55</v>
      </c>
      <c r="C41" s="37" t="s">
        <v>9</v>
      </c>
      <c r="D41" s="38" t="s">
        <v>26</v>
      </c>
      <c r="E41" s="38" t="s">
        <v>10</v>
      </c>
      <c r="F41" s="38" t="s">
        <v>26</v>
      </c>
      <c r="G41" s="36" t="s">
        <v>11</v>
      </c>
      <c r="H41" s="38" t="s">
        <v>15</v>
      </c>
      <c r="I41" s="157">
        <v>407</v>
      </c>
      <c r="J41" t="s">
        <v>4035</v>
      </c>
    </row>
    <row r="42" spans="1:10" x14ac:dyDescent="0.25">
      <c r="A42" s="35" t="str">
        <f>C42&amp;"-"&amp;D42&amp;"-"&amp;E42&amp;"-"&amp;F42&amp;"-"&amp;CATALOGO[[#This Row],[Sub cuenta 3]]</f>
        <v>I-04-02-00-00</v>
      </c>
      <c r="B42" s="35" t="s">
        <v>56</v>
      </c>
      <c r="C42" s="37" t="s">
        <v>9</v>
      </c>
      <c r="D42" s="38" t="s">
        <v>26</v>
      </c>
      <c r="E42" s="38" t="s">
        <v>17</v>
      </c>
      <c r="F42" s="38" t="s">
        <v>11</v>
      </c>
      <c r="G42" s="38" t="s">
        <v>11</v>
      </c>
      <c r="H42" s="38" t="s">
        <v>12</v>
      </c>
      <c r="I42" s="157">
        <v>407</v>
      </c>
      <c r="J42" t="s">
        <v>4035</v>
      </c>
    </row>
    <row r="43" spans="1:10" x14ac:dyDescent="0.25">
      <c r="A43" s="37" t="str">
        <f>C43&amp;"-"&amp;D43&amp;"-"&amp;E43&amp;"-"&amp;F43&amp;"-"&amp;CATALOGO[[#This Row],[Sub cuenta 3]]</f>
        <v>I-04-02-01-00</v>
      </c>
      <c r="B43" s="37" t="s">
        <v>57</v>
      </c>
      <c r="C43" s="37" t="s">
        <v>9</v>
      </c>
      <c r="D43" s="38" t="s">
        <v>26</v>
      </c>
      <c r="E43" s="38" t="s">
        <v>17</v>
      </c>
      <c r="F43" s="38" t="s">
        <v>10</v>
      </c>
      <c r="G43" s="36" t="s">
        <v>11</v>
      </c>
      <c r="H43" s="38" t="s">
        <v>15</v>
      </c>
      <c r="I43" s="157">
        <v>407</v>
      </c>
      <c r="J43" t="s">
        <v>4035</v>
      </c>
    </row>
    <row r="44" spans="1:10" x14ac:dyDescent="0.25">
      <c r="A44" s="37" t="str">
        <f>C44&amp;"-"&amp;D44&amp;"-"&amp;E44&amp;"-"&amp;F44&amp;"-"&amp;CATALOGO[[#This Row],[Sub cuenta 3]]</f>
        <v>I-04-02-02-00</v>
      </c>
      <c r="B44" s="37" t="s">
        <v>58</v>
      </c>
      <c r="C44" s="37" t="s">
        <v>9</v>
      </c>
      <c r="D44" s="38" t="s">
        <v>26</v>
      </c>
      <c r="E44" s="38" t="s">
        <v>17</v>
      </c>
      <c r="F44" s="38" t="s">
        <v>17</v>
      </c>
      <c r="G44" s="38" t="s">
        <v>11</v>
      </c>
      <c r="H44" s="38" t="s">
        <v>15</v>
      </c>
      <c r="I44" s="157">
        <v>407</v>
      </c>
      <c r="J44" t="s">
        <v>4035</v>
      </c>
    </row>
    <row r="45" spans="1:10" x14ac:dyDescent="0.25">
      <c r="A45" s="37" t="str">
        <f>C45&amp;"-"&amp;D45&amp;"-"&amp;E45&amp;"-"&amp;F45&amp;"-"&amp;CATALOGO[[#This Row],[Sub cuenta 3]]</f>
        <v>I-04-02-03-00</v>
      </c>
      <c r="B45" s="37" t="s">
        <v>59</v>
      </c>
      <c r="C45" s="37" t="s">
        <v>9</v>
      </c>
      <c r="D45" s="38" t="s">
        <v>26</v>
      </c>
      <c r="E45" s="38" t="s">
        <v>17</v>
      </c>
      <c r="F45" s="38" t="s">
        <v>22</v>
      </c>
      <c r="G45" s="36" t="s">
        <v>11</v>
      </c>
      <c r="H45" s="38" t="s">
        <v>15</v>
      </c>
      <c r="I45" s="157">
        <v>407</v>
      </c>
      <c r="J45" t="s">
        <v>4035</v>
      </c>
    </row>
    <row r="46" spans="1:10" x14ac:dyDescent="0.25">
      <c r="A46" s="37" t="str">
        <f>C46&amp;"-"&amp;D46&amp;"-"&amp;E46&amp;"-"&amp;F46&amp;"-"&amp;CATALOGO[[#This Row],[Sub cuenta 3]]</f>
        <v>I-04-02-04-00</v>
      </c>
      <c r="B46" s="37" t="s">
        <v>60</v>
      </c>
      <c r="C46" s="37" t="s">
        <v>9</v>
      </c>
      <c r="D46" s="38" t="s">
        <v>26</v>
      </c>
      <c r="E46" s="38" t="s">
        <v>17</v>
      </c>
      <c r="F46" s="38" t="s">
        <v>26</v>
      </c>
      <c r="G46" s="38" t="s">
        <v>11</v>
      </c>
      <c r="H46" s="38" t="s">
        <v>15</v>
      </c>
      <c r="I46" s="157">
        <v>407</v>
      </c>
      <c r="J46" t="s">
        <v>4035</v>
      </c>
    </row>
    <row r="47" spans="1:10" x14ac:dyDescent="0.25">
      <c r="A47" s="35" t="str">
        <f>C47&amp;"-"&amp;D47&amp;"-"&amp;E47&amp;"-"&amp;F47&amp;"-"&amp;CATALOGO[[#This Row],[Sub cuenta 3]]</f>
        <v>I-05-00-00-00</v>
      </c>
      <c r="B47" s="35" t="s">
        <v>61</v>
      </c>
      <c r="C47" s="35" t="s">
        <v>9</v>
      </c>
      <c r="D47" s="36" t="s">
        <v>62</v>
      </c>
      <c r="E47" s="36" t="s">
        <v>11</v>
      </c>
      <c r="F47" s="36" t="s">
        <v>11</v>
      </c>
      <c r="G47" s="36" t="s">
        <v>11</v>
      </c>
      <c r="H47" s="36" t="s">
        <v>12</v>
      </c>
      <c r="I47" s="157">
        <v>407</v>
      </c>
      <c r="J47" t="s">
        <v>4035</v>
      </c>
    </row>
    <row r="48" spans="1:10" x14ac:dyDescent="0.25">
      <c r="A48" s="7" t="str">
        <f>C48&amp;"-"&amp;D48&amp;"-"&amp;E48&amp;"-"&amp;F48&amp;"-"&amp;CATALOGO[[#This Row],[Sub cuenta 3]]</f>
        <v>I-05-01-00-00</v>
      </c>
      <c r="B48" s="7" t="s">
        <v>63</v>
      </c>
      <c r="C48" s="37" t="s">
        <v>9</v>
      </c>
      <c r="D48" s="38" t="s">
        <v>62</v>
      </c>
      <c r="E48" s="38" t="s">
        <v>10</v>
      </c>
      <c r="F48" s="38" t="s">
        <v>11</v>
      </c>
      <c r="G48" s="38" t="s">
        <v>11</v>
      </c>
      <c r="H48" s="38" t="s">
        <v>12</v>
      </c>
      <c r="I48" s="157">
        <v>407</v>
      </c>
      <c r="J48" t="s">
        <v>4035</v>
      </c>
    </row>
    <row r="49" spans="1:10" x14ac:dyDescent="0.25">
      <c r="A49" s="37" t="str">
        <f>C49&amp;"-"&amp;D49&amp;"-"&amp;E49&amp;"-"&amp;F49&amp;"-"&amp;CATALOGO[[#This Row],[Sub cuenta 3]]</f>
        <v>I-05-01-01-00</v>
      </c>
      <c r="B49" s="37" t="s">
        <v>64</v>
      </c>
      <c r="C49" s="37" t="s">
        <v>9</v>
      </c>
      <c r="D49" s="38" t="s">
        <v>62</v>
      </c>
      <c r="E49" s="38" t="s">
        <v>10</v>
      </c>
      <c r="F49" s="38" t="s">
        <v>10</v>
      </c>
      <c r="G49" s="36" t="s">
        <v>11</v>
      </c>
      <c r="H49" s="38" t="s">
        <v>15</v>
      </c>
      <c r="I49" s="157">
        <v>407</v>
      </c>
      <c r="J49" t="s">
        <v>4035</v>
      </c>
    </row>
    <row r="50" spans="1:10" x14ac:dyDescent="0.25">
      <c r="A50" s="37" t="str">
        <f>C50&amp;"-"&amp;D50&amp;"-"&amp;E50&amp;"-"&amp;F50&amp;"-"&amp;CATALOGO[[#This Row],[Sub cuenta 3]]</f>
        <v>I-05-01-02-00</v>
      </c>
      <c r="B50" s="37" t="s">
        <v>8</v>
      </c>
      <c r="C50" s="37" t="s">
        <v>9</v>
      </c>
      <c r="D50" s="38" t="s">
        <v>62</v>
      </c>
      <c r="E50" s="38" t="s">
        <v>10</v>
      </c>
      <c r="F50" s="38" t="s">
        <v>17</v>
      </c>
      <c r="G50" s="38" t="s">
        <v>11</v>
      </c>
      <c r="H50" s="38" t="s">
        <v>15</v>
      </c>
      <c r="I50" s="157">
        <v>407</v>
      </c>
      <c r="J50" t="s">
        <v>4035</v>
      </c>
    </row>
    <row r="51" spans="1:10" x14ac:dyDescent="0.25">
      <c r="A51" s="37" t="str">
        <f>C51&amp;"-"&amp;D51&amp;"-"&amp;E51&amp;"-"&amp;F51&amp;"-"&amp;CATALOGO[[#This Row],[Sub cuenta 3]]</f>
        <v>I-05-01-03-00</v>
      </c>
      <c r="B51" s="37" t="s">
        <v>65</v>
      </c>
      <c r="C51" s="37" t="s">
        <v>9</v>
      </c>
      <c r="D51" s="38" t="s">
        <v>62</v>
      </c>
      <c r="E51" s="38" t="s">
        <v>10</v>
      </c>
      <c r="F51" s="38" t="s">
        <v>22</v>
      </c>
      <c r="G51" s="36" t="s">
        <v>11</v>
      </c>
      <c r="H51" s="38" t="s">
        <v>15</v>
      </c>
      <c r="I51" s="157">
        <v>407</v>
      </c>
      <c r="J51" t="s">
        <v>4035</v>
      </c>
    </row>
    <row r="52" spans="1:10" x14ac:dyDescent="0.25">
      <c r="A52" s="37" t="str">
        <f>C52&amp;"-"&amp;D52&amp;"-"&amp;E52&amp;"-"&amp;F52&amp;"-"&amp;CATALOGO[[#This Row],[Sub cuenta 3]]</f>
        <v>I-05-01-04-00</v>
      </c>
      <c r="B52" s="37" t="s">
        <v>66</v>
      </c>
      <c r="C52" s="37" t="s">
        <v>9</v>
      </c>
      <c r="D52" s="38" t="s">
        <v>62</v>
      </c>
      <c r="E52" s="38" t="s">
        <v>10</v>
      </c>
      <c r="F52" s="38" t="s">
        <v>26</v>
      </c>
      <c r="G52" s="38" t="s">
        <v>11</v>
      </c>
      <c r="H52" s="38" t="s">
        <v>15</v>
      </c>
      <c r="I52" s="157">
        <v>407</v>
      </c>
      <c r="J52" t="s">
        <v>4035</v>
      </c>
    </row>
    <row r="53" spans="1:10" x14ac:dyDescent="0.25">
      <c r="A53" s="37" t="str">
        <f>C53&amp;"-"&amp;D53&amp;"-"&amp;E53&amp;"-"&amp;F53&amp;"-"&amp;CATALOGO[[#This Row],[Sub cuenta 3]]</f>
        <v>I-05-01-05-00</v>
      </c>
      <c r="B53" s="37" t="s">
        <v>67</v>
      </c>
      <c r="C53" s="37" t="s">
        <v>9</v>
      </c>
      <c r="D53" s="38" t="s">
        <v>62</v>
      </c>
      <c r="E53" s="38" t="s">
        <v>10</v>
      </c>
      <c r="F53" s="38" t="s">
        <v>62</v>
      </c>
      <c r="G53" s="36" t="s">
        <v>11</v>
      </c>
      <c r="H53" s="38" t="s">
        <v>15</v>
      </c>
      <c r="I53" s="157">
        <v>407</v>
      </c>
      <c r="J53" t="s">
        <v>4035</v>
      </c>
    </row>
    <row r="54" spans="1:10" x14ac:dyDescent="0.25">
      <c r="A54" s="7" t="str">
        <f>C54&amp;"-"&amp;D54&amp;"-"&amp;E54&amp;"-"&amp;F54&amp;"-"&amp;CATALOGO[[#This Row],[Sub cuenta 3]]</f>
        <v>I-05-02-00-00</v>
      </c>
      <c r="B54" s="7" t="s">
        <v>68</v>
      </c>
      <c r="C54" s="37" t="s">
        <v>9</v>
      </c>
      <c r="D54" s="38" t="s">
        <v>62</v>
      </c>
      <c r="E54" s="38" t="s">
        <v>17</v>
      </c>
      <c r="F54" s="38" t="s">
        <v>11</v>
      </c>
      <c r="G54" s="38" t="s">
        <v>11</v>
      </c>
      <c r="H54" s="38" t="s">
        <v>12</v>
      </c>
      <c r="I54" s="157">
        <v>407</v>
      </c>
      <c r="J54" t="s">
        <v>4035</v>
      </c>
    </row>
    <row r="55" spans="1:10" x14ac:dyDescent="0.25">
      <c r="A55" s="37" t="str">
        <f>C55&amp;"-"&amp;D55&amp;"-"&amp;E55&amp;"-"&amp;F55&amp;"-"&amp;CATALOGO[[#This Row],[Sub cuenta 3]]</f>
        <v>I-05-02-01-00</v>
      </c>
      <c r="B55" s="37" t="s">
        <v>64</v>
      </c>
      <c r="C55" s="37" t="s">
        <v>9</v>
      </c>
      <c r="D55" s="38" t="s">
        <v>62</v>
      </c>
      <c r="E55" s="38" t="s">
        <v>17</v>
      </c>
      <c r="F55" s="38" t="s">
        <v>10</v>
      </c>
      <c r="G55" s="36" t="s">
        <v>11</v>
      </c>
      <c r="H55" s="38" t="s">
        <v>15</v>
      </c>
      <c r="I55" s="157">
        <v>407</v>
      </c>
      <c r="J55" t="s">
        <v>4035</v>
      </c>
    </row>
    <row r="56" spans="1:10" x14ac:dyDescent="0.25">
      <c r="A56" s="37" t="str">
        <f>C56&amp;"-"&amp;D56&amp;"-"&amp;E56&amp;"-"&amp;F56&amp;"-"&amp;CATALOGO[[#This Row],[Sub cuenta 3]]</f>
        <v>I-05-02-02-00</v>
      </c>
      <c r="B56" s="37" t="s">
        <v>8</v>
      </c>
      <c r="C56" s="37" t="s">
        <v>9</v>
      </c>
      <c r="D56" s="38" t="s">
        <v>62</v>
      </c>
      <c r="E56" s="38" t="s">
        <v>17</v>
      </c>
      <c r="F56" s="38" t="s">
        <v>17</v>
      </c>
      <c r="G56" s="38" t="s">
        <v>11</v>
      </c>
      <c r="H56" s="38" t="s">
        <v>15</v>
      </c>
      <c r="I56" s="157">
        <v>407</v>
      </c>
      <c r="J56" t="s">
        <v>4035</v>
      </c>
    </row>
    <row r="57" spans="1:10" x14ac:dyDescent="0.25">
      <c r="A57" s="37" t="str">
        <f>C57&amp;"-"&amp;D57&amp;"-"&amp;E57&amp;"-"&amp;F57&amp;"-"&amp;CATALOGO[[#This Row],[Sub cuenta 3]]</f>
        <v>I-05-02-03-00</v>
      </c>
      <c r="B57" s="37" t="s">
        <v>65</v>
      </c>
      <c r="C57" s="37" t="s">
        <v>9</v>
      </c>
      <c r="D57" s="38" t="s">
        <v>62</v>
      </c>
      <c r="E57" s="38" t="s">
        <v>17</v>
      </c>
      <c r="F57" s="38" t="s">
        <v>22</v>
      </c>
      <c r="G57" s="36" t="s">
        <v>11</v>
      </c>
      <c r="H57" s="38" t="s">
        <v>15</v>
      </c>
      <c r="I57" s="157">
        <v>407</v>
      </c>
      <c r="J57" t="s">
        <v>4035</v>
      </c>
    </row>
    <row r="58" spans="1:10" x14ac:dyDescent="0.25">
      <c r="A58" s="37" t="str">
        <f>C58&amp;"-"&amp;D58&amp;"-"&amp;E58&amp;"-"&amp;F58&amp;"-"&amp;CATALOGO[[#This Row],[Sub cuenta 3]]</f>
        <v>I-05-02-04-00</v>
      </c>
      <c r="B58" s="37" t="s">
        <v>66</v>
      </c>
      <c r="C58" s="37" t="s">
        <v>9</v>
      </c>
      <c r="D58" s="38" t="s">
        <v>62</v>
      </c>
      <c r="E58" s="38" t="s">
        <v>17</v>
      </c>
      <c r="F58" s="38" t="s">
        <v>26</v>
      </c>
      <c r="G58" s="38" t="s">
        <v>11</v>
      </c>
      <c r="H58" s="38" t="s">
        <v>15</v>
      </c>
      <c r="I58" s="157">
        <v>407</v>
      </c>
      <c r="J58" t="s">
        <v>4035</v>
      </c>
    </row>
    <row r="59" spans="1:10" x14ac:dyDescent="0.25">
      <c r="A59" s="37" t="str">
        <f>C59&amp;"-"&amp;D59&amp;"-"&amp;E59&amp;"-"&amp;F59&amp;"-"&amp;CATALOGO[[#This Row],[Sub cuenta 3]]</f>
        <v>I-05-02-05-00</v>
      </c>
      <c r="B59" s="37" t="s">
        <v>67</v>
      </c>
      <c r="C59" s="37" t="s">
        <v>9</v>
      </c>
      <c r="D59" s="38" t="s">
        <v>62</v>
      </c>
      <c r="E59" s="38" t="s">
        <v>17</v>
      </c>
      <c r="F59" s="38" t="s">
        <v>62</v>
      </c>
      <c r="G59" s="36" t="s">
        <v>11</v>
      </c>
      <c r="H59" s="38" t="s">
        <v>15</v>
      </c>
      <c r="I59" s="157">
        <v>407</v>
      </c>
      <c r="J59" t="s">
        <v>4035</v>
      </c>
    </row>
    <row r="60" spans="1:10" x14ac:dyDescent="0.25">
      <c r="A60" s="7" t="str">
        <f>C60&amp;"-"&amp;D60&amp;"-"&amp;E60&amp;"-"&amp;F60&amp;"-"&amp;CATALOGO[[#This Row],[Sub cuenta 3]]</f>
        <v>I-05-03-00-00</v>
      </c>
      <c r="B60" s="7" t="s">
        <v>69</v>
      </c>
      <c r="C60" s="37" t="s">
        <v>9</v>
      </c>
      <c r="D60" s="38" t="s">
        <v>62</v>
      </c>
      <c r="E60" s="38" t="s">
        <v>22</v>
      </c>
      <c r="F60" s="38" t="s">
        <v>11</v>
      </c>
      <c r="G60" s="38" t="s">
        <v>11</v>
      </c>
      <c r="H60" s="38" t="s">
        <v>12</v>
      </c>
      <c r="I60" s="157">
        <v>407</v>
      </c>
      <c r="J60" t="s">
        <v>4035</v>
      </c>
    </row>
    <row r="61" spans="1:10" x14ac:dyDescent="0.25">
      <c r="A61" s="37" t="str">
        <f>C61&amp;"-"&amp;D61&amp;"-"&amp;E61&amp;"-"&amp;F61&amp;"-"&amp;CATALOGO[[#This Row],[Sub cuenta 3]]</f>
        <v>I-05-03-01-00</v>
      </c>
      <c r="B61" s="37" t="s">
        <v>64</v>
      </c>
      <c r="C61" s="37" t="s">
        <v>9</v>
      </c>
      <c r="D61" s="38" t="s">
        <v>62</v>
      </c>
      <c r="E61" s="38" t="s">
        <v>22</v>
      </c>
      <c r="F61" s="38" t="s">
        <v>10</v>
      </c>
      <c r="G61" s="36" t="s">
        <v>11</v>
      </c>
      <c r="H61" s="38" t="s">
        <v>15</v>
      </c>
      <c r="I61" s="157">
        <v>407</v>
      </c>
      <c r="J61" t="s">
        <v>4035</v>
      </c>
    </row>
    <row r="62" spans="1:10" x14ac:dyDescent="0.25">
      <c r="A62" s="37" t="str">
        <f>C62&amp;"-"&amp;D62&amp;"-"&amp;E62&amp;"-"&amp;F62&amp;"-"&amp;CATALOGO[[#This Row],[Sub cuenta 3]]</f>
        <v>I-05-03-02-00</v>
      </c>
      <c r="B62" s="37" t="s">
        <v>8</v>
      </c>
      <c r="C62" s="37" t="s">
        <v>9</v>
      </c>
      <c r="D62" s="38" t="s">
        <v>62</v>
      </c>
      <c r="E62" s="38" t="s">
        <v>22</v>
      </c>
      <c r="F62" s="38" t="s">
        <v>17</v>
      </c>
      <c r="G62" s="38" t="s">
        <v>11</v>
      </c>
      <c r="H62" s="38" t="s">
        <v>15</v>
      </c>
      <c r="I62" s="157">
        <v>407</v>
      </c>
      <c r="J62" t="s">
        <v>4035</v>
      </c>
    </row>
    <row r="63" spans="1:10" x14ac:dyDescent="0.25">
      <c r="A63" s="37" t="str">
        <f>C63&amp;"-"&amp;D63&amp;"-"&amp;E63&amp;"-"&amp;F63&amp;"-"&amp;CATALOGO[[#This Row],[Sub cuenta 3]]</f>
        <v>I-05-03-03-00</v>
      </c>
      <c r="B63" s="37" t="s">
        <v>65</v>
      </c>
      <c r="C63" s="37" t="s">
        <v>9</v>
      </c>
      <c r="D63" s="38" t="s">
        <v>62</v>
      </c>
      <c r="E63" s="38" t="s">
        <v>22</v>
      </c>
      <c r="F63" s="38" t="s">
        <v>22</v>
      </c>
      <c r="G63" s="36" t="s">
        <v>11</v>
      </c>
      <c r="H63" s="38" t="s">
        <v>15</v>
      </c>
      <c r="I63" s="157">
        <v>407</v>
      </c>
      <c r="J63" t="s">
        <v>4035</v>
      </c>
    </row>
    <row r="64" spans="1:10" x14ac:dyDescent="0.25">
      <c r="A64" s="37" t="str">
        <f>C64&amp;"-"&amp;D64&amp;"-"&amp;E64&amp;"-"&amp;F64&amp;"-"&amp;CATALOGO[[#This Row],[Sub cuenta 3]]</f>
        <v>I-05-03-04-00</v>
      </c>
      <c r="B64" s="37" t="s">
        <v>66</v>
      </c>
      <c r="C64" s="37" t="s">
        <v>9</v>
      </c>
      <c r="D64" s="38" t="s">
        <v>62</v>
      </c>
      <c r="E64" s="38" t="s">
        <v>22</v>
      </c>
      <c r="F64" s="38" t="s">
        <v>26</v>
      </c>
      <c r="G64" s="38" t="s">
        <v>11</v>
      </c>
      <c r="H64" s="38" t="s">
        <v>15</v>
      </c>
      <c r="I64" s="157">
        <v>407</v>
      </c>
      <c r="J64" t="s">
        <v>4035</v>
      </c>
    </row>
    <row r="65" spans="1:10" x14ac:dyDescent="0.25">
      <c r="A65" s="37" t="str">
        <f>C65&amp;"-"&amp;D65&amp;"-"&amp;E65&amp;"-"&amp;F65&amp;"-"&amp;CATALOGO[[#This Row],[Sub cuenta 3]]</f>
        <v>I-05-03-05-00</v>
      </c>
      <c r="B65" s="37" t="s">
        <v>67</v>
      </c>
      <c r="C65" s="37" t="s">
        <v>9</v>
      </c>
      <c r="D65" s="38" t="s">
        <v>62</v>
      </c>
      <c r="E65" s="38" t="s">
        <v>22</v>
      </c>
      <c r="F65" s="38" t="s">
        <v>62</v>
      </c>
      <c r="G65" s="36" t="s">
        <v>11</v>
      </c>
      <c r="H65" s="38" t="s">
        <v>15</v>
      </c>
      <c r="I65" s="157">
        <v>407</v>
      </c>
      <c r="J65" t="s">
        <v>4035</v>
      </c>
    </row>
    <row r="66" spans="1:10" x14ac:dyDescent="0.25">
      <c r="A66" s="39" t="str">
        <f>C66&amp;"-"&amp;D66&amp;"-"&amp;E66&amp;"-"&amp;F66&amp;"-"&amp;CATALOGO[[#This Row],[Sub cuenta 3]]</f>
        <v>I-05-04-00-00</v>
      </c>
      <c r="B66" s="39" t="s">
        <v>70</v>
      </c>
      <c r="C66" s="37" t="s">
        <v>9</v>
      </c>
      <c r="D66" s="38" t="s">
        <v>62</v>
      </c>
      <c r="E66" s="38" t="s">
        <v>26</v>
      </c>
      <c r="F66" s="38" t="s">
        <v>11</v>
      </c>
      <c r="G66" s="38" t="s">
        <v>11</v>
      </c>
      <c r="H66" s="38" t="s">
        <v>12</v>
      </c>
      <c r="I66" s="157">
        <v>407</v>
      </c>
      <c r="J66" t="s">
        <v>4035</v>
      </c>
    </row>
    <row r="67" spans="1:10" x14ac:dyDescent="0.25">
      <c r="A67" s="37" t="str">
        <f>C67&amp;"-"&amp;D67&amp;"-"&amp;E67&amp;"-"&amp;F67&amp;"-"&amp;CATALOGO[[#This Row],[Sub cuenta 3]]</f>
        <v>I-05-04-01-00</v>
      </c>
      <c r="B67" s="37" t="s">
        <v>64</v>
      </c>
      <c r="C67" s="37" t="s">
        <v>9</v>
      </c>
      <c r="D67" s="38" t="s">
        <v>62</v>
      </c>
      <c r="E67" s="38" t="s">
        <v>26</v>
      </c>
      <c r="F67" s="38" t="s">
        <v>10</v>
      </c>
      <c r="G67" s="36" t="s">
        <v>11</v>
      </c>
      <c r="H67" s="38" t="s">
        <v>15</v>
      </c>
      <c r="I67" s="157">
        <v>407</v>
      </c>
      <c r="J67" t="s">
        <v>4035</v>
      </c>
    </row>
    <row r="68" spans="1:10" x14ac:dyDescent="0.25">
      <c r="A68" s="37" t="str">
        <f>C68&amp;"-"&amp;D68&amp;"-"&amp;E68&amp;"-"&amp;F68&amp;"-"&amp;CATALOGO[[#This Row],[Sub cuenta 3]]</f>
        <v>I-05-04-02-00</v>
      </c>
      <c r="B68" s="37" t="s">
        <v>8</v>
      </c>
      <c r="C68" s="37" t="s">
        <v>9</v>
      </c>
      <c r="D68" s="38" t="s">
        <v>62</v>
      </c>
      <c r="E68" s="38" t="s">
        <v>26</v>
      </c>
      <c r="F68" s="38" t="s">
        <v>17</v>
      </c>
      <c r="G68" s="38" t="s">
        <v>11</v>
      </c>
      <c r="H68" s="38" t="s">
        <v>15</v>
      </c>
      <c r="I68" s="157">
        <v>407</v>
      </c>
      <c r="J68" t="s">
        <v>4035</v>
      </c>
    </row>
    <row r="69" spans="1:10" x14ac:dyDescent="0.25">
      <c r="A69" s="37" t="str">
        <f>C69&amp;"-"&amp;D69&amp;"-"&amp;E69&amp;"-"&amp;F69&amp;"-"&amp;CATALOGO[[#This Row],[Sub cuenta 3]]</f>
        <v>I-05-04-03-00</v>
      </c>
      <c r="B69" s="37" t="s">
        <v>65</v>
      </c>
      <c r="C69" s="37" t="s">
        <v>9</v>
      </c>
      <c r="D69" s="38" t="s">
        <v>62</v>
      </c>
      <c r="E69" s="38" t="s">
        <v>26</v>
      </c>
      <c r="F69" s="38" t="s">
        <v>22</v>
      </c>
      <c r="G69" s="36" t="s">
        <v>11</v>
      </c>
      <c r="H69" s="38" t="s">
        <v>15</v>
      </c>
      <c r="I69" s="157">
        <v>407</v>
      </c>
      <c r="J69" t="s">
        <v>4035</v>
      </c>
    </row>
    <row r="70" spans="1:10" x14ac:dyDescent="0.25">
      <c r="A70" s="37" t="str">
        <f>C70&amp;"-"&amp;D70&amp;"-"&amp;E70&amp;"-"&amp;F70&amp;"-"&amp;CATALOGO[[#This Row],[Sub cuenta 3]]</f>
        <v>I-05-04-04-00</v>
      </c>
      <c r="B70" s="37" t="s">
        <v>66</v>
      </c>
      <c r="C70" s="37" t="s">
        <v>9</v>
      </c>
      <c r="D70" s="38" t="s">
        <v>62</v>
      </c>
      <c r="E70" s="38" t="s">
        <v>26</v>
      </c>
      <c r="F70" s="38" t="s">
        <v>26</v>
      </c>
      <c r="G70" s="38" t="s">
        <v>11</v>
      </c>
      <c r="H70" s="38" t="s">
        <v>15</v>
      </c>
      <c r="I70" s="157">
        <v>407</v>
      </c>
      <c r="J70" t="s">
        <v>4035</v>
      </c>
    </row>
    <row r="71" spans="1:10" x14ac:dyDescent="0.25">
      <c r="A71" s="37" t="str">
        <f>C71&amp;"-"&amp;D71&amp;"-"&amp;E71&amp;"-"&amp;F71&amp;"-"&amp;CATALOGO[[#This Row],[Sub cuenta 3]]</f>
        <v>I-05-04-05-00</v>
      </c>
      <c r="B71" s="37" t="s">
        <v>67</v>
      </c>
      <c r="C71" s="37" t="s">
        <v>9</v>
      </c>
      <c r="D71" s="38" t="s">
        <v>62</v>
      </c>
      <c r="E71" s="38" t="s">
        <v>26</v>
      </c>
      <c r="F71" s="38" t="s">
        <v>62</v>
      </c>
      <c r="G71" s="36" t="s">
        <v>11</v>
      </c>
      <c r="H71" s="38" t="s">
        <v>15</v>
      </c>
      <c r="I71" s="157">
        <v>407</v>
      </c>
      <c r="J71" t="s">
        <v>4035</v>
      </c>
    </row>
    <row r="72" spans="1:10" x14ac:dyDescent="0.25">
      <c r="A72" s="7" t="str">
        <f>C72&amp;"-"&amp;D72&amp;"-"&amp;E72&amp;"-"&amp;F72&amp;"-"&amp;CATALOGO[[#This Row],[Sub cuenta 3]]</f>
        <v>I-05-05-00-00</v>
      </c>
      <c r="B72" s="7" t="s">
        <v>71</v>
      </c>
      <c r="C72" s="37" t="s">
        <v>9</v>
      </c>
      <c r="D72" s="38" t="s">
        <v>62</v>
      </c>
      <c r="E72" s="38" t="s">
        <v>62</v>
      </c>
      <c r="F72" s="38" t="s">
        <v>11</v>
      </c>
      <c r="G72" s="38" t="s">
        <v>11</v>
      </c>
      <c r="H72" s="38" t="s">
        <v>12</v>
      </c>
      <c r="I72" s="157">
        <v>407</v>
      </c>
      <c r="J72" t="s">
        <v>4035</v>
      </c>
    </row>
    <row r="73" spans="1:10" x14ac:dyDescent="0.25">
      <c r="A73" s="37" t="str">
        <f>C73&amp;"-"&amp;D73&amp;"-"&amp;E73&amp;"-"&amp;F73&amp;"-"&amp;CATALOGO[[#This Row],[Sub cuenta 3]]</f>
        <v>I-05-05-01-00</v>
      </c>
      <c r="B73" s="37" t="s">
        <v>64</v>
      </c>
      <c r="C73" s="37" t="s">
        <v>9</v>
      </c>
      <c r="D73" s="38" t="s">
        <v>62</v>
      </c>
      <c r="E73" s="38" t="s">
        <v>62</v>
      </c>
      <c r="F73" s="38" t="s">
        <v>10</v>
      </c>
      <c r="G73" s="36" t="s">
        <v>11</v>
      </c>
      <c r="H73" s="38" t="s">
        <v>15</v>
      </c>
      <c r="I73" s="157">
        <v>407</v>
      </c>
      <c r="J73" t="s">
        <v>4035</v>
      </c>
    </row>
    <row r="74" spans="1:10" x14ac:dyDescent="0.25">
      <c r="A74" s="37" t="str">
        <f>C74&amp;"-"&amp;D74&amp;"-"&amp;E74&amp;"-"&amp;F74&amp;"-"&amp;CATALOGO[[#This Row],[Sub cuenta 3]]</f>
        <v>I-05-05-02-00</v>
      </c>
      <c r="B74" s="37" t="s">
        <v>8</v>
      </c>
      <c r="C74" s="37" t="s">
        <v>9</v>
      </c>
      <c r="D74" s="38" t="s">
        <v>62</v>
      </c>
      <c r="E74" s="38" t="s">
        <v>62</v>
      </c>
      <c r="F74" s="38" t="s">
        <v>17</v>
      </c>
      <c r="G74" s="38" t="s">
        <v>11</v>
      </c>
      <c r="H74" s="38" t="s">
        <v>15</v>
      </c>
      <c r="I74" s="157">
        <v>407</v>
      </c>
      <c r="J74" t="s">
        <v>4035</v>
      </c>
    </row>
    <row r="75" spans="1:10" x14ac:dyDescent="0.25">
      <c r="A75" s="37" t="str">
        <f>C75&amp;"-"&amp;D75&amp;"-"&amp;E75&amp;"-"&amp;F75&amp;"-"&amp;CATALOGO[[#This Row],[Sub cuenta 3]]</f>
        <v>I-05-05-03-00</v>
      </c>
      <c r="B75" s="37" t="s">
        <v>65</v>
      </c>
      <c r="C75" s="37" t="s">
        <v>9</v>
      </c>
      <c r="D75" s="38" t="s">
        <v>62</v>
      </c>
      <c r="E75" s="38" t="s">
        <v>62</v>
      </c>
      <c r="F75" s="38" t="s">
        <v>22</v>
      </c>
      <c r="G75" s="36" t="s">
        <v>11</v>
      </c>
      <c r="H75" s="38" t="s">
        <v>15</v>
      </c>
      <c r="I75" s="157">
        <v>407</v>
      </c>
      <c r="J75" t="s">
        <v>4035</v>
      </c>
    </row>
    <row r="76" spans="1:10" x14ac:dyDescent="0.25">
      <c r="A76" s="37" t="str">
        <f>C76&amp;"-"&amp;D76&amp;"-"&amp;E76&amp;"-"&amp;F76&amp;"-"&amp;CATALOGO[[#This Row],[Sub cuenta 3]]</f>
        <v>I-05-05-04-00</v>
      </c>
      <c r="B76" s="37" t="s">
        <v>66</v>
      </c>
      <c r="C76" s="37" t="s">
        <v>9</v>
      </c>
      <c r="D76" s="38" t="s">
        <v>62</v>
      </c>
      <c r="E76" s="38" t="s">
        <v>62</v>
      </c>
      <c r="F76" s="38" t="s">
        <v>26</v>
      </c>
      <c r="G76" s="38" t="s">
        <v>11</v>
      </c>
      <c r="H76" s="38" t="s">
        <v>15</v>
      </c>
      <c r="I76" s="157">
        <v>407</v>
      </c>
      <c r="J76" t="s">
        <v>4035</v>
      </c>
    </row>
    <row r="77" spans="1:10" x14ac:dyDescent="0.25">
      <c r="A77" s="37" t="str">
        <f>C77&amp;"-"&amp;D77&amp;"-"&amp;E77&amp;"-"&amp;F77&amp;"-"&amp;CATALOGO[[#This Row],[Sub cuenta 3]]</f>
        <v>I-05-05-05-00</v>
      </c>
      <c r="B77" s="37" t="s">
        <v>67</v>
      </c>
      <c r="C77" s="37" t="s">
        <v>9</v>
      </c>
      <c r="D77" s="38" t="s">
        <v>62</v>
      </c>
      <c r="E77" s="38" t="s">
        <v>62</v>
      </c>
      <c r="F77" s="38" t="s">
        <v>62</v>
      </c>
      <c r="G77" s="36" t="s">
        <v>11</v>
      </c>
      <c r="H77" s="38" t="s">
        <v>15</v>
      </c>
      <c r="I77" s="157">
        <v>407</v>
      </c>
      <c r="J77" t="s">
        <v>4035</v>
      </c>
    </row>
    <row r="78" spans="1:10" x14ac:dyDescent="0.25">
      <c r="A78" s="7" t="str">
        <f>C78&amp;"-"&amp;D78&amp;"-"&amp;E78&amp;"-"&amp;F78&amp;"-"&amp;CATALOGO[[#This Row],[Sub cuenta 3]]</f>
        <v>I-05-06-00-00</v>
      </c>
      <c r="B78" s="7" t="s">
        <v>72</v>
      </c>
      <c r="C78" s="37" t="s">
        <v>9</v>
      </c>
      <c r="D78" s="38" t="s">
        <v>62</v>
      </c>
      <c r="E78" s="38" t="s">
        <v>73</v>
      </c>
      <c r="F78" s="38" t="s">
        <v>11</v>
      </c>
      <c r="G78" s="38" t="s">
        <v>11</v>
      </c>
      <c r="H78" s="38" t="s">
        <v>12</v>
      </c>
      <c r="I78" s="157">
        <v>407</v>
      </c>
      <c r="J78" t="s">
        <v>4035</v>
      </c>
    </row>
    <row r="79" spans="1:10" x14ac:dyDescent="0.25">
      <c r="A79" s="37" t="str">
        <f>C79&amp;"-"&amp;D79&amp;"-"&amp;E79&amp;"-"&amp;F79&amp;"-"&amp;CATALOGO[[#This Row],[Sub cuenta 3]]</f>
        <v>I-05-06-01-00</v>
      </c>
      <c r="B79" s="37" t="s">
        <v>64</v>
      </c>
      <c r="C79" s="37" t="s">
        <v>9</v>
      </c>
      <c r="D79" s="38" t="s">
        <v>62</v>
      </c>
      <c r="E79" s="38" t="s">
        <v>73</v>
      </c>
      <c r="F79" s="38" t="s">
        <v>10</v>
      </c>
      <c r="G79" s="36" t="s">
        <v>11</v>
      </c>
      <c r="H79" s="38" t="s">
        <v>15</v>
      </c>
      <c r="I79" s="157">
        <v>407</v>
      </c>
      <c r="J79" t="s">
        <v>4035</v>
      </c>
    </row>
    <row r="80" spans="1:10" x14ac:dyDescent="0.25">
      <c r="A80" s="37" t="str">
        <f>C80&amp;"-"&amp;D80&amp;"-"&amp;E80&amp;"-"&amp;F80&amp;"-"&amp;CATALOGO[[#This Row],[Sub cuenta 3]]</f>
        <v>I-05-06-02-00</v>
      </c>
      <c r="B80" s="37" t="s">
        <v>8</v>
      </c>
      <c r="C80" s="37" t="s">
        <v>9</v>
      </c>
      <c r="D80" s="38" t="s">
        <v>62</v>
      </c>
      <c r="E80" s="38" t="s">
        <v>73</v>
      </c>
      <c r="F80" s="38" t="s">
        <v>17</v>
      </c>
      <c r="G80" s="38" t="s">
        <v>11</v>
      </c>
      <c r="H80" s="38" t="s">
        <v>15</v>
      </c>
      <c r="I80" s="157">
        <v>407</v>
      </c>
      <c r="J80" t="s">
        <v>4035</v>
      </c>
    </row>
    <row r="81" spans="1:10" x14ac:dyDescent="0.25">
      <c r="A81" s="37" t="str">
        <f>C81&amp;"-"&amp;D81&amp;"-"&amp;E81&amp;"-"&amp;F81&amp;"-"&amp;CATALOGO[[#This Row],[Sub cuenta 3]]</f>
        <v>I-05-06-03-00</v>
      </c>
      <c r="B81" s="37" t="s">
        <v>65</v>
      </c>
      <c r="C81" s="37" t="s">
        <v>9</v>
      </c>
      <c r="D81" s="38" t="s">
        <v>62</v>
      </c>
      <c r="E81" s="38" t="s">
        <v>73</v>
      </c>
      <c r="F81" s="38" t="s">
        <v>22</v>
      </c>
      <c r="G81" s="36" t="s">
        <v>11</v>
      </c>
      <c r="H81" s="38" t="s">
        <v>15</v>
      </c>
      <c r="I81" s="157">
        <v>407</v>
      </c>
      <c r="J81" t="s">
        <v>4035</v>
      </c>
    </row>
    <row r="82" spans="1:10" x14ac:dyDescent="0.25">
      <c r="A82" s="37" t="str">
        <f>C82&amp;"-"&amp;D82&amp;"-"&amp;E82&amp;"-"&amp;F82&amp;"-"&amp;CATALOGO[[#This Row],[Sub cuenta 3]]</f>
        <v>I-05-06-04-00</v>
      </c>
      <c r="B82" s="37" t="s">
        <v>66</v>
      </c>
      <c r="C82" s="37" t="s">
        <v>9</v>
      </c>
      <c r="D82" s="38" t="s">
        <v>62</v>
      </c>
      <c r="E82" s="38" t="s">
        <v>73</v>
      </c>
      <c r="F82" s="38" t="s">
        <v>26</v>
      </c>
      <c r="G82" s="38" t="s">
        <v>11</v>
      </c>
      <c r="H82" s="38" t="s">
        <v>15</v>
      </c>
      <c r="I82" s="157">
        <v>407</v>
      </c>
      <c r="J82" t="s">
        <v>4035</v>
      </c>
    </row>
    <row r="83" spans="1:10" x14ac:dyDescent="0.25">
      <c r="A83" s="37" t="str">
        <f>C83&amp;"-"&amp;D83&amp;"-"&amp;E83&amp;"-"&amp;F83&amp;"-"&amp;CATALOGO[[#This Row],[Sub cuenta 3]]</f>
        <v>I-05-06-05-00</v>
      </c>
      <c r="B83" s="37" t="s">
        <v>67</v>
      </c>
      <c r="C83" s="37" t="s">
        <v>9</v>
      </c>
      <c r="D83" s="38" t="s">
        <v>62</v>
      </c>
      <c r="E83" s="38" t="s">
        <v>73</v>
      </c>
      <c r="F83" s="38" t="s">
        <v>62</v>
      </c>
      <c r="G83" s="36" t="s">
        <v>11</v>
      </c>
      <c r="H83" s="38" t="s">
        <v>15</v>
      </c>
      <c r="I83" s="157">
        <v>407</v>
      </c>
      <c r="J83" t="s">
        <v>4035</v>
      </c>
    </row>
    <row r="84" spans="1:10" x14ac:dyDescent="0.25">
      <c r="A84" s="7" t="str">
        <f>C84&amp;"-"&amp;D84&amp;"-"&amp;E84&amp;"-"&amp;F84&amp;"-"&amp;CATALOGO[[#This Row],[Sub cuenta 3]]</f>
        <v>I-05-07-00-00</v>
      </c>
      <c r="B84" s="7" t="s">
        <v>74</v>
      </c>
      <c r="C84" s="37" t="s">
        <v>9</v>
      </c>
      <c r="D84" s="38" t="s">
        <v>62</v>
      </c>
      <c r="E84" s="38" t="s">
        <v>75</v>
      </c>
      <c r="F84" s="38" t="s">
        <v>11</v>
      </c>
      <c r="G84" s="38" t="s">
        <v>11</v>
      </c>
      <c r="H84" s="38" t="s">
        <v>12</v>
      </c>
      <c r="I84" s="157">
        <v>407</v>
      </c>
      <c r="J84" t="s">
        <v>4035</v>
      </c>
    </row>
    <row r="85" spans="1:10" x14ac:dyDescent="0.25">
      <c r="A85" s="37" t="str">
        <f>C85&amp;"-"&amp;D85&amp;"-"&amp;E85&amp;"-"&amp;F85&amp;"-"&amp;CATALOGO[[#This Row],[Sub cuenta 3]]</f>
        <v>I-05-07-01-00</v>
      </c>
      <c r="B85" s="37" t="s">
        <v>64</v>
      </c>
      <c r="C85" s="37" t="s">
        <v>9</v>
      </c>
      <c r="D85" s="38" t="s">
        <v>62</v>
      </c>
      <c r="E85" s="38" t="s">
        <v>75</v>
      </c>
      <c r="F85" s="38" t="s">
        <v>10</v>
      </c>
      <c r="G85" s="36" t="s">
        <v>11</v>
      </c>
      <c r="H85" s="38" t="s">
        <v>15</v>
      </c>
      <c r="I85" s="157">
        <v>407</v>
      </c>
      <c r="J85" t="s">
        <v>4035</v>
      </c>
    </row>
    <row r="86" spans="1:10" x14ac:dyDescent="0.25">
      <c r="A86" s="37" t="str">
        <f>C86&amp;"-"&amp;D86&amp;"-"&amp;E86&amp;"-"&amp;F86&amp;"-"&amp;CATALOGO[[#This Row],[Sub cuenta 3]]</f>
        <v>I-05-07-02-00</v>
      </c>
      <c r="B86" s="37" t="s">
        <v>8</v>
      </c>
      <c r="C86" s="37" t="s">
        <v>9</v>
      </c>
      <c r="D86" s="38" t="s">
        <v>62</v>
      </c>
      <c r="E86" s="38" t="s">
        <v>75</v>
      </c>
      <c r="F86" s="38" t="s">
        <v>17</v>
      </c>
      <c r="G86" s="38" t="s">
        <v>11</v>
      </c>
      <c r="H86" s="38" t="s">
        <v>15</v>
      </c>
      <c r="I86" s="157">
        <v>407</v>
      </c>
      <c r="J86" t="s">
        <v>4035</v>
      </c>
    </row>
    <row r="87" spans="1:10" x14ac:dyDescent="0.25">
      <c r="A87" s="37" t="str">
        <f>C87&amp;"-"&amp;D87&amp;"-"&amp;E87&amp;"-"&amp;F87&amp;"-"&amp;CATALOGO[[#This Row],[Sub cuenta 3]]</f>
        <v>I-05-07-03-00</v>
      </c>
      <c r="B87" s="37" t="s">
        <v>65</v>
      </c>
      <c r="C87" s="37" t="s">
        <v>9</v>
      </c>
      <c r="D87" s="38" t="s">
        <v>62</v>
      </c>
      <c r="E87" s="38" t="s">
        <v>75</v>
      </c>
      <c r="F87" s="38" t="s">
        <v>22</v>
      </c>
      <c r="G87" s="36" t="s">
        <v>11</v>
      </c>
      <c r="H87" s="38" t="s">
        <v>15</v>
      </c>
      <c r="I87" s="157">
        <v>407</v>
      </c>
      <c r="J87" t="s">
        <v>4035</v>
      </c>
    </row>
    <row r="88" spans="1:10" x14ac:dyDescent="0.25">
      <c r="A88" s="37" t="str">
        <f>C88&amp;"-"&amp;D88&amp;"-"&amp;E88&amp;"-"&amp;F88&amp;"-"&amp;CATALOGO[[#This Row],[Sub cuenta 3]]</f>
        <v>I-05-07-04-00</v>
      </c>
      <c r="B88" s="37" t="s">
        <v>66</v>
      </c>
      <c r="C88" s="37" t="s">
        <v>9</v>
      </c>
      <c r="D88" s="38" t="s">
        <v>62</v>
      </c>
      <c r="E88" s="38" t="s">
        <v>75</v>
      </c>
      <c r="F88" s="38" t="s">
        <v>26</v>
      </c>
      <c r="G88" s="38" t="s">
        <v>11</v>
      </c>
      <c r="H88" s="38" t="s">
        <v>15</v>
      </c>
      <c r="I88" s="157">
        <v>407</v>
      </c>
      <c r="J88" t="s">
        <v>4035</v>
      </c>
    </row>
    <row r="89" spans="1:10" x14ac:dyDescent="0.25">
      <c r="A89" s="37" t="str">
        <f>C89&amp;"-"&amp;D89&amp;"-"&amp;E89&amp;"-"&amp;F89&amp;"-"&amp;CATALOGO[[#This Row],[Sub cuenta 3]]</f>
        <v>I-05-07-05-00</v>
      </c>
      <c r="B89" s="37" t="s">
        <v>67</v>
      </c>
      <c r="C89" s="37" t="s">
        <v>9</v>
      </c>
      <c r="D89" s="38" t="s">
        <v>62</v>
      </c>
      <c r="E89" s="38" t="s">
        <v>75</v>
      </c>
      <c r="F89" s="38" t="s">
        <v>62</v>
      </c>
      <c r="G89" s="36" t="s">
        <v>11</v>
      </c>
      <c r="H89" s="38" t="s">
        <v>15</v>
      </c>
      <c r="I89" s="157">
        <v>407</v>
      </c>
      <c r="J89" t="s">
        <v>4035</v>
      </c>
    </row>
    <row r="90" spans="1:10" x14ac:dyDescent="0.25">
      <c r="A90" s="7" t="str">
        <f>C90&amp;"-"&amp;D90&amp;"-"&amp;E90&amp;"-"&amp;F90&amp;"-"&amp;CATALOGO[[#This Row],[Sub cuenta 3]]</f>
        <v>I-05-08-00-00</v>
      </c>
      <c r="B90" s="7" t="s">
        <v>76</v>
      </c>
      <c r="C90" s="37" t="s">
        <v>9</v>
      </c>
      <c r="D90" s="38" t="s">
        <v>62</v>
      </c>
      <c r="E90" s="38" t="s">
        <v>77</v>
      </c>
      <c r="F90" s="38" t="s">
        <v>11</v>
      </c>
      <c r="G90" s="38" t="s">
        <v>11</v>
      </c>
      <c r="H90" s="38" t="s">
        <v>12</v>
      </c>
      <c r="I90" s="157">
        <v>407</v>
      </c>
      <c r="J90" t="s">
        <v>4035</v>
      </c>
    </row>
    <row r="91" spans="1:10" x14ac:dyDescent="0.25">
      <c r="A91" s="37" t="str">
        <f>C91&amp;"-"&amp;D91&amp;"-"&amp;E91&amp;"-"&amp;F91&amp;"-"&amp;CATALOGO[[#This Row],[Sub cuenta 3]]</f>
        <v>I-05-08-01-00</v>
      </c>
      <c r="B91" s="37" t="s">
        <v>64</v>
      </c>
      <c r="C91" s="37" t="s">
        <v>9</v>
      </c>
      <c r="D91" s="38" t="s">
        <v>62</v>
      </c>
      <c r="E91" s="38" t="s">
        <v>77</v>
      </c>
      <c r="F91" s="38" t="s">
        <v>10</v>
      </c>
      <c r="G91" s="36" t="s">
        <v>11</v>
      </c>
      <c r="H91" s="38" t="s">
        <v>15</v>
      </c>
      <c r="I91" s="157">
        <v>407</v>
      </c>
      <c r="J91" t="s">
        <v>4035</v>
      </c>
    </row>
    <row r="92" spans="1:10" x14ac:dyDescent="0.25">
      <c r="A92" s="37" t="str">
        <f>C92&amp;"-"&amp;D92&amp;"-"&amp;E92&amp;"-"&amp;F92&amp;"-"&amp;CATALOGO[[#This Row],[Sub cuenta 3]]</f>
        <v>I-05-08-02-00</v>
      </c>
      <c r="B92" s="37" t="s">
        <v>8</v>
      </c>
      <c r="C92" s="37" t="s">
        <v>9</v>
      </c>
      <c r="D92" s="38" t="s">
        <v>62</v>
      </c>
      <c r="E92" s="38" t="s">
        <v>77</v>
      </c>
      <c r="F92" s="38" t="s">
        <v>17</v>
      </c>
      <c r="G92" s="38" t="s">
        <v>11</v>
      </c>
      <c r="H92" s="38" t="s">
        <v>15</v>
      </c>
      <c r="I92" s="157">
        <v>407</v>
      </c>
      <c r="J92" t="s">
        <v>4035</v>
      </c>
    </row>
    <row r="93" spans="1:10" x14ac:dyDescent="0.25">
      <c r="A93" s="37" t="str">
        <f>C93&amp;"-"&amp;D93&amp;"-"&amp;E93&amp;"-"&amp;F93&amp;"-"&amp;CATALOGO[[#This Row],[Sub cuenta 3]]</f>
        <v>I-05-08-03-00</v>
      </c>
      <c r="B93" s="37" t="s">
        <v>65</v>
      </c>
      <c r="C93" s="37" t="s">
        <v>9</v>
      </c>
      <c r="D93" s="38" t="s">
        <v>62</v>
      </c>
      <c r="E93" s="38" t="s">
        <v>77</v>
      </c>
      <c r="F93" s="38" t="s">
        <v>22</v>
      </c>
      <c r="G93" s="36" t="s">
        <v>11</v>
      </c>
      <c r="H93" s="38" t="s">
        <v>15</v>
      </c>
      <c r="I93" s="157">
        <v>407</v>
      </c>
      <c r="J93" t="s">
        <v>4035</v>
      </c>
    </row>
    <row r="94" spans="1:10" x14ac:dyDescent="0.25">
      <c r="A94" s="37" t="str">
        <f>C94&amp;"-"&amp;D94&amp;"-"&amp;E94&amp;"-"&amp;F94&amp;"-"&amp;CATALOGO[[#This Row],[Sub cuenta 3]]</f>
        <v>I-05-08-04-00</v>
      </c>
      <c r="B94" s="37" t="s">
        <v>66</v>
      </c>
      <c r="C94" s="37" t="s">
        <v>9</v>
      </c>
      <c r="D94" s="38" t="s">
        <v>62</v>
      </c>
      <c r="E94" s="38" t="s">
        <v>77</v>
      </c>
      <c r="F94" s="38" t="s">
        <v>26</v>
      </c>
      <c r="G94" s="38" t="s">
        <v>11</v>
      </c>
      <c r="H94" s="38" t="s">
        <v>15</v>
      </c>
      <c r="I94" s="157">
        <v>407</v>
      </c>
      <c r="J94" t="s">
        <v>4035</v>
      </c>
    </row>
    <row r="95" spans="1:10" x14ac:dyDescent="0.25">
      <c r="A95" s="37" t="str">
        <f>C95&amp;"-"&amp;D95&amp;"-"&amp;E95&amp;"-"&amp;F95&amp;"-"&amp;CATALOGO[[#This Row],[Sub cuenta 3]]</f>
        <v>I-05-08-05-00</v>
      </c>
      <c r="B95" s="37" t="s">
        <v>67</v>
      </c>
      <c r="C95" s="37" t="s">
        <v>9</v>
      </c>
      <c r="D95" s="38" t="s">
        <v>62</v>
      </c>
      <c r="E95" s="38" t="s">
        <v>77</v>
      </c>
      <c r="F95" s="38" t="s">
        <v>62</v>
      </c>
      <c r="G95" s="36" t="s">
        <v>11</v>
      </c>
      <c r="H95" s="38" t="s">
        <v>15</v>
      </c>
      <c r="I95" s="157">
        <v>407</v>
      </c>
      <c r="J95" t="s">
        <v>4035</v>
      </c>
    </row>
    <row r="96" spans="1:10" s="7" customFormat="1" x14ac:dyDescent="0.25">
      <c r="A96" s="7" t="str">
        <f>C96&amp;"-"&amp;D96&amp;"-"&amp;E96&amp;"-"&amp;F96&amp;"-"&amp;CATALOGO[[#This Row],[Sub cuenta 3]]</f>
        <v>I-05-09-00-00</v>
      </c>
      <c r="B96" s="159" t="s">
        <v>78</v>
      </c>
      <c r="C96" s="7" t="s">
        <v>9</v>
      </c>
      <c r="D96" s="70" t="s">
        <v>62</v>
      </c>
      <c r="E96" s="70" t="s">
        <v>79</v>
      </c>
      <c r="F96" s="70" t="s">
        <v>11</v>
      </c>
      <c r="G96" s="70" t="s">
        <v>11</v>
      </c>
      <c r="H96" s="70" t="s">
        <v>12</v>
      </c>
      <c r="I96" s="157">
        <v>407</v>
      </c>
      <c r="J96" t="s">
        <v>4035</v>
      </c>
    </row>
    <row r="97" spans="1:10" x14ac:dyDescent="0.25">
      <c r="A97" s="37" t="str">
        <f>C97&amp;"-"&amp;D97&amp;"-"&amp;E97&amp;"-"&amp;F97&amp;"-"&amp;CATALOGO[[#This Row],[Sub cuenta 3]]</f>
        <v>I-05-09-01-00</v>
      </c>
      <c r="B97" s="37" t="s">
        <v>64</v>
      </c>
      <c r="C97" s="37" t="s">
        <v>9</v>
      </c>
      <c r="D97" s="38" t="s">
        <v>62</v>
      </c>
      <c r="E97" s="38" t="s">
        <v>79</v>
      </c>
      <c r="F97" s="38" t="s">
        <v>10</v>
      </c>
      <c r="G97" s="36" t="s">
        <v>11</v>
      </c>
      <c r="H97" s="38" t="s">
        <v>15</v>
      </c>
      <c r="I97" s="157">
        <v>407</v>
      </c>
      <c r="J97" t="s">
        <v>4035</v>
      </c>
    </row>
    <row r="98" spans="1:10" x14ac:dyDescent="0.25">
      <c r="A98" s="37" t="str">
        <f>C98&amp;"-"&amp;D98&amp;"-"&amp;E98&amp;"-"&amp;F98&amp;"-"&amp;CATALOGO[[#This Row],[Sub cuenta 3]]</f>
        <v>I-05-09-02-00</v>
      </c>
      <c r="B98" s="37" t="s">
        <v>8</v>
      </c>
      <c r="C98" s="37" t="s">
        <v>9</v>
      </c>
      <c r="D98" s="38" t="s">
        <v>62</v>
      </c>
      <c r="E98" s="38" t="s">
        <v>79</v>
      </c>
      <c r="F98" s="38" t="s">
        <v>17</v>
      </c>
      <c r="G98" s="38" t="s">
        <v>11</v>
      </c>
      <c r="H98" s="38" t="s">
        <v>15</v>
      </c>
      <c r="I98" s="157">
        <v>407</v>
      </c>
      <c r="J98" t="s">
        <v>4035</v>
      </c>
    </row>
    <row r="99" spans="1:10" x14ac:dyDescent="0.25">
      <c r="A99" s="37" t="str">
        <f>C99&amp;"-"&amp;D99&amp;"-"&amp;E99&amp;"-"&amp;F99&amp;"-"&amp;CATALOGO[[#This Row],[Sub cuenta 3]]</f>
        <v>I-05-09-03-00</v>
      </c>
      <c r="B99" s="37" t="s">
        <v>65</v>
      </c>
      <c r="C99" s="37" t="s">
        <v>9</v>
      </c>
      <c r="D99" s="38" t="s">
        <v>62</v>
      </c>
      <c r="E99" s="38" t="s">
        <v>79</v>
      </c>
      <c r="F99" s="38" t="s">
        <v>22</v>
      </c>
      <c r="G99" s="36" t="s">
        <v>11</v>
      </c>
      <c r="H99" s="38" t="s">
        <v>15</v>
      </c>
      <c r="I99" s="157">
        <v>407</v>
      </c>
      <c r="J99" t="s">
        <v>4035</v>
      </c>
    </row>
    <row r="100" spans="1:10" x14ac:dyDescent="0.25">
      <c r="A100" s="37" t="str">
        <f>C100&amp;"-"&amp;D100&amp;"-"&amp;E100&amp;"-"&amp;F100&amp;"-"&amp;CATALOGO[[#This Row],[Sub cuenta 3]]</f>
        <v>I-05-09-04-00</v>
      </c>
      <c r="B100" s="37" t="s">
        <v>66</v>
      </c>
      <c r="C100" s="37" t="s">
        <v>9</v>
      </c>
      <c r="D100" s="38" t="s">
        <v>62</v>
      </c>
      <c r="E100" s="38" t="s">
        <v>79</v>
      </c>
      <c r="F100" s="38" t="s">
        <v>26</v>
      </c>
      <c r="G100" s="38" t="s">
        <v>11</v>
      </c>
      <c r="H100" s="38" t="s">
        <v>15</v>
      </c>
      <c r="I100" s="157">
        <v>407</v>
      </c>
      <c r="J100" t="s">
        <v>4035</v>
      </c>
    </row>
    <row r="101" spans="1:10" x14ac:dyDescent="0.25">
      <c r="A101" s="37" t="str">
        <f>C101&amp;"-"&amp;D101&amp;"-"&amp;E101&amp;"-"&amp;F101&amp;"-"&amp;CATALOGO[[#This Row],[Sub cuenta 3]]</f>
        <v>I-05-09-05-00</v>
      </c>
      <c r="B101" s="37" t="s">
        <v>67</v>
      </c>
      <c r="C101" s="37" t="s">
        <v>9</v>
      </c>
      <c r="D101" s="38" t="s">
        <v>62</v>
      </c>
      <c r="E101" s="38" t="s">
        <v>79</v>
      </c>
      <c r="F101" s="38" t="s">
        <v>62</v>
      </c>
      <c r="G101" s="36" t="s">
        <v>11</v>
      </c>
      <c r="H101" s="38" t="s">
        <v>15</v>
      </c>
      <c r="I101" s="157">
        <v>407</v>
      </c>
      <c r="J101" t="s">
        <v>4035</v>
      </c>
    </row>
    <row r="102" spans="1:10" x14ac:dyDescent="0.25">
      <c r="A102" s="7" t="str">
        <f>C102&amp;"-"&amp;D102&amp;"-"&amp;E102&amp;"-"&amp;F102&amp;"-"&amp;CATALOGO[[#This Row],[Sub cuenta 3]]</f>
        <v>I-05-10-00-00</v>
      </c>
      <c r="B102" s="7" t="s">
        <v>78</v>
      </c>
      <c r="C102" s="37" t="s">
        <v>9</v>
      </c>
      <c r="D102" s="38" t="s">
        <v>62</v>
      </c>
      <c r="E102" s="38" t="s">
        <v>80</v>
      </c>
      <c r="F102" s="38" t="s">
        <v>11</v>
      </c>
      <c r="G102" s="38" t="s">
        <v>11</v>
      </c>
      <c r="H102" s="38" t="s">
        <v>12</v>
      </c>
      <c r="I102" s="157">
        <v>407</v>
      </c>
      <c r="J102" t="s">
        <v>4035</v>
      </c>
    </row>
    <row r="103" spans="1:10" x14ac:dyDescent="0.25">
      <c r="A103" s="37" t="str">
        <f>C103&amp;"-"&amp;D103&amp;"-"&amp;E103&amp;"-"&amp;F103&amp;"-"&amp;CATALOGO[[#This Row],[Sub cuenta 3]]</f>
        <v>I-05-10-01-00</v>
      </c>
      <c r="B103" s="37" t="s">
        <v>64</v>
      </c>
      <c r="C103" s="37" t="s">
        <v>9</v>
      </c>
      <c r="D103" s="38" t="s">
        <v>62</v>
      </c>
      <c r="E103" s="38" t="s">
        <v>80</v>
      </c>
      <c r="F103" s="38" t="s">
        <v>10</v>
      </c>
      <c r="G103" s="36" t="s">
        <v>11</v>
      </c>
      <c r="H103" s="38" t="s">
        <v>15</v>
      </c>
      <c r="I103" s="157">
        <v>407</v>
      </c>
      <c r="J103" t="s">
        <v>4035</v>
      </c>
    </row>
    <row r="104" spans="1:10" x14ac:dyDescent="0.25">
      <c r="A104" s="37" t="str">
        <f>C104&amp;"-"&amp;D104&amp;"-"&amp;E104&amp;"-"&amp;F104&amp;"-"&amp;CATALOGO[[#This Row],[Sub cuenta 3]]</f>
        <v>I-05-10-02-00</v>
      </c>
      <c r="B104" s="37" t="s">
        <v>8</v>
      </c>
      <c r="C104" s="37" t="s">
        <v>9</v>
      </c>
      <c r="D104" s="38" t="s">
        <v>62</v>
      </c>
      <c r="E104" s="38" t="s">
        <v>80</v>
      </c>
      <c r="F104" s="38" t="s">
        <v>17</v>
      </c>
      <c r="G104" s="38" t="s">
        <v>11</v>
      </c>
      <c r="H104" s="38" t="s">
        <v>15</v>
      </c>
      <c r="I104" s="157">
        <v>407</v>
      </c>
      <c r="J104" t="s">
        <v>4035</v>
      </c>
    </row>
    <row r="105" spans="1:10" x14ac:dyDescent="0.25">
      <c r="A105" s="37" t="str">
        <f>C105&amp;"-"&amp;D105&amp;"-"&amp;E105&amp;"-"&amp;F105&amp;"-"&amp;CATALOGO[[#This Row],[Sub cuenta 3]]</f>
        <v>I-05-10-03-00</v>
      </c>
      <c r="B105" s="37" t="s">
        <v>65</v>
      </c>
      <c r="C105" s="37" t="s">
        <v>9</v>
      </c>
      <c r="D105" s="38" t="s">
        <v>62</v>
      </c>
      <c r="E105" s="38" t="s">
        <v>80</v>
      </c>
      <c r="F105" s="38" t="s">
        <v>22</v>
      </c>
      <c r="G105" s="36" t="s">
        <v>11</v>
      </c>
      <c r="H105" s="38" t="s">
        <v>15</v>
      </c>
      <c r="I105" s="157">
        <v>407</v>
      </c>
      <c r="J105" t="s">
        <v>4035</v>
      </c>
    </row>
    <row r="106" spans="1:10" x14ac:dyDescent="0.25">
      <c r="A106" s="37" t="str">
        <f>C106&amp;"-"&amp;D106&amp;"-"&amp;E106&amp;"-"&amp;F106&amp;"-"&amp;CATALOGO[[#This Row],[Sub cuenta 3]]</f>
        <v>I-05-10-04-00</v>
      </c>
      <c r="B106" s="37" t="s">
        <v>66</v>
      </c>
      <c r="C106" s="37" t="s">
        <v>9</v>
      </c>
      <c r="D106" s="38" t="s">
        <v>62</v>
      </c>
      <c r="E106" s="38" t="s">
        <v>80</v>
      </c>
      <c r="F106" s="38" t="s">
        <v>26</v>
      </c>
      <c r="G106" s="38" t="s">
        <v>11</v>
      </c>
      <c r="H106" s="38" t="s">
        <v>15</v>
      </c>
      <c r="I106" s="157">
        <v>407</v>
      </c>
      <c r="J106" t="s">
        <v>4035</v>
      </c>
    </row>
    <row r="107" spans="1:10" x14ac:dyDescent="0.25">
      <c r="A107" s="37" t="str">
        <f>C107&amp;"-"&amp;D107&amp;"-"&amp;E107&amp;"-"&amp;F107&amp;"-"&amp;CATALOGO[[#This Row],[Sub cuenta 3]]</f>
        <v>I-05-10-05-00</v>
      </c>
      <c r="B107" s="37" t="s">
        <v>67</v>
      </c>
      <c r="C107" s="37" t="s">
        <v>9</v>
      </c>
      <c r="D107" s="38" t="s">
        <v>62</v>
      </c>
      <c r="E107" s="38" t="s">
        <v>80</v>
      </c>
      <c r="F107" s="38" t="s">
        <v>62</v>
      </c>
      <c r="G107" s="36" t="s">
        <v>11</v>
      </c>
      <c r="H107" s="38" t="s">
        <v>15</v>
      </c>
      <c r="I107" s="157">
        <v>407</v>
      </c>
      <c r="J107" t="s">
        <v>4035</v>
      </c>
    </row>
    <row r="108" spans="1:10" x14ac:dyDescent="0.25">
      <c r="A108" s="39" t="str">
        <f>C108&amp;"-"&amp;D108&amp;"-"&amp;E108&amp;"-"&amp;F108&amp;"-"&amp;CATALOGO[[#This Row],[Sub cuenta 3]]</f>
        <v>I-05-11-00-00</v>
      </c>
      <c r="B108" s="39" t="s">
        <v>81</v>
      </c>
      <c r="C108" s="37" t="s">
        <v>9</v>
      </c>
      <c r="D108" s="38" t="s">
        <v>62</v>
      </c>
      <c r="E108" s="38" t="s">
        <v>82</v>
      </c>
      <c r="F108" s="38" t="s">
        <v>11</v>
      </c>
      <c r="G108" s="38" t="s">
        <v>11</v>
      </c>
      <c r="H108" s="38" t="s">
        <v>12</v>
      </c>
      <c r="I108" s="157">
        <v>407</v>
      </c>
      <c r="J108" t="s">
        <v>4035</v>
      </c>
    </row>
    <row r="109" spans="1:10" x14ac:dyDescent="0.25">
      <c r="A109" s="37" t="str">
        <f>C109&amp;"-"&amp;D109&amp;"-"&amp;E109&amp;"-"&amp;F109&amp;"-"&amp;CATALOGO[[#This Row],[Sub cuenta 3]]</f>
        <v>I-05-11-01-00</v>
      </c>
      <c r="B109" s="37" t="s">
        <v>64</v>
      </c>
      <c r="C109" s="37" t="s">
        <v>9</v>
      </c>
      <c r="D109" s="38" t="s">
        <v>62</v>
      </c>
      <c r="E109" s="38" t="s">
        <v>82</v>
      </c>
      <c r="F109" s="38" t="s">
        <v>10</v>
      </c>
      <c r="G109" s="38" t="s">
        <v>11</v>
      </c>
      <c r="H109" s="38" t="s">
        <v>15</v>
      </c>
      <c r="I109" s="157">
        <v>407</v>
      </c>
      <c r="J109" t="s">
        <v>4035</v>
      </c>
    </row>
    <row r="110" spans="1:10" x14ac:dyDescent="0.25">
      <c r="A110" s="37" t="str">
        <f>C110&amp;"-"&amp;D110&amp;"-"&amp;E110&amp;"-"&amp;F110&amp;"-"&amp;CATALOGO[[#This Row],[Sub cuenta 3]]</f>
        <v>I-05-11-02-00</v>
      </c>
      <c r="B110" s="37" t="s">
        <v>8</v>
      </c>
      <c r="C110" s="37" t="s">
        <v>9</v>
      </c>
      <c r="D110" s="38" t="s">
        <v>62</v>
      </c>
      <c r="E110" s="38" t="s">
        <v>82</v>
      </c>
      <c r="F110" s="38" t="s">
        <v>17</v>
      </c>
      <c r="G110" s="38" t="s">
        <v>11</v>
      </c>
      <c r="H110" s="38" t="s">
        <v>15</v>
      </c>
      <c r="I110" s="157">
        <v>407</v>
      </c>
      <c r="J110" t="s">
        <v>4035</v>
      </c>
    </row>
    <row r="111" spans="1:10" x14ac:dyDescent="0.25">
      <c r="A111" s="37" t="str">
        <f>C111&amp;"-"&amp;D111&amp;"-"&amp;E111&amp;"-"&amp;F111&amp;"-"&amp;CATALOGO[[#This Row],[Sub cuenta 3]]</f>
        <v>I-05-11-03-00</v>
      </c>
      <c r="B111" s="37" t="s">
        <v>65</v>
      </c>
      <c r="C111" s="37" t="s">
        <v>9</v>
      </c>
      <c r="D111" s="38" t="s">
        <v>62</v>
      </c>
      <c r="E111" s="38" t="s">
        <v>82</v>
      </c>
      <c r="F111" s="38" t="s">
        <v>22</v>
      </c>
      <c r="G111" s="38" t="s">
        <v>11</v>
      </c>
      <c r="H111" s="38" t="s">
        <v>15</v>
      </c>
      <c r="I111" s="157">
        <v>407</v>
      </c>
      <c r="J111" t="s">
        <v>4035</v>
      </c>
    </row>
    <row r="112" spans="1:10" x14ac:dyDescent="0.25">
      <c r="A112" s="37" t="str">
        <f>C112&amp;"-"&amp;D112&amp;"-"&amp;E112&amp;"-"&amp;F112&amp;"-"&amp;CATALOGO[[#This Row],[Sub cuenta 3]]</f>
        <v>I-05-11-04-00</v>
      </c>
      <c r="B112" s="37" t="s">
        <v>66</v>
      </c>
      <c r="C112" s="37" t="s">
        <v>9</v>
      </c>
      <c r="D112" s="38" t="s">
        <v>62</v>
      </c>
      <c r="E112" s="38" t="s">
        <v>82</v>
      </c>
      <c r="F112" s="38" t="s">
        <v>26</v>
      </c>
      <c r="G112" s="38" t="s">
        <v>11</v>
      </c>
      <c r="H112" s="38" t="s">
        <v>15</v>
      </c>
      <c r="I112" s="157">
        <v>407</v>
      </c>
      <c r="J112" t="s">
        <v>4035</v>
      </c>
    </row>
    <row r="113" spans="1:10" x14ac:dyDescent="0.25">
      <c r="A113" s="37" t="str">
        <f>C113&amp;"-"&amp;D113&amp;"-"&amp;E113&amp;"-"&amp;F113&amp;"-"&amp;CATALOGO[[#This Row],[Sub cuenta 3]]</f>
        <v>I-05-11-05-00</v>
      </c>
      <c r="B113" s="37" t="s">
        <v>67</v>
      </c>
      <c r="C113" s="37" t="s">
        <v>9</v>
      </c>
      <c r="D113" s="38" t="s">
        <v>62</v>
      </c>
      <c r="E113" s="38" t="s">
        <v>82</v>
      </c>
      <c r="F113" s="38" t="s">
        <v>62</v>
      </c>
      <c r="G113" s="38" t="s">
        <v>11</v>
      </c>
      <c r="H113" s="38" t="s">
        <v>15</v>
      </c>
      <c r="I113" s="157">
        <v>407</v>
      </c>
      <c r="J113" t="s">
        <v>4035</v>
      </c>
    </row>
    <row r="114" spans="1:10" x14ac:dyDescent="0.25">
      <c r="A114" s="37" t="str">
        <f>C114&amp;"-"&amp;D114&amp;"-"&amp;E114&amp;"-"&amp;F114&amp;"-"&amp;CATALOGO[[#This Row],[Sub cuenta 3]]</f>
        <v>I-05-11-06-00</v>
      </c>
      <c r="B114" s="37" t="s">
        <v>83</v>
      </c>
      <c r="C114" s="37" t="s">
        <v>9</v>
      </c>
      <c r="D114" s="38" t="s">
        <v>62</v>
      </c>
      <c r="E114" s="38" t="s">
        <v>82</v>
      </c>
      <c r="F114" s="38" t="s">
        <v>73</v>
      </c>
      <c r="G114" s="38" t="s">
        <v>11</v>
      </c>
      <c r="H114" s="38" t="s">
        <v>84</v>
      </c>
      <c r="I114" s="157">
        <v>407</v>
      </c>
      <c r="J114" t="s">
        <v>4035</v>
      </c>
    </row>
    <row r="115" spans="1:10" x14ac:dyDescent="0.25">
      <c r="A115" s="37" t="str">
        <f>C115&amp;"-"&amp;D115&amp;"-"&amp;E115&amp;"-"&amp;F115&amp;"-"&amp;CATALOGO[[#This Row],[Sub cuenta 3]]</f>
        <v>I-05-11-06-01</v>
      </c>
      <c r="B115" s="37" t="s">
        <v>85</v>
      </c>
      <c r="C115" s="37" t="s">
        <v>9</v>
      </c>
      <c r="D115" s="38" t="s">
        <v>62</v>
      </c>
      <c r="E115" s="38" t="s">
        <v>82</v>
      </c>
      <c r="F115" s="38" t="s">
        <v>73</v>
      </c>
      <c r="G115" s="38" t="s">
        <v>10</v>
      </c>
      <c r="H115" s="38" t="s">
        <v>15</v>
      </c>
      <c r="I115" s="157">
        <v>407</v>
      </c>
      <c r="J115" t="s">
        <v>4035</v>
      </c>
    </row>
    <row r="116" spans="1:10" x14ac:dyDescent="0.25">
      <c r="A116" s="37" t="str">
        <f>C116&amp;"-"&amp;D116&amp;"-"&amp;E116&amp;"-"&amp;F116&amp;"-"&amp;CATALOGO[[#This Row],[Sub cuenta 3]]</f>
        <v>I-05-11-06-02</v>
      </c>
      <c r="B116" s="37" t="s">
        <v>86</v>
      </c>
      <c r="C116" s="37" t="s">
        <v>9</v>
      </c>
      <c r="D116" s="38" t="s">
        <v>62</v>
      </c>
      <c r="E116" s="38" t="s">
        <v>82</v>
      </c>
      <c r="F116" s="38" t="s">
        <v>73</v>
      </c>
      <c r="G116" s="38" t="s">
        <v>17</v>
      </c>
      <c r="H116" s="38" t="s">
        <v>15</v>
      </c>
      <c r="I116" s="157">
        <v>407</v>
      </c>
      <c r="J116" t="s">
        <v>4035</v>
      </c>
    </row>
    <row r="117" spans="1:10" x14ac:dyDescent="0.25">
      <c r="A117" s="37" t="str">
        <f>C117&amp;"-"&amp;D117&amp;"-"&amp;E117&amp;"-"&amp;F117&amp;"-"&amp;CATALOGO[[#This Row],[Sub cuenta 3]]</f>
        <v>I-05-12-00-00</v>
      </c>
      <c r="B117" s="37" t="s">
        <v>81</v>
      </c>
      <c r="C117" s="37" t="s">
        <v>9</v>
      </c>
      <c r="D117" s="38" t="s">
        <v>62</v>
      </c>
      <c r="E117" s="38" t="s">
        <v>87</v>
      </c>
      <c r="F117" s="38" t="s">
        <v>11</v>
      </c>
      <c r="G117" s="38" t="s">
        <v>11</v>
      </c>
      <c r="H117" s="38" t="s">
        <v>15</v>
      </c>
      <c r="I117" s="157">
        <v>407</v>
      </c>
      <c r="J117" t="s">
        <v>4035</v>
      </c>
    </row>
    <row r="118" spans="1:10" x14ac:dyDescent="0.25">
      <c r="A118" s="37" t="str">
        <f>C118&amp;"-"&amp;D118&amp;"-"&amp;E118&amp;"-"&amp;F118&amp;"-"&amp;CATALOGO[[#This Row],[Sub cuenta 3]]</f>
        <v>I-05-13-00-00</v>
      </c>
      <c r="B118" s="37" t="s">
        <v>88</v>
      </c>
      <c r="C118" s="37" t="s">
        <v>9</v>
      </c>
      <c r="D118" s="38" t="s">
        <v>62</v>
      </c>
      <c r="E118" s="38" t="s">
        <v>89</v>
      </c>
      <c r="F118" s="38" t="s">
        <v>11</v>
      </c>
      <c r="G118" s="38" t="s">
        <v>11</v>
      </c>
      <c r="H118" s="38" t="s">
        <v>15</v>
      </c>
      <c r="I118" s="157">
        <v>407</v>
      </c>
      <c r="J118" t="s">
        <v>4035</v>
      </c>
    </row>
    <row r="119" spans="1:10" x14ac:dyDescent="0.25">
      <c r="A119" s="37" t="str">
        <f>C119&amp;"-"&amp;D119&amp;"-"&amp;E119&amp;"-"&amp;F119&amp;"-"&amp;CATALOGO[[#This Row],[Sub cuenta 3]]</f>
        <v>I-05-14-00-00</v>
      </c>
      <c r="B119" s="37" t="s">
        <v>56</v>
      </c>
      <c r="C119" s="37" t="s">
        <v>9</v>
      </c>
      <c r="D119" s="38" t="s">
        <v>62</v>
      </c>
      <c r="E119" s="38" t="s">
        <v>90</v>
      </c>
      <c r="F119" s="38" t="s">
        <v>11</v>
      </c>
      <c r="G119" s="38" t="s">
        <v>11</v>
      </c>
      <c r="H119" s="38" t="s">
        <v>15</v>
      </c>
      <c r="I119" s="157">
        <v>407</v>
      </c>
      <c r="J119" t="s">
        <v>4035</v>
      </c>
    </row>
    <row r="120" spans="1:10" x14ac:dyDescent="0.25">
      <c r="A120" s="39" t="str">
        <f>C120&amp;"-"&amp;D120&amp;"-"&amp;E120&amp;"-"&amp;F120&amp;"-"&amp;CATALOGO[[#This Row],[Sub cuenta 3]]</f>
        <v>I-06-00-00-00</v>
      </c>
      <c r="B120" s="39" t="s">
        <v>66</v>
      </c>
      <c r="C120" s="35" t="s">
        <v>9</v>
      </c>
      <c r="D120" s="36" t="s">
        <v>73</v>
      </c>
      <c r="E120" s="36" t="s">
        <v>11</v>
      </c>
      <c r="F120" s="36" t="s">
        <v>11</v>
      </c>
      <c r="G120" s="38" t="s">
        <v>11</v>
      </c>
      <c r="H120" s="36" t="s">
        <v>12</v>
      </c>
      <c r="I120" s="157">
        <v>407</v>
      </c>
      <c r="J120" t="s">
        <v>4035</v>
      </c>
    </row>
    <row r="121" spans="1:10" x14ac:dyDescent="0.25">
      <c r="A121" s="37" t="str">
        <f>C121&amp;"-"&amp;D121&amp;"-"&amp;E121&amp;"-"&amp;F121&amp;"-"&amp;CATALOGO[[#This Row],[Sub cuenta 3]]</f>
        <v>I-06-01-00-00</v>
      </c>
      <c r="B121" s="37" t="s">
        <v>91</v>
      </c>
      <c r="C121" s="37" t="s">
        <v>9</v>
      </c>
      <c r="D121" s="38" t="s">
        <v>73</v>
      </c>
      <c r="E121" s="38" t="s">
        <v>10</v>
      </c>
      <c r="F121" s="38" t="s">
        <v>11</v>
      </c>
      <c r="G121" s="36" t="s">
        <v>11</v>
      </c>
      <c r="H121" s="38" t="s">
        <v>12</v>
      </c>
      <c r="I121" s="157">
        <v>407</v>
      </c>
      <c r="J121" t="s">
        <v>4035</v>
      </c>
    </row>
    <row r="122" spans="1:10" x14ac:dyDescent="0.25">
      <c r="A122" s="37" t="str">
        <f>C122&amp;"-"&amp;D122&amp;"-"&amp;E122&amp;"-"&amp;F122&amp;"-"&amp;CATALOGO[[#This Row],[Sub cuenta 3]]</f>
        <v>I-06-01-01-00</v>
      </c>
      <c r="B122" s="37" t="s">
        <v>92</v>
      </c>
      <c r="C122" s="37" t="s">
        <v>9</v>
      </c>
      <c r="D122" s="38" t="s">
        <v>73</v>
      </c>
      <c r="E122" s="38" t="s">
        <v>10</v>
      </c>
      <c r="F122" s="38" t="s">
        <v>10</v>
      </c>
      <c r="G122" s="38" t="s">
        <v>11</v>
      </c>
      <c r="H122" s="38" t="s">
        <v>15</v>
      </c>
      <c r="I122" s="157">
        <v>407</v>
      </c>
      <c r="J122" t="s">
        <v>4035</v>
      </c>
    </row>
    <row r="123" spans="1:10" x14ac:dyDescent="0.25">
      <c r="A123" s="37" t="str">
        <f>C123&amp;"-"&amp;D123&amp;"-"&amp;E123&amp;"-"&amp;F123&amp;"-"&amp;CATALOGO[[#This Row],[Sub cuenta 3]]</f>
        <v>I-06-01-02-00</v>
      </c>
      <c r="B123" s="37" t="s">
        <v>93</v>
      </c>
      <c r="C123" s="37" t="s">
        <v>9</v>
      </c>
      <c r="D123" s="38" t="s">
        <v>73</v>
      </c>
      <c r="E123" s="38" t="s">
        <v>10</v>
      </c>
      <c r="F123" s="38" t="s">
        <v>17</v>
      </c>
      <c r="G123" s="36" t="s">
        <v>11</v>
      </c>
      <c r="H123" s="38" t="s">
        <v>15</v>
      </c>
      <c r="I123" s="157">
        <v>407</v>
      </c>
      <c r="J123" t="s">
        <v>4035</v>
      </c>
    </row>
    <row r="124" spans="1:10" x14ac:dyDescent="0.25">
      <c r="A124" s="37" t="str">
        <f>C124&amp;"-"&amp;D124&amp;"-"&amp;E124&amp;"-"&amp;F124&amp;"-"&amp;CATALOGO[[#This Row],[Sub cuenta 3]]</f>
        <v>I-06-02-00-00</v>
      </c>
      <c r="B124" s="37" t="s">
        <v>94</v>
      </c>
      <c r="C124" s="37" t="s">
        <v>9</v>
      </c>
      <c r="D124" s="38" t="s">
        <v>73</v>
      </c>
      <c r="E124" s="38" t="s">
        <v>17</v>
      </c>
      <c r="F124" s="38" t="s">
        <v>11</v>
      </c>
      <c r="G124" s="38" t="s">
        <v>11</v>
      </c>
      <c r="H124" s="38" t="s">
        <v>12</v>
      </c>
      <c r="I124" s="157">
        <v>407</v>
      </c>
      <c r="J124" t="s">
        <v>4035</v>
      </c>
    </row>
    <row r="125" spans="1:10" x14ac:dyDescent="0.25">
      <c r="A125" s="37" t="str">
        <f>C125&amp;"-"&amp;D125&amp;"-"&amp;E125&amp;"-"&amp;F125&amp;"-"&amp;CATALOGO[[#This Row],[Sub cuenta 3]]</f>
        <v>I-06-02-01-00</v>
      </c>
      <c r="B125" s="37" t="s">
        <v>95</v>
      </c>
      <c r="C125" s="37" t="s">
        <v>9</v>
      </c>
      <c r="D125" s="38" t="s">
        <v>73</v>
      </c>
      <c r="E125" s="38" t="s">
        <v>17</v>
      </c>
      <c r="F125" s="38" t="s">
        <v>10</v>
      </c>
      <c r="G125" s="36" t="s">
        <v>11</v>
      </c>
      <c r="H125" s="38" t="s">
        <v>15</v>
      </c>
      <c r="I125" s="157">
        <v>407</v>
      </c>
      <c r="J125" t="s">
        <v>4035</v>
      </c>
    </row>
    <row r="126" spans="1:10" x14ac:dyDescent="0.25">
      <c r="A126" s="37" t="str">
        <f>C126&amp;"-"&amp;D126&amp;"-"&amp;E126&amp;"-"&amp;F126&amp;"-"&amp;CATALOGO[[#This Row],[Sub cuenta 3]]</f>
        <v>I-06-02-02-00</v>
      </c>
      <c r="B126" s="37" t="s">
        <v>96</v>
      </c>
      <c r="C126" s="37" t="s">
        <v>9</v>
      </c>
      <c r="D126" s="38" t="s">
        <v>73</v>
      </c>
      <c r="E126" s="38" t="s">
        <v>17</v>
      </c>
      <c r="F126" s="38" t="s">
        <v>17</v>
      </c>
      <c r="G126" s="38" t="s">
        <v>11</v>
      </c>
      <c r="H126" s="38" t="s">
        <v>15</v>
      </c>
      <c r="I126" s="157">
        <v>407</v>
      </c>
      <c r="J126" t="s">
        <v>4035</v>
      </c>
    </row>
    <row r="127" spans="1:10" x14ac:dyDescent="0.25">
      <c r="A127" s="37" t="str">
        <f>C127&amp;"-"&amp;D127&amp;"-"&amp;E127&amp;"-"&amp;F127&amp;"-"&amp;CATALOGO[[#This Row],[Sub cuenta 3]]</f>
        <v>I-06-03-00-00</v>
      </c>
      <c r="B127" s="37" t="s">
        <v>97</v>
      </c>
      <c r="C127" s="37" t="s">
        <v>9</v>
      </c>
      <c r="D127" s="38" t="s">
        <v>73</v>
      </c>
      <c r="E127" s="38" t="s">
        <v>22</v>
      </c>
      <c r="F127" s="38" t="s">
        <v>11</v>
      </c>
      <c r="G127" s="36" t="s">
        <v>11</v>
      </c>
      <c r="H127" s="38" t="s">
        <v>12</v>
      </c>
      <c r="I127" s="157">
        <v>407</v>
      </c>
      <c r="J127" t="s">
        <v>4035</v>
      </c>
    </row>
    <row r="128" spans="1:10" x14ac:dyDescent="0.25">
      <c r="A128" s="37" t="str">
        <f>C128&amp;"-"&amp;D128&amp;"-"&amp;E128&amp;"-"&amp;F128&amp;"-"&amp;CATALOGO[[#This Row],[Sub cuenta 3]]</f>
        <v>I-06-03-01-00</v>
      </c>
      <c r="B128" s="37" t="s">
        <v>98</v>
      </c>
      <c r="C128" s="37" t="s">
        <v>9</v>
      </c>
      <c r="D128" s="38" t="s">
        <v>73</v>
      </c>
      <c r="E128" s="38" t="s">
        <v>22</v>
      </c>
      <c r="F128" s="38" t="s">
        <v>10</v>
      </c>
      <c r="G128" s="38" t="s">
        <v>11</v>
      </c>
      <c r="H128" s="38" t="s">
        <v>15</v>
      </c>
      <c r="I128" s="157">
        <v>407</v>
      </c>
      <c r="J128" t="s">
        <v>4035</v>
      </c>
    </row>
    <row r="129" spans="1:10" x14ac:dyDescent="0.25">
      <c r="A129" s="37" t="str">
        <f>C129&amp;"-"&amp;D129&amp;"-"&amp;E129&amp;"-"&amp;F129&amp;"-"&amp;CATALOGO[[#This Row],[Sub cuenta 3]]</f>
        <v>I-06-03-02-00</v>
      </c>
      <c r="B129" s="37" t="s">
        <v>99</v>
      </c>
      <c r="C129" s="37" t="s">
        <v>9</v>
      </c>
      <c r="D129" s="38" t="s">
        <v>73</v>
      </c>
      <c r="E129" s="38" t="s">
        <v>22</v>
      </c>
      <c r="F129" s="38" t="s">
        <v>17</v>
      </c>
      <c r="G129" s="36" t="s">
        <v>11</v>
      </c>
      <c r="H129" s="38" t="s">
        <v>15</v>
      </c>
      <c r="I129" s="157">
        <v>407</v>
      </c>
      <c r="J129" t="s">
        <v>4035</v>
      </c>
    </row>
    <row r="130" spans="1:10" x14ac:dyDescent="0.25">
      <c r="A130" s="37" t="str">
        <f>C130&amp;"-"&amp;D130&amp;"-"&amp;E130&amp;"-"&amp;F130&amp;"-"&amp;CATALOGO[[#This Row],[Sub cuenta 3]]</f>
        <v>I-06-04-00-00</v>
      </c>
      <c r="B130" s="37" t="s">
        <v>100</v>
      </c>
      <c r="C130" s="37" t="s">
        <v>9</v>
      </c>
      <c r="D130" s="38" t="s">
        <v>73</v>
      </c>
      <c r="E130" s="38" t="s">
        <v>26</v>
      </c>
      <c r="F130" s="38" t="s">
        <v>11</v>
      </c>
      <c r="G130" s="38" t="s">
        <v>11</v>
      </c>
      <c r="H130" s="38" t="s">
        <v>12</v>
      </c>
      <c r="I130" s="157">
        <v>407</v>
      </c>
      <c r="J130" t="s">
        <v>4035</v>
      </c>
    </row>
    <row r="131" spans="1:10" x14ac:dyDescent="0.25">
      <c r="A131" s="37" t="str">
        <f>C131&amp;"-"&amp;D131&amp;"-"&amp;E131&amp;"-"&amp;F131&amp;"-"&amp;CATALOGO[[#This Row],[Sub cuenta 3]]</f>
        <v>I-06-04-01-00</v>
      </c>
      <c r="B131" s="37" t="s">
        <v>101</v>
      </c>
      <c r="C131" s="37" t="s">
        <v>9</v>
      </c>
      <c r="D131" s="38" t="s">
        <v>73</v>
      </c>
      <c r="E131" s="38" t="s">
        <v>26</v>
      </c>
      <c r="F131" s="38" t="s">
        <v>10</v>
      </c>
      <c r="G131" s="36" t="s">
        <v>11</v>
      </c>
      <c r="H131" s="38" t="s">
        <v>15</v>
      </c>
      <c r="I131" s="157">
        <v>407</v>
      </c>
      <c r="J131" t="s">
        <v>4035</v>
      </c>
    </row>
    <row r="132" spans="1:10" x14ac:dyDescent="0.25">
      <c r="A132" s="35" t="str">
        <f>C132&amp;"-"&amp;D132&amp;"-"&amp;E132&amp;"-"&amp;F132&amp;"-"&amp;CATALOGO[[#This Row],[Sub cuenta 3]]</f>
        <v>I-07-00-00-00</v>
      </c>
      <c r="B132" s="35" t="s">
        <v>102</v>
      </c>
      <c r="C132" s="35" t="s">
        <v>9</v>
      </c>
      <c r="D132" s="36" t="s">
        <v>75</v>
      </c>
      <c r="E132" s="36" t="s">
        <v>11</v>
      </c>
      <c r="F132" s="36" t="s">
        <v>11</v>
      </c>
      <c r="G132" s="36" t="s">
        <v>11</v>
      </c>
      <c r="H132" s="36" t="s">
        <v>12</v>
      </c>
      <c r="I132" s="157">
        <v>407</v>
      </c>
      <c r="J132" t="s">
        <v>4035</v>
      </c>
    </row>
    <row r="133" spans="1:10" x14ac:dyDescent="0.25">
      <c r="A133" s="37" t="str">
        <f>C133&amp;"-"&amp;D133&amp;"-"&amp;E133&amp;"-"&amp;F133&amp;"-"&amp;CATALOGO[[#This Row],[Sub cuenta 3]]</f>
        <v>I-07-01-00-00</v>
      </c>
      <c r="B133" s="37" t="s">
        <v>103</v>
      </c>
      <c r="C133" s="37" t="s">
        <v>9</v>
      </c>
      <c r="D133" s="38" t="s">
        <v>75</v>
      </c>
      <c r="E133" s="38" t="s">
        <v>10</v>
      </c>
      <c r="F133" s="38" t="s">
        <v>11</v>
      </c>
      <c r="G133" s="38" t="s">
        <v>11</v>
      </c>
      <c r="H133" s="38" t="s">
        <v>12</v>
      </c>
      <c r="I133" s="157">
        <v>407</v>
      </c>
      <c r="J133" t="s">
        <v>4035</v>
      </c>
    </row>
    <row r="134" spans="1:10" x14ac:dyDescent="0.25">
      <c r="A134" s="37" t="str">
        <f>C134&amp;"-"&amp;D134&amp;"-"&amp;E134&amp;"-"&amp;F134&amp;"-"&amp;CATALOGO[[#This Row],[Sub cuenta 3]]</f>
        <v>I-07-01-01-00</v>
      </c>
      <c r="B134" s="37" t="s">
        <v>104</v>
      </c>
      <c r="C134" s="37" t="s">
        <v>9</v>
      </c>
      <c r="D134" s="38" t="s">
        <v>75</v>
      </c>
      <c r="E134" s="38" t="s">
        <v>10</v>
      </c>
      <c r="F134" s="38" t="s">
        <v>10</v>
      </c>
      <c r="G134" s="36" t="s">
        <v>11</v>
      </c>
      <c r="H134" s="38" t="s">
        <v>15</v>
      </c>
      <c r="I134" s="157">
        <v>407</v>
      </c>
      <c r="J134" t="s">
        <v>4035</v>
      </c>
    </row>
    <row r="135" spans="1:10" x14ac:dyDescent="0.25">
      <c r="A135" s="37" t="str">
        <f>C135&amp;"-"&amp;D135&amp;"-"&amp;E135&amp;"-"&amp;F135&amp;"-"&amp;CATALOGO[[#This Row],[Sub cuenta 3]]</f>
        <v>I-07-01-02-00</v>
      </c>
      <c r="B135" s="37" t="s">
        <v>105</v>
      </c>
      <c r="C135" s="37" t="s">
        <v>9</v>
      </c>
      <c r="D135" s="38" t="s">
        <v>75</v>
      </c>
      <c r="E135" s="38" t="s">
        <v>10</v>
      </c>
      <c r="F135" s="38" t="s">
        <v>17</v>
      </c>
      <c r="G135" s="36" t="s">
        <v>11</v>
      </c>
      <c r="H135" s="38" t="s">
        <v>15</v>
      </c>
      <c r="I135" s="157">
        <v>407</v>
      </c>
      <c r="J135" t="s">
        <v>4035</v>
      </c>
    </row>
    <row r="136" spans="1:10" x14ac:dyDescent="0.25">
      <c r="A136" s="35" t="str">
        <f>C136&amp;"-"&amp;D136&amp;"-"&amp;E136&amp;"-"&amp;F136&amp;"-"&amp;CATALOGO[[#This Row],[Sub cuenta 3]]</f>
        <v>I-08-00-00-00</v>
      </c>
      <c r="B136" s="35" t="s">
        <v>83</v>
      </c>
      <c r="C136" s="35" t="s">
        <v>9</v>
      </c>
      <c r="D136" s="36" t="s">
        <v>77</v>
      </c>
      <c r="E136" s="36" t="s">
        <v>11</v>
      </c>
      <c r="F136" s="36" t="s">
        <v>11</v>
      </c>
      <c r="G136" s="38" t="s">
        <v>11</v>
      </c>
      <c r="H136" s="36" t="s">
        <v>12</v>
      </c>
      <c r="I136" s="157">
        <v>407</v>
      </c>
      <c r="J136" t="s">
        <v>4035</v>
      </c>
    </row>
    <row r="137" spans="1:10" x14ac:dyDescent="0.25">
      <c r="A137" s="37" t="str">
        <f>C137&amp;"-"&amp;D137&amp;"-"&amp;E137&amp;"-"&amp;F137&amp;"-"&amp;CATALOGO[[#This Row],[Sub cuenta 3]]</f>
        <v>I-08-01-00-00</v>
      </c>
      <c r="B137" s="37" t="s">
        <v>106</v>
      </c>
      <c r="C137" s="37" t="s">
        <v>9</v>
      </c>
      <c r="D137" s="38" t="s">
        <v>77</v>
      </c>
      <c r="E137" s="38" t="s">
        <v>10</v>
      </c>
      <c r="F137" s="38" t="s">
        <v>11</v>
      </c>
      <c r="G137" s="36" t="s">
        <v>11</v>
      </c>
      <c r="H137" s="38" t="s">
        <v>12</v>
      </c>
      <c r="I137" s="157">
        <v>407</v>
      </c>
      <c r="J137" t="s">
        <v>4035</v>
      </c>
    </row>
    <row r="138" spans="1:10" x14ac:dyDescent="0.25">
      <c r="A138" s="37" t="str">
        <f>C138&amp;"-"&amp;D138&amp;"-"&amp;E138&amp;"-"&amp;F138&amp;"-"&amp;CATALOGO[[#This Row],[Sub cuenta 3]]</f>
        <v>I-08-01-01-00</v>
      </c>
      <c r="B138" s="37" t="s">
        <v>86</v>
      </c>
      <c r="C138" s="37" t="s">
        <v>9</v>
      </c>
      <c r="D138" s="38" t="s">
        <v>77</v>
      </c>
      <c r="E138" s="38" t="s">
        <v>10</v>
      </c>
      <c r="F138" s="38" t="s">
        <v>10</v>
      </c>
      <c r="G138" s="38" t="s">
        <v>11</v>
      </c>
      <c r="H138" s="38" t="s">
        <v>15</v>
      </c>
      <c r="I138" s="157">
        <v>407</v>
      </c>
      <c r="J138" t="s">
        <v>4035</v>
      </c>
    </row>
    <row r="139" spans="1:10" x14ac:dyDescent="0.25">
      <c r="A139" s="37" t="str">
        <f>C139&amp;"-"&amp;D139&amp;"-"&amp;E139&amp;"-"&amp;F139&amp;"-"&amp;CATALOGO[[#This Row],[Sub cuenta 3]]</f>
        <v>I-08-01-02-00</v>
      </c>
      <c r="B139" s="37" t="s">
        <v>85</v>
      </c>
      <c r="C139" s="37" t="s">
        <v>9</v>
      </c>
      <c r="D139" s="38" t="s">
        <v>77</v>
      </c>
      <c r="E139" s="38" t="s">
        <v>10</v>
      </c>
      <c r="F139" s="38" t="s">
        <v>17</v>
      </c>
      <c r="G139" s="36" t="s">
        <v>11</v>
      </c>
      <c r="H139" s="38" t="s">
        <v>15</v>
      </c>
      <c r="I139" s="157">
        <v>407</v>
      </c>
      <c r="J139" t="s">
        <v>4035</v>
      </c>
    </row>
    <row r="140" spans="1:10" x14ac:dyDescent="0.25">
      <c r="A140" s="37" t="str">
        <f>C140&amp;"-"&amp;D140&amp;"-"&amp;E140&amp;"-"&amp;F140&amp;"-"&amp;CATALOGO[[#This Row],[Sub cuenta 3]]</f>
        <v>I-08-01-03-00</v>
      </c>
      <c r="B140" s="37" t="s">
        <v>107</v>
      </c>
      <c r="C140" s="37" t="s">
        <v>9</v>
      </c>
      <c r="D140" s="38" t="s">
        <v>77</v>
      </c>
      <c r="E140" s="38" t="s">
        <v>10</v>
      </c>
      <c r="F140" s="38" t="s">
        <v>22</v>
      </c>
      <c r="G140" s="38" t="s">
        <v>11</v>
      </c>
      <c r="H140" s="38" t="s">
        <v>15</v>
      </c>
      <c r="I140" s="157">
        <v>407</v>
      </c>
      <c r="J140" t="s">
        <v>4035</v>
      </c>
    </row>
    <row r="141" spans="1:10" x14ac:dyDescent="0.25">
      <c r="A141" s="37" t="str">
        <f>C141&amp;"-"&amp;D141&amp;"-"&amp;E141&amp;"-"&amp;F141&amp;"-"&amp;CATALOGO[[#This Row],[Sub cuenta 3]]</f>
        <v>I-08-01-04-00</v>
      </c>
      <c r="B141" s="37" t="s">
        <v>108</v>
      </c>
      <c r="C141" s="37" t="s">
        <v>9</v>
      </c>
      <c r="D141" s="38" t="s">
        <v>77</v>
      </c>
      <c r="E141" s="38" t="s">
        <v>10</v>
      </c>
      <c r="F141" s="38" t="s">
        <v>26</v>
      </c>
      <c r="G141" s="36" t="s">
        <v>11</v>
      </c>
      <c r="H141" s="38" t="s">
        <v>15</v>
      </c>
      <c r="I141" s="157">
        <v>407</v>
      </c>
      <c r="J141" t="s">
        <v>4035</v>
      </c>
    </row>
    <row r="142" spans="1:10" x14ac:dyDescent="0.25">
      <c r="A142" s="37" t="str">
        <f>C142&amp;"-"&amp;D142&amp;"-"&amp;E142&amp;"-"&amp;F142&amp;"-"&amp;CATALOGO[[#This Row],[Sub cuenta 3]]</f>
        <v>I-08-01-05-00</v>
      </c>
      <c r="B142" s="37" t="s">
        <v>109</v>
      </c>
      <c r="C142" s="37" t="s">
        <v>9</v>
      </c>
      <c r="D142" s="38" t="s">
        <v>77</v>
      </c>
      <c r="E142" s="38" t="s">
        <v>10</v>
      </c>
      <c r="F142" s="38" t="s">
        <v>62</v>
      </c>
      <c r="G142" s="38" t="s">
        <v>11</v>
      </c>
      <c r="H142" s="38" t="s">
        <v>15</v>
      </c>
      <c r="I142" s="157">
        <v>407</v>
      </c>
      <c r="J142" t="s">
        <v>4035</v>
      </c>
    </row>
    <row r="143" spans="1:10" x14ac:dyDescent="0.25">
      <c r="A143" s="37" t="str">
        <f>C143&amp;"-"&amp;D143&amp;"-"&amp;E143&amp;"-"&amp;F143&amp;"-"&amp;CATALOGO[[#This Row],[Sub cuenta 3]]</f>
        <v>I-08-01-06-00</v>
      </c>
      <c r="B143" s="37" t="s">
        <v>110</v>
      </c>
      <c r="C143" s="37" t="s">
        <v>9</v>
      </c>
      <c r="D143" s="38" t="s">
        <v>77</v>
      </c>
      <c r="E143" s="38" t="s">
        <v>10</v>
      </c>
      <c r="F143" s="38" t="s">
        <v>73</v>
      </c>
      <c r="G143" s="36" t="s">
        <v>11</v>
      </c>
      <c r="H143" s="38" t="s">
        <v>15</v>
      </c>
      <c r="I143" s="157">
        <v>407</v>
      </c>
      <c r="J143" t="s">
        <v>4035</v>
      </c>
    </row>
    <row r="144" spans="1:10" s="7" customFormat="1" x14ac:dyDescent="0.25">
      <c r="A144" s="37" t="str">
        <f>C144&amp;"-"&amp;D144&amp;"-"&amp;E144&amp;"-"&amp;F144&amp;"-"&amp;CATALOGO[[#This Row],[Sub cuenta 3]]</f>
        <v>I-08-01-07-00</v>
      </c>
      <c r="B144" s="37" t="s">
        <v>111</v>
      </c>
      <c r="C144" s="37" t="s">
        <v>9</v>
      </c>
      <c r="D144" s="38" t="s">
        <v>77</v>
      </c>
      <c r="E144" s="38" t="s">
        <v>10</v>
      </c>
      <c r="F144" s="38" t="s">
        <v>75</v>
      </c>
      <c r="G144" s="38" t="s">
        <v>11</v>
      </c>
      <c r="H144" s="38" t="s">
        <v>15</v>
      </c>
      <c r="I144" s="157">
        <v>407</v>
      </c>
      <c r="J144" t="s">
        <v>4035</v>
      </c>
    </row>
    <row r="145" spans="1:10" s="7" customFormat="1" x14ac:dyDescent="0.25">
      <c r="A145" s="37" t="str">
        <f>C145&amp;"-"&amp;D145&amp;"-"&amp;E145&amp;"-"&amp;F145&amp;"-"&amp;CATALOGO[[#This Row],[Sub cuenta 3]]</f>
        <v>I-08-01-08-00</v>
      </c>
      <c r="B145" s="37" t="s">
        <v>112</v>
      </c>
      <c r="C145" s="37" t="s">
        <v>9</v>
      </c>
      <c r="D145" s="38" t="s">
        <v>77</v>
      </c>
      <c r="E145" s="38" t="s">
        <v>10</v>
      </c>
      <c r="F145" s="38" t="s">
        <v>77</v>
      </c>
      <c r="G145" s="38" t="s">
        <v>11</v>
      </c>
      <c r="H145" s="38" t="s">
        <v>15</v>
      </c>
      <c r="I145" s="157">
        <v>407</v>
      </c>
      <c r="J145" t="s">
        <v>4035</v>
      </c>
    </row>
    <row r="146" spans="1:10" s="7" customFormat="1" x14ac:dyDescent="0.25">
      <c r="A146" s="35" t="str">
        <f>C146&amp;"-"&amp;D146&amp;"-"&amp;E146&amp;"-"&amp;F146&amp;"-"&amp;CATALOGO[[#This Row],[Sub cuenta 3]]</f>
        <v>E-01-00-00-00</v>
      </c>
      <c r="B146" s="35" t="s">
        <v>113</v>
      </c>
      <c r="C146" s="35" t="s">
        <v>114</v>
      </c>
      <c r="D146" s="36" t="s">
        <v>10</v>
      </c>
      <c r="E146" s="36" t="s">
        <v>11</v>
      </c>
      <c r="F146" s="36" t="s">
        <v>11</v>
      </c>
      <c r="G146" s="36" t="s">
        <v>11</v>
      </c>
      <c r="H146" s="36" t="s">
        <v>12</v>
      </c>
      <c r="I146" s="157">
        <v>407</v>
      </c>
      <c r="J146" t="s">
        <v>4035</v>
      </c>
    </row>
    <row r="147" spans="1:10" s="7" customFormat="1" x14ac:dyDescent="0.25">
      <c r="A147" s="37" t="str">
        <f>C147&amp;"-"&amp;D147&amp;"-"&amp;E147&amp;"-"&amp;F147&amp;"-"&amp;CATALOGO[[#This Row],[Sub cuenta 3]]</f>
        <v>E-01-01-00-00</v>
      </c>
      <c r="B147" s="37" t="s">
        <v>115</v>
      </c>
      <c r="C147" s="37" t="s">
        <v>114</v>
      </c>
      <c r="D147" s="38" t="s">
        <v>10</v>
      </c>
      <c r="E147" s="38" t="s">
        <v>10</v>
      </c>
      <c r="F147" s="38" t="s">
        <v>11</v>
      </c>
      <c r="G147" s="38" t="s">
        <v>11</v>
      </c>
      <c r="H147" s="38" t="s">
        <v>15</v>
      </c>
      <c r="I147" s="157">
        <v>407</v>
      </c>
      <c r="J147" t="s">
        <v>4035</v>
      </c>
    </row>
    <row r="148" spans="1:10" x14ac:dyDescent="0.25">
      <c r="A148" s="37" t="str">
        <f>C148&amp;"-"&amp;D148&amp;"-"&amp;E148&amp;"-"&amp;F148&amp;"-"&amp;CATALOGO[[#This Row],[Sub cuenta 3]]</f>
        <v>E-01-02-00-00</v>
      </c>
      <c r="B148" s="37" t="s">
        <v>116</v>
      </c>
      <c r="C148" s="37" t="s">
        <v>114</v>
      </c>
      <c r="D148" s="38" t="s">
        <v>10</v>
      </c>
      <c r="E148" s="38" t="s">
        <v>17</v>
      </c>
      <c r="F148" s="38" t="s">
        <v>11</v>
      </c>
      <c r="G148" s="36" t="s">
        <v>11</v>
      </c>
      <c r="H148" s="38" t="s">
        <v>15</v>
      </c>
      <c r="I148" s="157">
        <v>407</v>
      </c>
      <c r="J148" t="s">
        <v>4035</v>
      </c>
    </row>
    <row r="149" spans="1:10" x14ac:dyDescent="0.25">
      <c r="A149" s="37" t="str">
        <f>C149&amp;"-"&amp;D149&amp;"-"&amp;E149&amp;"-"&amp;F149&amp;"-"&amp;CATALOGO[[#This Row],[Sub cuenta 3]]</f>
        <v>E-01-03-00-00</v>
      </c>
      <c r="B149" s="37" t="s">
        <v>117</v>
      </c>
      <c r="C149" s="37" t="s">
        <v>114</v>
      </c>
      <c r="D149" s="38" t="s">
        <v>10</v>
      </c>
      <c r="E149" s="38" t="s">
        <v>22</v>
      </c>
      <c r="F149" s="38" t="s">
        <v>11</v>
      </c>
      <c r="G149" s="38" t="s">
        <v>11</v>
      </c>
      <c r="H149" s="38" t="s">
        <v>15</v>
      </c>
      <c r="I149" s="157">
        <v>407</v>
      </c>
      <c r="J149" t="s">
        <v>4035</v>
      </c>
    </row>
    <row r="150" spans="1:10" x14ac:dyDescent="0.25">
      <c r="A150" s="37" t="str">
        <f>C150&amp;"-"&amp;D150&amp;"-"&amp;E150&amp;"-"&amp;F150&amp;"-"&amp;CATALOGO[[#This Row],[Sub cuenta 3]]</f>
        <v>E-01-04-00-00</v>
      </c>
      <c r="B150" s="37" t="s">
        <v>118</v>
      </c>
      <c r="C150" s="37" t="s">
        <v>114</v>
      </c>
      <c r="D150" s="38" t="s">
        <v>10</v>
      </c>
      <c r="E150" s="38" t="s">
        <v>26</v>
      </c>
      <c r="F150" s="38" t="s">
        <v>11</v>
      </c>
      <c r="G150" s="36" t="s">
        <v>11</v>
      </c>
      <c r="H150" s="38" t="s">
        <v>15</v>
      </c>
      <c r="I150" s="157">
        <v>407</v>
      </c>
      <c r="J150" t="s">
        <v>4035</v>
      </c>
    </row>
    <row r="151" spans="1:10" x14ac:dyDescent="0.25">
      <c r="A151" s="37" t="str">
        <f>C151&amp;"-"&amp;D151&amp;"-"&amp;E151&amp;"-"&amp;F151&amp;"-"&amp;CATALOGO[[#This Row],[Sub cuenta 3]]</f>
        <v>E-01-05-00-00</v>
      </c>
      <c r="B151" s="37" t="s">
        <v>119</v>
      </c>
      <c r="C151" s="37" t="s">
        <v>114</v>
      </c>
      <c r="D151" s="38" t="s">
        <v>10</v>
      </c>
      <c r="E151" s="38" t="s">
        <v>62</v>
      </c>
      <c r="F151" s="38" t="s">
        <v>11</v>
      </c>
      <c r="G151" s="38" t="s">
        <v>11</v>
      </c>
      <c r="H151" s="38" t="s">
        <v>12</v>
      </c>
      <c r="I151" s="157">
        <v>407</v>
      </c>
      <c r="J151" t="s">
        <v>4035</v>
      </c>
    </row>
    <row r="152" spans="1:10" x14ac:dyDescent="0.25">
      <c r="A152" s="37" t="str">
        <f>C152&amp;"-"&amp;D152&amp;"-"&amp;E152&amp;"-"&amp;F152&amp;"-"&amp;CATALOGO[[#This Row],[Sub cuenta 3]]</f>
        <v>E-01-05-01-00</v>
      </c>
      <c r="B152" s="37" t="s">
        <v>120</v>
      </c>
      <c r="C152" s="37" t="s">
        <v>114</v>
      </c>
      <c r="D152" s="38" t="s">
        <v>10</v>
      </c>
      <c r="E152" s="38" t="s">
        <v>62</v>
      </c>
      <c r="F152" s="38" t="s">
        <v>10</v>
      </c>
      <c r="G152" s="38" t="s">
        <v>11</v>
      </c>
      <c r="H152" s="38" t="s">
        <v>15</v>
      </c>
      <c r="I152" s="157">
        <v>407</v>
      </c>
      <c r="J152" t="s">
        <v>4035</v>
      </c>
    </row>
    <row r="153" spans="1:10" x14ac:dyDescent="0.25">
      <c r="A153" s="37" t="str">
        <f>C153&amp;"-"&amp;D153&amp;"-"&amp;E153&amp;"-"&amp;F153&amp;"-"&amp;CATALOGO[[#This Row],[Sub cuenta 3]]</f>
        <v>E-01-05-02-00</v>
      </c>
      <c r="B153" s="37" t="s">
        <v>121</v>
      </c>
      <c r="C153" s="37" t="s">
        <v>114</v>
      </c>
      <c r="D153" s="38" t="s">
        <v>10</v>
      </c>
      <c r="E153" s="38" t="s">
        <v>62</v>
      </c>
      <c r="F153" s="38" t="s">
        <v>17</v>
      </c>
      <c r="G153" s="38" t="s">
        <v>11</v>
      </c>
      <c r="H153" s="38" t="s">
        <v>15</v>
      </c>
      <c r="I153" s="157">
        <v>407</v>
      </c>
      <c r="J153" t="s">
        <v>4035</v>
      </c>
    </row>
    <row r="154" spans="1:10" x14ac:dyDescent="0.25">
      <c r="A154" s="37" t="str">
        <f>C154&amp;"-"&amp;D154&amp;"-"&amp;E154&amp;"-"&amp;F154&amp;"-"&amp;CATALOGO[[#This Row],[Sub cuenta 3]]</f>
        <v>E-01-05-03-00</v>
      </c>
      <c r="B154" s="37" t="s">
        <v>122</v>
      </c>
      <c r="C154" s="37" t="s">
        <v>114</v>
      </c>
      <c r="D154" s="38" t="s">
        <v>10</v>
      </c>
      <c r="E154" s="38" t="s">
        <v>62</v>
      </c>
      <c r="F154" s="38" t="s">
        <v>22</v>
      </c>
      <c r="G154" s="38" t="s">
        <v>11</v>
      </c>
      <c r="H154" s="38" t="s">
        <v>15</v>
      </c>
      <c r="I154" s="157">
        <v>407</v>
      </c>
      <c r="J154" t="s">
        <v>4035</v>
      </c>
    </row>
    <row r="155" spans="1:10" x14ac:dyDescent="0.25">
      <c r="A155" s="37" t="str">
        <f>C155&amp;"-"&amp;D155&amp;"-"&amp;E155&amp;"-"&amp;F155&amp;"-"&amp;CATALOGO[[#This Row],[Sub cuenta 3]]</f>
        <v>E-01-05-04-00</v>
      </c>
      <c r="B155" s="37" t="s">
        <v>123</v>
      </c>
      <c r="C155" s="37" t="s">
        <v>114</v>
      </c>
      <c r="D155" s="38" t="s">
        <v>10</v>
      </c>
      <c r="E155" s="38" t="s">
        <v>62</v>
      </c>
      <c r="F155" s="38" t="s">
        <v>26</v>
      </c>
      <c r="G155" s="38" t="s">
        <v>11</v>
      </c>
      <c r="H155" s="38" t="s">
        <v>15</v>
      </c>
      <c r="I155" s="157">
        <v>407</v>
      </c>
      <c r="J155" t="s">
        <v>4035</v>
      </c>
    </row>
    <row r="156" spans="1:10" x14ac:dyDescent="0.25">
      <c r="A156" s="37" t="str">
        <f>C156&amp;"-"&amp;D156&amp;"-"&amp;E156&amp;"-"&amp;F156&amp;"-"&amp;CATALOGO[[#This Row],[Sub cuenta 3]]</f>
        <v>E-01-05-05-00</v>
      </c>
      <c r="B156" s="37" t="s">
        <v>124</v>
      </c>
      <c r="C156" s="37" t="s">
        <v>114</v>
      </c>
      <c r="D156" s="38" t="s">
        <v>10</v>
      </c>
      <c r="E156" s="38" t="s">
        <v>62</v>
      </c>
      <c r="F156" s="38" t="s">
        <v>62</v>
      </c>
      <c r="G156" s="38" t="s">
        <v>11</v>
      </c>
      <c r="H156" s="38" t="s">
        <v>15</v>
      </c>
      <c r="I156" s="157">
        <v>407</v>
      </c>
      <c r="J156" t="s">
        <v>4035</v>
      </c>
    </row>
    <row r="157" spans="1:10" x14ac:dyDescent="0.25">
      <c r="A157" s="37" t="str">
        <f>C157&amp;"-"&amp;D157&amp;"-"&amp;E157&amp;"-"&amp;F157&amp;"-"&amp;CATALOGO[[#This Row],[Sub cuenta 3]]</f>
        <v>E-01-05-06-00</v>
      </c>
      <c r="B157" s="37" t="s">
        <v>125</v>
      </c>
      <c r="C157" s="37" t="s">
        <v>114</v>
      </c>
      <c r="D157" s="38" t="s">
        <v>10</v>
      </c>
      <c r="E157" s="38" t="s">
        <v>62</v>
      </c>
      <c r="F157" s="38" t="s">
        <v>73</v>
      </c>
      <c r="G157" s="38" t="s">
        <v>11</v>
      </c>
      <c r="H157" s="38" t="s">
        <v>15</v>
      </c>
      <c r="I157" s="157">
        <v>407</v>
      </c>
      <c r="J157" t="s">
        <v>4035</v>
      </c>
    </row>
    <row r="158" spans="1:10" x14ac:dyDescent="0.25">
      <c r="A158" s="37" t="str">
        <f>C158&amp;"-"&amp;D158&amp;"-"&amp;E158&amp;"-"&amp;F158&amp;"-"&amp;CATALOGO[[#This Row],[Sub cuenta 3]]</f>
        <v>E-01-05-07-00</v>
      </c>
      <c r="B158" s="37" t="s">
        <v>126</v>
      </c>
      <c r="C158" s="37" t="s">
        <v>114</v>
      </c>
      <c r="D158" s="38" t="s">
        <v>10</v>
      </c>
      <c r="E158" s="38" t="s">
        <v>62</v>
      </c>
      <c r="F158" s="38" t="s">
        <v>75</v>
      </c>
      <c r="G158" s="38" t="s">
        <v>11</v>
      </c>
      <c r="H158" s="38" t="s">
        <v>15</v>
      </c>
      <c r="I158" s="157">
        <v>407</v>
      </c>
      <c r="J158" t="s">
        <v>4035</v>
      </c>
    </row>
    <row r="159" spans="1:10" x14ac:dyDescent="0.25">
      <c r="A159" s="37" t="str">
        <f>C159&amp;"-"&amp;D159&amp;"-"&amp;E159&amp;"-"&amp;F159&amp;"-"&amp;CATALOGO[[#This Row],[Sub cuenta 3]]</f>
        <v>E-01-05-08-00</v>
      </c>
      <c r="B159" s="37" t="s">
        <v>127</v>
      </c>
      <c r="C159" s="37" t="s">
        <v>114</v>
      </c>
      <c r="D159" s="38" t="s">
        <v>10</v>
      </c>
      <c r="E159" s="38" t="s">
        <v>62</v>
      </c>
      <c r="F159" s="38" t="s">
        <v>77</v>
      </c>
      <c r="G159" s="38" t="s">
        <v>11</v>
      </c>
      <c r="H159" s="38" t="s">
        <v>15</v>
      </c>
      <c r="I159" s="157">
        <v>407</v>
      </c>
      <c r="J159" t="s">
        <v>4035</v>
      </c>
    </row>
    <row r="160" spans="1:10" x14ac:dyDescent="0.25">
      <c r="A160" s="37" t="str">
        <f>C160&amp;"-"&amp;D160&amp;"-"&amp;E160&amp;"-"&amp;F160&amp;"-"&amp;CATALOGO[[#This Row],[Sub cuenta 3]]</f>
        <v>E-01-05-09-00</v>
      </c>
      <c r="B160" s="37" t="s">
        <v>128</v>
      </c>
      <c r="C160" s="37" t="s">
        <v>114</v>
      </c>
      <c r="D160" s="38" t="s">
        <v>10</v>
      </c>
      <c r="E160" s="38" t="s">
        <v>62</v>
      </c>
      <c r="F160" s="38" t="s">
        <v>79</v>
      </c>
      <c r="G160" s="38" t="s">
        <v>11</v>
      </c>
      <c r="H160" s="38" t="s">
        <v>15</v>
      </c>
      <c r="I160" s="157">
        <v>407</v>
      </c>
      <c r="J160" t="s">
        <v>4035</v>
      </c>
    </row>
    <row r="161" spans="1:10" x14ac:dyDescent="0.25">
      <c r="A161" s="37" t="str">
        <f>C161&amp;"-"&amp;D161&amp;"-"&amp;E161&amp;"-"&amp;F161&amp;"-"&amp;CATALOGO[[#This Row],[Sub cuenta 3]]</f>
        <v>E-01-05-10-00</v>
      </c>
      <c r="B161" s="37" t="s">
        <v>129</v>
      </c>
      <c r="C161" s="37" t="s">
        <v>114</v>
      </c>
      <c r="D161" s="38" t="s">
        <v>10</v>
      </c>
      <c r="E161" s="38" t="s">
        <v>62</v>
      </c>
      <c r="F161" s="38" t="s">
        <v>80</v>
      </c>
      <c r="G161" s="38" t="s">
        <v>11</v>
      </c>
      <c r="H161" s="38" t="s">
        <v>15</v>
      </c>
      <c r="I161" s="157">
        <v>407</v>
      </c>
      <c r="J161" t="s">
        <v>4035</v>
      </c>
    </row>
    <row r="162" spans="1:10" x14ac:dyDescent="0.25">
      <c r="A162" s="37" t="str">
        <f>C162&amp;"-"&amp;D162&amp;"-"&amp;E162&amp;"-"&amp;F162&amp;"-"&amp;CATALOGO[[#This Row],[Sub cuenta 3]]</f>
        <v>E-01-05-11-00</v>
      </c>
      <c r="B162" s="37" t="s">
        <v>130</v>
      </c>
      <c r="C162" s="37" t="s">
        <v>114</v>
      </c>
      <c r="D162" s="38" t="s">
        <v>10</v>
      </c>
      <c r="E162" s="38" t="s">
        <v>62</v>
      </c>
      <c r="F162" s="38" t="s">
        <v>82</v>
      </c>
      <c r="G162" s="38" t="s">
        <v>11</v>
      </c>
      <c r="H162" s="38" t="s">
        <v>15</v>
      </c>
      <c r="I162" s="157">
        <v>407</v>
      </c>
      <c r="J162" t="s">
        <v>4035</v>
      </c>
    </row>
    <row r="163" spans="1:10" x14ac:dyDescent="0.25">
      <c r="A163" s="135" t="str">
        <f>C163&amp;"-"&amp;D163&amp;"-"&amp;E163&amp;"-"&amp;F163&amp;"-"&amp;CATALOGO[[#This Row],[Sub cuenta 3]]</f>
        <v>E-01-05-12-00</v>
      </c>
      <c r="B163" s="135" t="s">
        <v>131</v>
      </c>
      <c r="C163" s="37" t="s">
        <v>114</v>
      </c>
      <c r="D163" s="38" t="s">
        <v>10</v>
      </c>
      <c r="E163" s="38" t="s">
        <v>62</v>
      </c>
      <c r="F163" s="38" t="s">
        <v>87</v>
      </c>
      <c r="G163" s="38" t="s">
        <v>11</v>
      </c>
      <c r="H163" s="38" t="s">
        <v>15</v>
      </c>
      <c r="I163" s="157">
        <v>407</v>
      </c>
      <c r="J163" t="s">
        <v>4035</v>
      </c>
    </row>
    <row r="164" spans="1:10" x14ac:dyDescent="0.25">
      <c r="A164" s="35" t="str">
        <f>C164&amp;"-"&amp;D164&amp;"-"&amp;E164&amp;"-"&amp;F164&amp;"-"&amp;CATALOGO[[#This Row],[Sub cuenta 3]]</f>
        <v>E-02-00-00-00</v>
      </c>
      <c r="B164" s="35" t="s">
        <v>132</v>
      </c>
      <c r="C164" s="35" t="s">
        <v>114</v>
      </c>
      <c r="D164" s="36" t="s">
        <v>17</v>
      </c>
      <c r="E164" s="36" t="s">
        <v>11</v>
      </c>
      <c r="F164" s="36" t="s">
        <v>11</v>
      </c>
      <c r="G164" s="36" t="s">
        <v>11</v>
      </c>
      <c r="H164" s="36" t="s">
        <v>12</v>
      </c>
      <c r="I164" s="157">
        <v>407</v>
      </c>
      <c r="J164" t="s">
        <v>4035</v>
      </c>
    </row>
    <row r="165" spans="1:10" x14ac:dyDescent="0.25">
      <c r="A165" s="37" t="str">
        <f>C165&amp;"-"&amp;D165&amp;"-"&amp;E165&amp;"-"&amp;F165&amp;"-"&amp;CATALOGO[[#This Row],[Sub cuenta 3]]</f>
        <v>E-02-01-00-00</v>
      </c>
      <c r="B165" s="37" t="s">
        <v>133</v>
      </c>
      <c r="C165" s="37" t="s">
        <v>114</v>
      </c>
      <c r="D165" s="38" t="s">
        <v>17</v>
      </c>
      <c r="E165" s="38" t="s">
        <v>10</v>
      </c>
      <c r="F165" s="38" t="s">
        <v>11</v>
      </c>
      <c r="G165" s="38" t="s">
        <v>11</v>
      </c>
      <c r="H165" s="38" t="s">
        <v>15</v>
      </c>
      <c r="I165" s="157">
        <v>407</v>
      </c>
      <c r="J165" t="s">
        <v>4035</v>
      </c>
    </row>
    <row r="166" spans="1:10" x14ac:dyDescent="0.25">
      <c r="A166" s="37" t="str">
        <f>C166&amp;"-"&amp;D166&amp;"-"&amp;E166&amp;"-"&amp;F166&amp;"-"&amp;CATALOGO[[#This Row],[Sub cuenta 3]]</f>
        <v>E-02-02-00-00</v>
      </c>
      <c r="B166" s="37" t="s">
        <v>134</v>
      </c>
      <c r="C166" s="37" t="s">
        <v>114</v>
      </c>
      <c r="D166" s="38" t="s">
        <v>17</v>
      </c>
      <c r="E166" s="38" t="s">
        <v>17</v>
      </c>
      <c r="F166" s="38" t="s">
        <v>11</v>
      </c>
      <c r="G166" s="36" t="s">
        <v>11</v>
      </c>
      <c r="H166" s="38" t="s">
        <v>15</v>
      </c>
      <c r="I166" s="157">
        <v>407</v>
      </c>
      <c r="J166" t="s">
        <v>4035</v>
      </c>
    </row>
    <row r="167" spans="1:10" x14ac:dyDescent="0.25">
      <c r="A167" s="37" t="str">
        <f>C167&amp;"-"&amp;D167&amp;"-"&amp;E167&amp;"-"&amp;F167&amp;"-"&amp;CATALOGO[[#This Row],[Sub cuenta 3]]</f>
        <v>E-02-03-00-00</v>
      </c>
      <c r="B167" s="37" t="s">
        <v>135</v>
      </c>
      <c r="C167" s="37" t="s">
        <v>114</v>
      </c>
      <c r="D167" s="38" t="s">
        <v>17</v>
      </c>
      <c r="E167" s="38" t="s">
        <v>22</v>
      </c>
      <c r="F167" s="38" t="s">
        <v>11</v>
      </c>
      <c r="G167" s="38" t="s">
        <v>11</v>
      </c>
      <c r="H167" s="38" t="s">
        <v>15</v>
      </c>
      <c r="I167" s="157">
        <v>407</v>
      </c>
      <c r="J167" t="s">
        <v>4035</v>
      </c>
    </row>
    <row r="168" spans="1:10" x14ac:dyDescent="0.25">
      <c r="A168" s="37" t="str">
        <f>C168&amp;"-"&amp;D168&amp;"-"&amp;E168&amp;"-"&amp;F168&amp;"-"&amp;CATALOGO[[#This Row],[Sub cuenta 3]]</f>
        <v>E-02-04-00-00</v>
      </c>
      <c r="B168" s="37" t="s">
        <v>136</v>
      </c>
      <c r="C168" s="37" t="s">
        <v>114</v>
      </c>
      <c r="D168" s="38" t="s">
        <v>17</v>
      </c>
      <c r="E168" s="38" t="s">
        <v>26</v>
      </c>
      <c r="F168" s="38" t="s">
        <v>11</v>
      </c>
      <c r="G168" s="36" t="s">
        <v>11</v>
      </c>
      <c r="H168" s="38" t="s">
        <v>15</v>
      </c>
      <c r="I168" s="157">
        <v>407</v>
      </c>
      <c r="J168" t="s">
        <v>4035</v>
      </c>
    </row>
    <row r="169" spans="1:10" x14ac:dyDescent="0.25">
      <c r="A169" s="37" t="str">
        <f>C169&amp;"-"&amp;D169&amp;"-"&amp;E169&amp;"-"&amp;F169&amp;"-"&amp;CATALOGO[[#This Row],[Sub cuenta 3]]</f>
        <v>E-02-05-00-00</v>
      </c>
      <c r="B169" s="37" t="s">
        <v>137</v>
      </c>
      <c r="C169" s="37" t="s">
        <v>114</v>
      </c>
      <c r="D169" s="38" t="s">
        <v>17</v>
      </c>
      <c r="E169" s="38" t="s">
        <v>62</v>
      </c>
      <c r="F169" s="38" t="s">
        <v>11</v>
      </c>
      <c r="G169" s="38" t="s">
        <v>11</v>
      </c>
      <c r="H169" s="38" t="s">
        <v>15</v>
      </c>
      <c r="I169" s="157">
        <v>407</v>
      </c>
      <c r="J169" t="s">
        <v>4035</v>
      </c>
    </row>
    <row r="170" spans="1:10" x14ac:dyDescent="0.25">
      <c r="A170" s="35" t="str">
        <f>C170&amp;"-"&amp;D170&amp;"-"&amp;E170&amp;"-"&amp;F170&amp;"-"&amp;CATALOGO[[#This Row],[Sub cuenta 3]]</f>
        <v>E-03-00-00-00</v>
      </c>
      <c r="B170" s="35" t="s">
        <v>138</v>
      </c>
      <c r="C170" s="35" t="s">
        <v>114</v>
      </c>
      <c r="D170" s="36" t="s">
        <v>22</v>
      </c>
      <c r="E170" s="36" t="s">
        <v>11</v>
      </c>
      <c r="F170" s="36" t="s">
        <v>11</v>
      </c>
      <c r="G170" s="36" t="s">
        <v>11</v>
      </c>
      <c r="H170" s="36" t="s">
        <v>12</v>
      </c>
      <c r="I170" s="157">
        <v>407</v>
      </c>
      <c r="J170" t="s">
        <v>4035</v>
      </c>
    </row>
    <row r="171" spans="1:10" x14ac:dyDescent="0.25">
      <c r="A171" s="37" t="str">
        <f>C171&amp;"-"&amp;D171&amp;"-"&amp;E171&amp;"-"&amp;F171&amp;"-"&amp;CATALOGO[[#This Row],[Sub cuenta 3]]</f>
        <v>E-03-01-00-00</v>
      </c>
      <c r="B171" s="37" t="s">
        <v>139</v>
      </c>
      <c r="C171" s="37" t="s">
        <v>114</v>
      </c>
      <c r="D171" s="38" t="s">
        <v>22</v>
      </c>
      <c r="E171" s="38" t="s">
        <v>10</v>
      </c>
      <c r="F171" s="38" t="s">
        <v>11</v>
      </c>
      <c r="G171" s="38" t="s">
        <v>11</v>
      </c>
      <c r="H171" s="38" t="s">
        <v>15</v>
      </c>
      <c r="I171" s="157">
        <v>407</v>
      </c>
      <c r="J171" t="s">
        <v>4035</v>
      </c>
    </row>
    <row r="172" spans="1:10" x14ac:dyDescent="0.25">
      <c r="A172" s="37" t="str">
        <f>C172&amp;"-"&amp;D172&amp;"-"&amp;E172&amp;"-"&amp;F172&amp;"-"&amp;CATALOGO[[#This Row],[Sub cuenta 3]]</f>
        <v>E-03-02-00-00</v>
      </c>
      <c r="B172" s="37" t="s">
        <v>140</v>
      </c>
      <c r="C172" s="37" t="s">
        <v>114</v>
      </c>
      <c r="D172" s="38" t="s">
        <v>22</v>
      </c>
      <c r="E172" s="38" t="s">
        <v>17</v>
      </c>
      <c r="F172" s="38" t="s">
        <v>11</v>
      </c>
      <c r="G172" s="38" t="s">
        <v>11</v>
      </c>
      <c r="H172" s="38" t="s">
        <v>15</v>
      </c>
      <c r="I172" s="157">
        <v>407</v>
      </c>
      <c r="J172" t="s">
        <v>4035</v>
      </c>
    </row>
    <row r="173" spans="1:10" x14ac:dyDescent="0.25">
      <c r="A173" s="37" t="str">
        <f>C173&amp;"-"&amp;D173&amp;"-"&amp;E173&amp;"-"&amp;F173&amp;"-"&amp;CATALOGO[[#This Row],[Sub cuenta 3]]</f>
        <v>E-03-03-00-00</v>
      </c>
      <c r="B173" s="37" t="s">
        <v>141</v>
      </c>
      <c r="C173" s="37" t="s">
        <v>114</v>
      </c>
      <c r="D173" s="38" t="s">
        <v>22</v>
      </c>
      <c r="E173" s="38" t="s">
        <v>22</v>
      </c>
      <c r="F173" s="38" t="s">
        <v>11</v>
      </c>
      <c r="G173" s="38" t="s">
        <v>11</v>
      </c>
      <c r="H173" s="38" t="s">
        <v>15</v>
      </c>
      <c r="I173" s="157">
        <v>407</v>
      </c>
      <c r="J173" t="s">
        <v>4035</v>
      </c>
    </row>
    <row r="174" spans="1:10" x14ac:dyDescent="0.25">
      <c r="A174" s="37" t="str">
        <f>C174&amp;"-"&amp;D174&amp;"-"&amp;E174&amp;"-"&amp;F174&amp;"-"&amp;CATALOGO[[#This Row],[Sub cuenta 3]]</f>
        <v>E-03-04-00-00</v>
      </c>
      <c r="B174" s="37" t="s">
        <v>142</v>
      </c>
      <c r="C174" s="37" t="s">
        <v>114</v>
      </c>
      <c r="D174" s="38" t="s">
        <v>22</v>
      </c>
      <c r="E174" s="38" t="s">
        <v>26</v>
      </c>
      <c r="F174" s="38" t="s">
        <v>11</v>
      </c>
      <c r="G174" s="38" t="s">
        <v>11</v>
      </c>
      <c r="H174" s="38" t="s">
        <v>15</v>
      </c>
      <c r="I174" s="157">
        <v>407</v>
      </c>
      <c r="J174" t="s">
        <v>4035</v>
      </c>
    </row>
    <row r="175" spans="1:10" x14ac:dyDescent="0.25">
      <c r="A175" s="37" t="str">
        <f>C175&amp;"-"&amp;D175&amp;"-"&amp;E175&amp;"-"&amp;F175&amp;"-"&amp;CATALOGO[[#This Row],[Sub cuenta 3]]</f>
        <v>E-03-05-00-00</v>
      </c>
      <c r="B175" s="37" t="s">
        <v>143</v>
      </c>
      <c r="C175" s="37" t="s">
        <v>114</v>
      </c>
      <c r="D175" s="38" t="s">
        <v>22</v>
      </c>
      <c r="E175" s="38" t="s">
        <v>62</v>
      </c>
      <c r="F175" s="38" t="s">
        <v>11</v>
      </c>
      <c r="G175" s="38" t="s">
        <v>11</v>
      </c>
      <c r="H175" s="38" t="s">
        <v>15</v>
      </c>
      <c r="I175" s="157">
        <v>407</v>
      </c>
      <c r="J175" t="s">
        <v>4035</v>
      </c>
    </row>
    <row r="176" spans="1:10" x14ac:dyDescent="0.25">
      <c r="A176" s="37" t="str">
        <f>C176&amp;"-"&amp;D176&amp;"-"&amp;E176&amp;"-"&amp;F176&amp;"-"&amp;CATALOGO[[#This Row],[Sub cuenta 3]]</f>
        <v>E-03-06-00-00</v>
      </c>
      <c r="B176" s="37" t="s">
        <v>144</v>
      </c>
      <c r="C176" s="37" t="s">
        <v>114</v>
      </c>
      <c r="D176" s="38" t="s">
        <v>22</v>
      </c>
      <c r="E176" s="38" t="s">
        <v>73</v>
      </c>
      <c r="F176" s="38" t="s">
        <v>11</v>
      </c>
      <c r="G176" s="38" t="s">
        <v>11</v>
      </c>
      <c r="H176" s="38" t="s">
        <v>15</v>
      </c>
      <c r="I176" s="157">
        <v>407</v>
      </c>
      <c r="J176" t="s">
        <v>4035</v>
      </c>
    </row>
    <row r="177" spans="1:10" s="7" customFormat="1" x14ac:dyDescent="0.25">
      <c r="A177" s="37" t="str">
        <f>C177&amp;"-"&amp;D177&amp;"-"&amp;E177&amp;"-"&amp;F177&amp;"-"&amp;CATALOGO[[#This Row],[Sub cuenta 3]]</f>
        <v>E-03-07-00-00</v>
      </c>
      <c r="B177" s="37" t="s">
        <v>145</v>
      </c>
      <c r="C177" s="37" t="s">
        <v>114</v>
      </c>
      <c r="D177" s="38" t="s">
        <v>22</v>
      </c>
      <c r="E177" s="38" t="s">
        <v>75</v>
      </c>
      <c r="F177" s="38" t="s">
        <v>11</v>
      </c>
      <c r="G177" s="38" t="s">
        <v>11</v>
      </c>
      <c r="H177" s="38" t="s">
        <v>15</v>
      </c>
      <c r="I177" s="157">
        <v>407</v>
      </c>
      <c r="J177" t="s">
        <v>4035</v>
      </c>
    </row>
    <row r="178" spans="1:10" s="7" customFormat="1" x14ac:dyDescent="0.25">
      <c r="A178" s="37" t="str">
        <f>C178&amp;"-"&amp;D178&amp;"-"&amp;E178&amp;"-"&amp;F178&amp;"-"&amp;CATALOGO[[#This Row],[Sub cuenta 3]]</f>
        <v>E-03-08-00-00</v>
      </c>
      <c r="B178" s="37" t="s">
        <v>146</v>
      </c>
      <c r="C178" s="37" t="s">
        <v>114</v>
      </c>
      <c r="D178" s="38" t="s">
        <v>22</v>
      </c>
      <c r="E178" s="38" t="s">
        <v>77</v>
      </c>
      <c r="F178" s="38" t="s">
        <v>11</v>
      </c>
      <c r="G178" s="38" t="s">
        <v>11</v>
      </c>
      <c r="H178" s="38" t="s">
        <v>15</v>
      </c>
      <c r="I178" s="157">
        <v>407</v>
      </c>
      <c r="J178" t="s">
        <v>4035</v>
      </c>
    </row>
    <row r="179" spans="1:10" s="7" customFormat="1" x14ac:dyDescent="0.25">
      <c r="A179" s="37" t="str">
        <f>C179&amp;"-"&amp;D179&amp;"-"&amp;E179&amp;"-"&amp;F179&amp;"-"&amp;CATALOGO[[#This Row],[Sub cuenta 3]]</f>
        <v>E-03-09-00-00</v>
      </c>
      <c r="B179" s="37" t="s">
        <v>147</v>
      </c>
      <c r="C179" s="37" t="s">
        <v>114</v>
      </c>
      <c r="D179" s="38" t="s">
        <v>22</v>
      </c>
      <c r="E179" s="38" t="s">
        <v>79</v>
      </c>
      <c r="F179" s="38" t="s">
        <v>11</v>
      </c>
      <c r="G179" s="38" t="s">
        <v>11</v>
      </c>
      <c r="H179" s="38" t="s">
        <v>15</v>
      </c>
      <c r="I179" s="157">
        <v>407</v>
      </c>
      <c r="J179" t="s">
        <v>4035</v>
      </c>
    </row>
    <row r="180" spans="1:10" s="7" customFormat="1" x14ac:dyDescent="0.25">
      <c r="A180" s="37" t="str">
        <f>C180&amp;"-"&amp;D180&amp;"-"&amp;E180&amp;"-"&amp;F180&amp;"-"&amp;CATALOGO[[#This Row],[Sub cuenta 3]]</f>
        <v>E-03-10-00-00</v>
      </c>
      <c r="B180" s="37" t="s">
        <v>148</v>
      </c>
      <c r="C180" s="37" t="s">
        <v>114</v>
      </c>
      <c r="D180" s="38" t="s">
        <v>22</v>
      </c>
      <c r="E180" s="38" t="s">
        <v>80</v>
      </c>
      <c r="F180" s="38" t="s">
        <v>11</v>
      </c>
      <c r="G180" s="38" t="s">
        <v>11</v>
      </c>
      <c r="H180" s="38" t="s">
        <v>15</v>
      </c>
      <c r="I180" s="157">
        <v>407</v>
      </c>
      <c r="J180" t="s">
        <v>4035</v>
      </c>
    </row>
    <row r="181" spans="1:10" s="7" customFormat="1" x14ac:dyDescent="0.25">
      <c r="A181" s="37" t="str">
        <f>C181&amp;"-"&amp;D181&amp;"-"&amp;E181&amp;"-"&amp;F181&amp;"-"&amp;CATALOGO[[#This Row],[Sub cuenta 3]]</f>
        <v>E-03-11-00-00</v>
      </c>
      <c r="B181" s="37" t="s">
        <v>149</v>
      </c>
      <c r="C181" s="37" t="s">
        <v>114</v>
      </c>
      <c r="D181" s="38" t="s">
        <v>22</v>
      </c>
      <c r="E181" s="38" t="s">
        <v>82</v>
      </c>
      <c r="F181" s="38" t="s">
        <v>11</v>
      </c>
      <c r="G181" s="38" t="s">
        <v>11</v>
      </c>
      <c r="H181" s="38" t="s">
        <v>15</v>
      </c>
      <c r="I181" s="157">
        <v>407</v>
      </c>
      <c r="J181" t="s">
        <v>4035</v>
      </c>
    </row>
    <row r="182" spans="1:10" s="7" customFormat="1" x14ac:dyDescent="0.25">
      <c r="A182" s="35" t="str">
        <f>C182&amp;"-"&amp;D182&amp;"-"&amp;E182&amp;"-"&amp;F182&amp;"-"&amp;CATALOGO[[#This Row],[Sub cuenta 3]]</f>
        <v>E-04-00-00-00</v>
      </c>
      <c r="B182" s="35" t="s">
        <v>150</v>
      </c>
      <c r="C182" s="35" t="s">
        <v>114</v>
      </c>
      <c r="D182" s="36" t="s">
        <v>26</v>
      </c>
      <c r="E182" s="36" t="s">
        <v>11</v>
      </c>
      <c r="F182" s="36" t="s">
        <v>11</v>
      </c>
      <c r="G182" s="38" t="s">
        <v>11</v>
      </c>
      <c r="H182" s="36" t="s">
        <v>12</v>
      </c>
      <c r="I182" s="157">
        <v>407</v>
      </c>
      <c r="J182" t="s">
        <v>4035</v>
      </c>
    </row>
    <row r="183" spans="1:10" s="7" customFormat="1" x14ac:dyDescent="0.25">
      <c r="A183" s="37" t="str">
        <f>C183&amp;"-"&amp;D183&amp;"-"&amp;E183&amp;"-"&amp;F183&amp;"-"&amp;CATALOGO[[#This Row],[Sub cuenta 3]]</f>
        <v>E-04-01-00-00</v>
      </c>
      <c r="B183" s="37" t="s">
        <v>151</v>
      </c>
      <c r="C183" s="37" t="s">
        <v>114</v>
      </c>
      <c r="D183" s="38" t="s">
        <v>26</v>
      </c>
      <c r="E183" s="38" t="s">
        <v>10</v>
      </c>
      <c r="F183" s="38" t="s">
        <v>11</v>
      </c>
      <c r="G183" s="36" t="s">
        <v>11</v>
      </c>
      <c r="H183" s="38" t="s">
        <v>15</v>
      </c>
      <c r="I183" s="157">
        <v>407</v>
      </c>
      <c r="J183" t="s">
        <v>4035</v>
      </c>
    </row>
    <row r="184" spans="1:10" s="7" customFormat="1" x14ac:dyDescent="0.25">
      <c r="A184" s="37" t="str">
        <f>C184&amp;"-"&amp;D184&amp;"-"&amp;E184&amp;"-"&amp;F184&amp;"-"&amp;CATALOGO[[#This Row],[Sub cuenta 3]]</f>
        <v>E-04-02-00-00</v>
      </c>
      <c r="B184" s="37" t="s">
        <v>152</v>
      </c>
      <c r="C184" s="37" t="s">
        <v>114</v>
      </c>
      <c r="D184" s="38" t="s">
        <v>26</v>
      </c>
      <c r="E184" s="38" t="s">
        <v>17</v>
      </c>
      <c r="F184" s="38" t="s">
        <v>11</v>
      </c>
      <c r="G184" s="36" t="s">
        <v>11</v>
      </c>
      <c r="H184" s="38" t="s">
        <v>15</v>
      </c>
      <c r="I184" s="157">
        <v>407</v>
      </c>
      <c r="J184" t="s">
        <v>4035</v>
      </c>
    </row>
    <row r="185" spans="1:10" s="7" customFormat="1" x14ac:dyDescent="0.25">
      <c r="A185" s="37" t="str">
        <f>C185&amp;"-"&amp;D185&amp;"-"&amp;E185&amp;"-"&amp;F185&amp;"-"&amp;CATALOGO[[#This Row],[Sub cuenta 3]]</f>
        <v>E-04-03-00-00</v>
      </c>
      <c r="B185" s="37" t="s">
        <v>153</v>
      </c>
      <c r="C185" s="37" t="s">
        <v>114</v>
      </c>
      <c r="D185" s="38" t="s">
        <v>26</v>
      </c>
      <c r="E185" s="38" t="s">
        <v>22</v>
      </c>
      <c r="F185" s="38" t="s">
        <v>11</v>
      </c>
      <c r="G185" s="38" t="s">
        <v>11</v>
      </c>
      <c r="H185" s="38" t="s">
        <v>15</v>
      </c>
      <c r="I185" s="157">
        <v>407</v>
      </c>
      <c r="J185" t="s">
        <v>4035</v>
      </c>
    </row>
    <row r="186" spans="1:10" s="7" customFormat="1" x14ac:dyDescent="0.25">
      <c r="A186" s="37" t="str">
        <f>C186&amp;"-"&amp;D186&amp;"-"&amp;E186&amp;"-"&amp;F186&amp;"-"&amp;CATALOGO[[#This Row],[Sub cuenta 3]]</f>
        <v>E-04-04-00-00</v>
      </c>
      <c r="B186" s="37" t="s">
        <v>154</v>
      </c>
      <c r="C186" s="37" t="s">
        <v>114</v>
      </c>
      <c r="D186" s="38" t="s">
        <v>26</v>
      </c>
      <c r="E186" s="38" t="s">
        <v>26</v>
      </c>
      <c r="F186" s="38" t="s">
        <v>11</v>
      </c>
      <c r="G186" s="36" t="s">
        <v>11</v>
      </c>
      <c r="H186" s="38" t="s">
        <v>15</v>
      </c>
      <c r="I186" s="157">
        <v>407</v>
      </c>
      <c r="J186" t="s">
        <v>4035</v>
      </c>
    </row>
    <row r="187" spans="1:10" s="7" customFormat="1" x14ac:dyDescent="0.25">
      <c r="A187" s="37" t="str">
        <f>C187&amp;"-"&amp;D187&amp;"-"&amp;E187&amp;"-"&amp;F187&amp;"-"&amp;CATALOGO[[#This Row],[Sub cuenta 3]]</f>
        <v>E-04-05-00-00</v>
      </c>
      <c r="B187" s="37" t="s">
        <v>155</v>
      </c>
      <c r="C187" s="37" t="s">
        <v>114</v>
      </c>
      <c r="D187" s="38" t="s">
        <v>26</v>
      </c>
      <c r="E187" s="38" t="s">
        <v>62</v>
      </c>
      <c r="F187" s="38" t="s">
        <v>11</v>
      </c>
      <c r="G187" s="36" t="s">
        <v>11</v>
      </c>
      <c r="H187" s="38" t="s">
        <v>12</v>
      </c>
      <c r="I187" s="157">
        <v>407</v>
      </c>
      <c r="J187" t="s">
        <v>4035</v>
      </c>
    </row>
    <row r="188" spans="1:10" s="7" customFormat="1" x14ac:dyDescent="0.25">
      <c r="A188" s="37" t="str">
        <f>C188&amp;"-"&amp;D188&amp;"-"&amp;E188&amp;"-"&amp;F188&amp;"-"&amp;CATALOGO[[#This Row],[Sub cuenta 3]]</f>
        <v>E-04-05-01-00</v>
      </c>
      <c r="B188" s="37" t="s">
        <v>156</v>
      </c>
      <c r="C188" s="37" t="s">
        <v>114</v>
      </c>
      <c r="D188" s="38" t="s">
        <v>26</v>
      </c>
      <c r="E188" s="38" t="s">
        <v>62</v>
      </c>
      <c r="F188" s="38" t="s">
        <v>10</v>
      </c>
      <c r="G188" s="36" t="s">
        <v>11</v>
      </c>
      <c r="H188" s="38" t="s">
        <v>15</v>
      </c>
      <c r="I188" s="157">
        <v>407</v>
      </c>
      <c r="J188" t="s">
        <v>4035</v>
      </c>
    </row>
    <row r="189" spans="1:10" s="7" customFormat="1" x14ac:dyDescent="0.25">
      <c r="A189" s="37" t="str">
        <f>C189&amp;"-"&amp;D189&amp;"-"&amp;E189&amp;"-"&amp;F189&amp;"-"&amp;CATALOGO[[#This Row],[Sub cuenta 3]]</f>
        <v>E-04-05-02-00</v>
      </c>
      <c r="B189" s="37" t="s">
        <v>157</v>
      </c>
      <c r="C189" s="37" t="s">
        <v>114</v>
      </c>
      <c r="D189" s="38" t="s">
        <v>26</v>
      </c>
      <c r="E189" s="38" t="s">
        <v>62</v>
      </c>
      <c r="F189" s="38" t="s">
        <v>17</v>
      </c>
      <c r="G189" s="36" t="s">
        <v>11</v>
      </c>
      <c r="H189" s="38" t="s">
        <v>15</v>
      </c>
      <c r="I189" s="157">
        <v>407</v>
      </c>
      <c r="J189" t="s">
        <v>4035</v>
      </c>
    </row>
    <row r="190" spans="1:10" s="7" customFormat="1" x14ac:dyDescent="0.25">
      <c r="A190" s="37" t="str">
        <f>C190&amp;"-"&amp;D190&amp;"-"&amp;E190&amp;"-"&amp;F190&amp;"-"&amp;CATALOGO[[#This Row],[Sub cuenta 3]]</f>
        <v>E-04-05-03-00</v>
      </c>
      <c r="B190" s="37" t="s">
        <v>158</v>
      </c>
      <c r="C190" s="37" t="s">
        <v>114</v>
      </c>
      <c r="D190" s="38" t="s">
        <v>26</v>
      </c>
      <c r="E190" s="38" t="s">
        <v>62</v>
      </c>
      <c r="F190" s="38" t="s">
        <v>22</v>
      </c>
      <c r="G190" s="36" t="s">
        <v>11</v>
      </c>
      <c r="H190" s="38" t="s">
        <v>15</v>
      </c>
      <c r="I190" s="157">
        <v>407</v>
      </c>
      <c r="J190" t="s">
        <v>4035</v>
      </c>
    </row>
    <row r="191" spans="1:10" x14ac:dyDescent="0.25">
      <c r="A191" s="37" t="str">
        <f>C191&amp;"-"&amp;D191&amp;"-"&amp;E191&amp;"-"&amp;F191&amp;"-"&amp;CATALOGO[[#This Row],[Sub cuenta 3]]</f>
        <v>E-04-05-04-00</v>
      </c>
      <c r="B191" s="37" t="s">
        <v>159</v>
      </c>
      <c r="C191" s="37" t="s">
        <v>114</v>
      </c>
      <c r="D191" s="38" t="s">
        <v>26</v>
      </c>
      <c r="E191" s="38" t="s">
        <v>62</v>
      </c>
      <c r="F191" s="38" t="s">
        <v>26</v>
      </c>
      <c r="G191" s="36" t="s">
        <v>11</v>
      </c>
      <c r="H191" s="38" t="s">
        <v>15</v>
      </c>
      <c r="I191" s="157">
        <v>407</v>
      </c>
      <c r="J191" t="s">
        <v>4035</v>
      </c>
    </row>
    <row r="192" spans="1:10" s="7" customFormat="1" x14ac:dyDescent="0.25">
      <c r="A192" s="37" t="str">
        <f>C192&amp;"-"&amp;D192&amp;"-"&amp;E192&amp;"-"&amp;F192&amp;"-"&amp;CATALOGO[[#This Row],[Sub cuenta 3]]</f>
        <v>E-04-05-05-00</v>
      </c>
      <c r="B192" s="37" t="s">
        <v>160</v>
      </c>
      <c r="C192" s="37" t="s">
        <v>114</v>
      </c>
      <c r="D192" s="38" t="s">
        <v>26</v>
      </c>
      <c r="E192" s="38" t="s">
        <v>62</v>
      </c>
      <c r="F192" s="38" t="s">
        <v>62</v>
      </c>
      <c r="G192" s="36" t="s">
        <v>11</v>
      </c>
      <c r="H192" s="38" t="s">
        <v>15</v>
      </c>
      <c r="I192" s="157">
        <v>407</v>
      </c>
      <c r="J192" t="s">
        <v>4035</v>
      </c>
    </row>
    <row r="193" spans="1:10" s="7" customFormat="1" x14ac:dyDescent="0.25">
      <c r="A193" s="37" t="str">
        <f>C193&amp;"-"&amp;D193&amp;"-"&amp;E193&amp;"-"&amp;F193&amp;"-"&amp;CATALOGO[[#This Row],[Sub cuenta 3]]</f>
        <v>E-04-05-06-00</v>
      </c>
      <c r="B193" s="37" t="s">
        <v>161</v>
      </c>
      <c r="C193" s="37" t="s">
        <v>114</v>
      </c>
      <c r="D193" s="38" t="s">
        <v>26</v>
      </c>
      <c r="E193" s="38" t="s">
        <v>62</v>
      </c>
      <c r="F193" s="38" t="s">
        <v>73</v>
      </c>
      <c r="G193" s="36" t="s">
        <v>11</v>
      </c>
      <c r="H193" s="38" t="s">
        <v>15</v>
      </c>
      <c r="I193" s="157">
        <v>407</v>
      </c>
      <c r="J193" t="s">
        <v>4035</v>
      </c>
    </row>
    <row r="194" spans="1:10" s="7" customFormat="1" x14ac:dyDescent="0.25">
      <c r="A194" s="37" t="str">
        <f>C194&amp;"-"&amp;D194&amp;"-"&amp;E194&amp;"-"&amp;F194&amp;"-"&amp;CATALOGO[[#This Row],[Sub cuenta 3]]</f>
        <v>E-04-05-07-00</v>
      </c>
      <c r="B194" s="37" t="s">
        <v>162</v>
      </c>
      <c r="C194" s="37" t="s">
        <v>114</v>
      </c>
      <c r="D194" s="38" t="s">
        <v>26</v>
      </c>
      <c r="E194" s="38" t="s">
        <v>62</v>
      </c>
      <c r="F194" s="38" t="s">
        <v>75</v>
      </c>
      <c r="G194" s="36" t="s">
        <v>11</v>
      </c>
      <c r="H194" s="38" t="s">
        <v>15</v>
      </c>
      <c r="I194" s="157">
        <v>407</v>
      </c>
      <c r="J194" t="s">
        <v>4035</v>
      </c>
    </row>
    <row r="195" spans="1:10" s="7" customFormat="1" x14ac:dyDescent="0.25">
      <c r="A195" s="37" t="str">
        <f>C195&amp;"-"&amp;D195&amp;"-"&amp;E195&amp;"-"&amp;F195&amp;"-"&amp;CATALOGO[[#This Row],[Sub cuenta 3]]</f>
        <v>E-04-05-08-00</v>
      </c>
      <c r="B195" s="37" t="s">
        <v>163</v>
      </c>
      <c r="C195" s="37" t="s">
        <v>114</v>
      </c>
      <c r="D195" s="38" t="s">
        <v>26</v>
      </c>
      <c r="E195" s="38" t="s">
        <v>62</v>
      </c>
      <c r="F195" s="38" t="s">
        <v>77</v>
      </c>
      <c r="G195" s="36" t="s">
        <v>11</v>
      </c>
      <c r="H195" s="38" t="s">
        <v>15</v>
      </c>
      <c r="I195" s="157">
        <v>407</v>
      </c>
      <c r="J195" t="s">
        <v>4035</v>
      </c>
    </row>
    <row r="196" spans="1:10" s="7" customFormat="1" x14ac:dyDescent="0.25">
      <c r="A196" s="37" t="str">
        <f>C196&amp;"-"&amp;D196&amp;"-"&amp;E196&amp;"-"&amp;F196&amp;"-"&amp;CATALOGO[[#This Row],[Sub cuenta 3]]</f>
        <v>E-04-05-09-00</v>
      </c>
      <c r="B196" s="37" t="s">
        <v>164</v>
      </c>
      <c r="C196" s="37" t="s">
        <v>114</v>
      </c>
      <c r="D196" s="38" t="s">
        <v>26</v>
      </c>
      <c r="E196" s="38" t="s">
        <v>62</v>
      </c>
      <c r="F196" s="38" t="s">
        <v>79</v>
      </c>
      <c r="G196" s="36" t="s">
        <v>11</v>
      </c>
      <c r="H196" s="38" t="s">
        <v>15</v>
      </c>
      <c r="I196" s="157">
        <v>407</v>
      </c>
      <c r="J196" t="s">
        <v>4035</v>
      </c>
    </row>
    <row r="197" spans="1:10" s="7" customFormat="1" x14ac:dyDescent="0.25">
      <c r="A197" s="35" t="str">
        <f>C197&amp;"-"&amp;D197&amp;"-"&amp;E197&amp;"-"&amp;F197&amp;"-"&amp;CATALOGO[[#This Row],[Sub cuenta 3]]</f>
        <v>E-05-00-00-00</v>
      </c>
      <c r="B197" s="35" t="s">
        <v>165</v>
      </c>
      <c r="C197" s="35" t="s">
        <v>114</v>
      </c>
      <c r="D197" s="36" t="s">
        <v>62</v>
      </c>
      <c r="E197" s="36" t="s">
        <v>11</v>
      </c>
      <c r="F197" s="36" t="s">
        <v>11</v>
      </c>
      <c r="G197" s="36" t="s">
        <v>11</v>
      </c>
      <c r="H197" s="36" t="s">
        <v>12</v>
      </c>
      <c r="I197" s="157">
        <v>407</v>
      </c>
      <c r="J197" t="s">
        <v>4035</v>
      </c>
    </row>
    <row r="198" spans="1:10" s="7" customFormat="1" x14ac:dyDescent="0.25">
      <c r="A198" s="37" t="str">
        <f>C198&amp;"-"&amp;D198&amp;"-"&amp;E198&amp;"-"&amp;F198&amp;"-"&amp;CATALOGO[[#This Row],[Sub cuenta 3]]</f>
        <v>E-05-01-00-00</v>
      </c>
      <c r="B198" s="37" t="s">
        <v>151</v>
      </c>
      <c r="C198" s="37" t="s">
        <v>114</v>
      </c>
      <c r="D198" s="38" t="s">
        <v>62</v>
      </c>
      <c r="E198" s="38" t="s">
        <v>10</v>
      </c>
      <c r="F198" s="38" t="s">
        <v>11</v>
      </c>
      <c r="G198" s="38" t="s">
        <v>11</v>
      </c>
      <c r="H198" s="38" t="s">
        <v>15</v>
      </c>
      <c r="I198" s="157">
        <v>407</v>
      </c>
      <c r="J198" t="s">
        <v>4035</v>
      </c>
    </row>
    <row r="199" spans="1:10" s="7" customFormat="1" x14ac:dyDescent="0.25">
      <c r="A199" s="37" t="str">
        <f>C199&amp;"-"&amp;D199&amp;"-"&amp;E199&amp;"-"&amp;F199&amp;"-"&amp;CATALOGO[[#This Row],[Sub cuenta 3]]</f>
        <v>E-05-02-00-00</v>
      </c>
      <c r="B199" s="37" t="s">
        <v>152</v>
      </c>
      <c r="C199" s="37" t="s">
        <v>114</v>
      </c>
      <c r="D199" s="38" t="s">
        <v>62</v>
      </c>
      <c r="E199" s="38" t="s">
        <v>17</v>
      </c>
      <c r="F199" s="38" t="s">
        <v>11</v>
      </c>
      <c r="G199" s="38" t="s">
        <v>11</v>
      </c>
      <c r="H199" s="38" t="s">
        <v>15</v>
      </c>
      <c r="I199" s="157">
        <v>407</v>
      </c>
      <c r="J199" t="s">
        <v>4035</v>
      </c>
    </row>
    <row r="200" spans="1:10" x14ac:dyDescent="0.25">
      <c r="A200" s="37" t="str">
        <f>C200&amp;"-"&amp;D200&amp;"-"&amp;E200&amp;"-"&amp;F200&amp;"-"&amp;CATALOGO[[#This Row],[Sub cuenta 3]]</f>
        <v>E-05-03-00-00</v>
      </c>
      <c r="B200" s="37" t="s">
        <v>153</v>
      </c>
      <c r="C200" s="37" t="s">
        <v>114</v>
      </c>
      <c r="D200" s="38" t="s">
        <v>62</v>
      </c>
      <c r="E200" s="38" t="s">
        <v>22</v>
      </c>
      <c r="F200" s="38" t="s">
        <v>11</v>
      </c>
      <c r="G200" s="38" t="s">
        <v>11</v>
      </c>
      <c r="H200" s="38" t="s">
        <v>15</v>
      </c>
      <c r="I200" s="157">
        <v>407</v>
      </c>
      <c r="J200" t="s">
        <v>4035</v>
      </c>
    </row>
    <row r="201" spans="1:10" x14ac:dyDescent="0.25">
      <c r="A201" s="37" t="str">
        <f>C201&amp;"-"&amp;D201&amp;"-"&amp;E201&amp;"-"&amp;F201&amp;"-"&amp;CATALOGO[[#This Row],[Sub cuenta 3]]</f>
        <v>E-05-04-00-00</v>
      </c>
      <c r="B201" s="37" t="s">
        <v>154</v>
      </c>
      <c r="C201" s="37" t="s">
        <v>114</v>
      </c>
      <c r="D201" s="38" t="s">
        <v>62</v>
      </c>
      <c r="E201" s="38" t="s">
        <v>26</v>
      </c>
      <c r="F201" s="38" t="s">
        <v>11</v>
      </c>
      <c r="G201" s="38" t="s">
        <v>11</v>
      </c>
      <c r="H201" s="38" t="s">
        <v>15</v>
      </c>
      <c r="I201" s="157">
        <v>407</v>
      </c>
      <c r="J201" t="s">
        <v>4035</v>
      </c>
    </row>
    <row r="202" spans="1:10" x14ac:dyDescent="0.25">
      <c r="A202" s="35" t="str">
        <f>C202&amp;"-"&amp;D202&amp;"-"&amp;E202&amp;"-"&amp;F202&amp;"-"&amp;CATALOGO[[#This Row],[Sub cuenta 3]]</f>
        <v>E-06-00-00-00</v>
      </c>
      <c r="B202" s="35" t="s">
        <v>166</v>
      </c>
      <c r="C202" s="37" t="s">
        <v>114</v>
      </c>
      <c r="D202" s="38" t="s">
        <v>73</v>
      </c>
      <c r="E202" s="38" t="s">
        <v>11</v>
      </c>
      <c r="F202" s="38" t="s">
        <v>11</v>
      </c>
      <c r="G202" s="38" t="s">
        <v>11</v>
      </c>
      <c r="H202" s="38" t="s">
        <v>12</v>
      </c>
      <c r="I202" s="157">
        <v>407</v>
      </c>
      <c r="J202" t="s">
        <v>4035</v>
      </c>
    </row>
    <row r="203" spans="1:10" x14ac:dyDescent="0.25">
      <c r="A203" s="37" t="str">
        <f>C203&amp;"-"&amp;D203&amp;"-"&amp;E203&amp;"-"&amp;F203&amp;"-"&amp;CATALOGO[[#This Row],[Sub cuenta 3]]</f>
        <v>E-06-01-00-00</v>
      </c>
      <c r="B203" s="37" t="s">
        <v>167</v>
      </c>
      <c r="C203" s="37" t="s">
        <v>114</v>
      </c>
      <c r="D203" s="38" t="s">
        <v>73</v>
      </c>
      <c r="E203" s="38" t="s">
        <v>10</v>
      </c>
      <c r="F203" s="38" t="s">
        <v>11</v>
      </c>
      <c r="G203" s="36" t="s">
        <v>11</v>
      </c>
      <c r="H203" s="38" t="s">
        <v>15</v>
      </c>
      <c r="I203" s="157">
        <v>407</v>
      </c>
      <c r="J203" t="s">
        <v>4035</v>
      </c>
    </row>
    <row r="204" spans="1:10" x14ac:dyDescent="0.25">
      <c r="A204" s="37" t="str">
        <f>C204&amp;"-"&amp;D204&amp;"-"&amp;E204&amp;"-"&amp;F204&amp;"-"&amp;CATALOGO[[#This Row],[Sub cuenta 3]]</f>
        <v>E-06-02-00-00</v>
      </c>
      <c r="B204" s="37" t="s">
        <v>168</v>
      </c>
      <c r="C204" s="37" t="s">
        <v>114</v>
      </c>
      <c r="D204" s="38" t="s">
        <v>73</v>
      </c>
      <c r="E204" s="38" t="s">
        <v>17</v>
      </c>
      <c r="F204" s="38" t="s">
        <v>11</v>
      </c>
      <c r="G204" s="38" t="s">
        <v>11</v>
      </c>
      <c r="H204" s="38" t="s">
        <v>15</v>
      </c>
      <c r="I204" s="157">
        <v>407</v>
      </c>
      <c r="J204" t="s">
        <v>4035</v>
      </c>
    </row>
    <row r="205" spans="1:10" x14ac:dyDescent="0.25">
      <c r="A205" s="37" t="str">
        <f>C205&amp;"-"&amp;D205&amp;"-"&amp;E205&amp;"-"&amp;F205&amp;"-"&amp;CATALOGO[[#This Row],[Sub cuenta 3]]</f>
        <v>E-06-03-00-00</v>
      </c>
      <c r="B205" s="37" t="s">
        <v>169</v>
      </c>
      <c r="C205" s="37" t="s">
        <v>114</v>
      </c>
      <c r="D205" s="38" t="s">
        <v>73</v>
      </c>
      <c r="E205" s="38" t="s">
        <v>22</v>
      </c>
      <c r="F205" s="38" t="s">
        <v>11</v>
      </c>
      <c r="G205" s="36" t="s">
        <v>11</v>
      </c>
      <c r="H205" s="38" t="s">
        <v>15</v>
      </c>
      <c r="I205" s="157">
        <v>407</v>
      </c>
      <c r="J205" t="s">
        <v>4035</v>
      </c>
    </row>
    <row r="206" spans="1:10" x14ac:dyDescent="0.25">
      <c r="A206" s="37" t="str">
        <f>C206&amp;"-"&amp;D206&amp;"-"&amp;E206&amp;"-"&amp;F206&amp;"-"&amp;CATALOGO[[#This Row],[Sub cuenta 3]]</f>
        <v>E-06-04-00-00</v>
      </c>
      <c r="B206" s="37" t="s">
        <v>170</v>
      </c>
      <c r="C206" s="37" t="s">
        <v>114</v>
      </c>
      <c r="D206" s="38" t="s">
        <v>73</v>
      </c>
      <c r="E206" s="38" t="s">
        <v>26</v>
      </c>
      <c r="F206" s="38" t="s">
        <v>11</v>
      </c>
      <c r="G206" s="38" t="s">
        <v>11</v>
      </c>
      <c r="H206" s="38" t="s">
        <v>15</v>
      </c>
      <c r="I206" s="157">
        <v>407</v>
      </c>
      <c r="J206" t="s">
        <v>4035</v>
      </c>
    </row>
    <row r="207" spans="1:10" x14ac:dyDescent="0.25">
      <c r="A207" s="39" t="str">
        <f>C207&amp;"-"&amp;D207&amp;"-"&amp;E207&amp;"-"&amp;F207&amp;"-"&amp;CATALOGO[[#This Row],[Sub cuenta 3]]</f>
        <v>E-07-00-00-00</v>
      </c>
      <c r="B207" s="39" t="s">
        <v>171</v>
      </c>
      <c r="C207" s="37" t="s">
        <v>114</v>
      </c>
      <c r="D207" s="38" t="s">
        <v>75</v>
      </c>
      <c r="E207" s="38" t="s">
        <v>11</v>
      </c>
      <c r="F207" s="38" t="s">
        <v>11</v>
      </c>
      <c r="G207" s="36" t="s">
        <v>11</v>
      </c>
      <c r="H207" s="38" t="s">
        <v>12</v>
      </c>
      <c r="I207" s="157">
        <v>407</v>
      </c>
      <c r="J207" t="s">
        <v>4035</v>
      </c>
    </row>
    <row r="208" spans="1:10" x14ac:dyDescent="0.25">
      <c r="A208" s="37" t="str">
        <f>C208&amp;"-"&amp;D208&amp;"-"&amp;E208&amp;"-"&amp;F208&amp;"-"&amp;CATALOGO[[#This Row],[Sub cuenta 3]]</f>
        <v>E-07-01-00-00</v>
      </c>
      <c r="B208" s="37" t="s">
        <v>172</v>
      </c>
      <c r="C208" s="37" t="s">
        <v>114</v>
      </c>
      <c r="D208" s="38" t="s">
        <v>75</v>
      </c>
      <c r="E208" s="38" t="s">
        <v>10</v>
      </c>
      <c r="F208" s="38" t="s">
        <v>11</v>
      </c>
      <c r="G208" s="38" t="s">
        <v>11</v>
      </c>
      <c r="H208" s="38" t="s">
        <v>12</v>
      </c>
      <c r="I208" s="157">
        <v>407</v>
      </c>
      <c r="J208" t="s">
        <v>4035</v>
      </c>
    </row>
    <row r="209" spans="1:10" x14ac:dyDescent="0.25">
      <c r="A209" s="37" t="str">
        <f>C209&amp;"-"&amp;D209&amp;"-"&amp;E209&amp;"-"&amp;F209&amp;"-"&amp;CATALOGO[[#This Row],[Sub cuenta 3]]</f>
        <v>E-07-01-01-00</v>
      </c>
      <c r="B209" s="37" t="s">
        <v>173</v>
      </c>
      <c r="C209" s="37" t="s">
        <v>114</v>
      </c>
      <c r="D209" s="38" t="s">
        <v>75</v>
      </c>
      <c r="E209" s="38" t="s">
        <v>10</v>
      </c>
      <c r="F209" s="38" t="s">
        <v>10</v>
      </c>
      <c r="G209" s="36" t="s">
        <v>11</v>
      </c>
      <c r="H209" s="38" t="s">
        <v>12</v>
      </c>
      <c r="I209" s="157">
        <v>407</v>
      </c>
      <c r="J209" t="s">
        <v>4035</v>
      </c>
    </row>
    <row r="210" spans="1:10" x14ac:dyDescent="0.25">
      <c r="A210" s="37" t="str">
        <f>C210&amp;"-"&amp;D210&amp;"-"&amp;E210&amp;"-"&amp;F210&amp;"-"&amp;CATALOGO[[#This Row],[Sub cuenta 3]]</f>
        <v>E-07-01-01-01</v>
      </c>
      <c r="B210" s="37" t="s">
        <v>174</v>
      </c>
      <c r="C210" s="37" t="s">
        <v>114</v>
      </c>
      <c r="D210" s="38" t="s">
        <v>75</v>
      </c>
      <c r="E210" s="38" t="s">
        <v>10</v>
      </c>
      <c r="F210" s="38" t="s">
        <v>10</v>
      </c>
      <c r="G210" s="36" t="s">
        <v>10</v>
      </c>
      <c r="H210" s="38" t="s">
        <v>15</v>
      </c>
      <c r="I210" s="157">
        <v>407</v>
      </c>
      <c r="J210" t="s">
        <v>4035</v>
      </c>
    </row>
    <row r="211" spans="1:10" x14ac:dyDescent="0.25">
      <c r="A211" s="37" t="str">
        <f>C211&amp;"-"&amp;D211&amp;"-"&amp;E211&amp;"-"&amp;F211&amp;"-"&amp;CATALOGO[[#This Row],[Sub cuenta 3]]</f>
        <v>E-07-01-01-02</v>
      </c>
      <c r="B211" s="37" t="s">
        <v>175</v>
      </c>
      <c r="C211" s="37" t="s">
        <v>114</v>
      </c>
      <c r="D211" s="38" t="s">
        <v>75</v>
      </c>
      <c r="E211" s="38" t="s">
        <v>10</v>
      </c>
      <c r="F211" s="38" t="s">
        <v>10</v>
      </c>
      <c r="G211" s="36" t="s">
        <v>17</v>
      </c>
      <c r="H211" s="38" t="s">
        <v>15</v>
      </c>
      <c r="I211" s="157">
        <v>407</v>
      </c>
      <c r="J211" t="s">
        <v>4035</v>
      </c>
    </row>
    <row r="212" spans="1:10" x14ac:dyDescent="0.25">
      <c r="A212" s="37" t="str">
        <f>C212&amp;"-"&amp;D212&amp;"-"&amp;E212&amp;"-"&amp;F212&amp;"-"&amp;CATALOGO[[#This Row],[Sub cuenta 3]]</f>
        <v>E-07-01-01-03</v>
      </c>
      <c r="B212" s="37" t="s">
        <v>176</v>
      </c>
      <c r="C212" s="37" t="s">
        <v>114</v>
      </c>
      <c r="D212" s="38" t="s">
        <v>75</v>
      </c>
      <c r="E212" s="38" t="s">
        <v>10</v>
      </c>
      <c r="F212" s="38" t="s">
        <v>10</v>
      </c>
      <c r="G212" s="36" t="s">
        <v>22</v>
      </c>
      <c r="H212" s="38" t="s">
        <v>15</v>
      </c>
      <c r="I212" s="157">
        <v>407</v>
      </c>
      <c r="J212" t="s">
        <v>4035</v>
      </c>
    </row>
    <row r="213" spans="1:10" x14ac:dyDescent="0.25">
      <c r="A213" s="37" t="str">
        <f>C213&amp;"-"&amp;D213&amp;"-"&amp;E213&amp;"-"&amp;F213&amp;"-"&amp;CATALOGO[[#This Row],[Sub cuenta 3]]</f>
        <v>E-07-01-01-04</v>
      </c>
      <c r="B213" s="37" t="s">
        <v>177</v>
      </c>
      <c r="C213" s="37" t="s">
        <v>114</v>
      </c>
      <c r="D213" s="38" t="s">
        <v>75</v>
      </c>
      <c r="E213" s="38" t="s">
        <v>10</v>
      </c>
      <c r="F213" s="38" t="s">
        <v>10</v>
      </c>
      <c r="G213" s="36" t="s">
        <v>26</v>
      </c>
      <c r="H213" s="38" t="s">
        <v>15</v>
      </c>
      <c r="I213" s="157">
        <v>407</v>
      </c>
      <c r="J213" t="s">
        <v>4035</v>
      </c>
    </row>
    <row r="214" spans="1:10" x14ac:dyDescent="0.25">
      <c r="A214" s="37" t="str">
        <f>C214&amp;"-"&amp;D214&amp;"-"&amp;E214&amp;"-"&amp;F214&amp;"-"&amp;CATALOGO[[#This Row],[Sub cuenta 3]]</f>
        <v>E-07-01-01-05</v>
      </c>
      <c r="B214" s="37" t="s">
        <v>178</v>
      </c>
      <c r="C214" s="37" t="s">
        <v>114</v>
      </c>
      <c r="D214" s="38" t="s">
        <v>75</v>
      </c>
      <c r="E214" s="38" t="s">
        <v>10</v>
      </c>
      <c r="F214" s="38" t="s">
        <v>10</v>
      </c>
      <c r="G214" s="36" t="s">
        <v>62</v>
      </c>
      <c r="H214" s="38" t="s">
        <v>15</v>
      </c>
      <c r="I214" s="157">
        <v>407</v>
      </c>
      <c r="J214" t="s">
        <v>4035</v>
      </c>
    </row>
    <row r="215" spans="1:10" x14ac:dyDescent="0.25">
      <c r="A215" s="37" t="str">
        <f>C215&amp;"-"&amp;D215&amp;"-"&amp;E215&amp;"-"&amp;F215&amp;"-"&amp;CATALOGO[[#This Row],[Sub cuenta 3]]</f>
        <v>E-07-01-01-06</v>
      </c>
      <c r="B215" s="37" t="s">
        <v>179</v>
      </c>
      <c r="C215" s="37" t="s">
        <v>114</v>
      </c>
      <c r="D215" s="38" t="s">
        <v>75</v>
      </c>
      <c r="E215" s="38" t="s">
        <v>10</v>
      </c>
      <c r="F215" s="38" t="s">
        <v>10</v>
      </c>
      <c r="G215" s="36" t="s">
        <v>73</v>
      </c>
      <c r="H215" s="38" t="s">
        <v>15</v>
      </c>
      <c r="I215" s="157">
        <v>407</v>
      </c>
      <c r="J215" t="s">
        <v>4035</v>
      </c>
    </row>
    <row r="216" spans="1:10" x14ac:dyDescent="0.25">
      <c r="A216" s="37" t="str">
        <f>C216&amp;"-"&amp;D216&amp;"-"&amp;E216&amp;"-"&amp;F216&amp;"-"&amp;CATALOGO[[#This Row],[Sub cuenta 3]]</f>
        <v>E-07-01-02-00</v>
      </c>
      <c r="B216" s="37" t="s">
        <v>180</v>
      </c>
      <c r="C216" s="37" t="s">
        <v>114</v>
      </c>
      <c r="D216" s="38" t="s">
        <v>75</v>
      </c>
      <c r="E216" s="38" t="s">
        <v>10</v>
      </c>
      <c r="F216" s="38" t="s">
        <v>17</v>
      </c>
      <c r="G216" s="38" t="s">
        <v>11</v>
      </c>
      <c r="H216" s="38" t="s">
        <v>15</v>
      </c>
      <c r="I216" s="157">
        <v>407</v>
      </c>
      <c r="J216" t="s">
        <v>4035</v>
      </c>
    </row>
    <row r="217" spans="1:10" x14ac:dyDescent="0.25">
      <c r="A217" s="37" t="str">
        <f>C217&amp;"-"&amp;D217&amp;"-"&amp;E217&amp;"-"&amp;F217&amp;"-"&amp;CATALOGO[[#This Row],[Sub cuenta 3]]</f>
        <v>E-07-01-03-00</v>
      </c>
      <c r="B217" s="37" t="s">
        <v>181</v>
      </c>
      <c r="C217" s="37" t="s">
        <v>114</v>
      </c>
      <c r="D217" s="38" t="s">
        <v>75</v>
      </c>
      <c r="E217" s="38" t="s">
        <v>10</v>
      </c>
      <c r="F217" s="38" t="s">
        <v>22</v>
      </c>
      <c r="G217" s="36" t="s">
        <v>11</v>
      </c>
      <c r="H217" s="38" t="s">
        <v>12</v>
      </c>
      <c r="I217" s="157">
        <v>407</v>
      </c>
      <c r="J217" t="s">
        <v>4035</v>
      </c>
    </row>
    <row r="218" spans="1:10" x14ac:dyDescent="0.25">
      <c r="A218" s="37" t="str">
        <f>C218&amp;"-"&amp;D218&amp;"-"&amp;E218&amp;"-"&amp;F218&amp;"-"&amp;CATALOGO[[#This Row],[Sub cuenta 3]]</f>
        <v>E-07-01-03-01</v>
      </c>
      <c r="B218" s="37" t="s">
        <v>182</v>
      </c>
      <c r="C218" s="37" t="s">
        <v>114</v>
      </c>
      <c r="D218" s="38" t="s">
        <v>75</v>
      </c>
      <c r="E218" s="38" t="s">
        <v>10</v>
      </c>
      <c r="F218" s="38" t="s">
        <v>22</v>
      </c>
      <c r="G218" s="38" t="s">
        <v>10</v>
      </c>
      <c r="H218" s="38" t="s">
        <v>15</v>
      </c>
      <c r="I218" s="157">
        <v>407</v>
      </c>
      <c r="J218" t="s">
        <v>4035</v>
      </c>
    </row>
    <row r="219" spans="1:10" x14ac:dyDescent="0.25">
      <c r="A219" s="37" t="str">
        <f>C219&amp;"-"&amp;D219&amp;"-"&amp;E219&amp;"-"&amp;F219&amp;"-"&amp;CATALOGO[[#This Row],[Sub cuenta 3]]</f>
        <v>E-07-01-03-02</v>
      </c>
      <c r="B219" s="37" t="s">
        <v>183</v>
      </c>
      <c r="C219" s="37" t="s">
        <v>114</v>
      </c>
      <c r="D219" s="38" t="s">
        <v>75</v>
      </c>
      <c r="E219" s="38" t="s">
        <v>10</v>
      </c>
      <c r="F219" s="38" t="s">
        <v>22</v>
      </c>
      <c r="G219" s="38" t="s">
        <v>17</v>
      </c>
      <c r="H219" s="38" t="s">
        <v>15</v>
      </c>
      <c r="I219" s="157">
        <v>407</v>
      </c>
      <c r="J219" t="s">
        <v>4035</v>
      </c>
    </row>
    <row r="220" spans="1:10" x14ac:dyDescent="0.25">
      <c r="A220" s="37" t="str">
        <f>C220&amp;"-"&amp;D220&amp;"-"&amp;E220&amp;"-"&amp;F220&amp;"-"&amp;CATALOGO[[#This Row],[Sub cuenta 3]]</f>
        <v>E-07-01-03-03</v>
      </c>
      <c r="B220" s="37" t="s">
        <v>184</v>
      </c>
      <c r="C220" s="37" t="s">
        <v>114</v>
      </c>
      <c r="D220" s="38" t="s">
        <v>75</v>
      </c>
      <c r="E220" s="38" t="s">
        <v>10</v>
      </c>
      <c r="F220" s="38" t="s">
        <v>22</v>
      </c>
      <c r="G220" s="38" t="s">
        <v>22</v>
      </c>
      <c r="H220" s="38" t="s">
        <v>15</v>
      </c>
      <c r="I220" s="157">
        <v>407</v>
      </c>
      <c r="J220" t="s">
        <v>4035</v>
      </c>
    </row>
    <row r="221" spans="1:10" x14ac:dyDescent="0.25">
      <c r="A221" s="37" t="str">
        <f>C221&amp;"-"&amp;D221&amp;"-"&amp;E221&amp;"-"&amp;F221&amp;"-"&amp;CATALOGO[[#This Row],[Sub cuenta 3]]</f>
        <v>E-07-01-04-00</v>
      </c>
      <c r="B221" s="37" t="s">
        <v>185</v>
      </c>
      <c r="C221" s="37" t="s">
        <v>114</v>
      </c>
      <c r="D221" s="38" t="s">
        <v>75</v>
      </c>
      <c r="E221" s="38" t="s">
        <v>10</v>
      </c>
      <c r="F221" s="38" t="s">
        <v>26</v>
      </c>
      <c r="G221" s="38" t="s">
        <v>11</v>
      </c>
      <c r="H221" s="38" t="s">
        <v>12</v>
      </c>
      <c r="I221" s="157">
        <v>407</v>
      </c>
      <c r="J221" t="s">
        <v>4035</v>
      </c>
    </row>
    <row r="222" spans="1:10" x14ac:dyDescent="0.25">
      <c r="A222" s="37" t="str">
        <f>C222&amp;"-"&amp;D222&amp;"-"&amp;E222&amp;"-"&amp;F222&amp;"-"&amp;CATALOGO[[#This Row],[Sub cuenta 3]]</f>
        <v>E-07-01-04-01</v>
      </c>
      <c r="B222" s="37" t="s">
        <v>186</v>
      </c>
      <c r="C222" s="37" t="s">
        <v>114</v>
      </c>
      <c r="D222" s="38" t="s">
        <v>75</v>
      </c>
      <c r="E222" s="38" t="s">
        <v>10</v>
      </c>
      <c r="F222" s="38" t="s">
        <v>26</v>
      </c>
      <c r="G222" s="38" t="s">
        <v>10</v>
      </c>
      <c r="H222" s="38" t="s">
        <v>15</v>
      </c>
      <c r="I222" s="157">
        <v>407</v>
      </c>
      <c r="J222" t="s">
        <v>4035</v>
      </c>
    </row>
    <row r="223" spans="1:10" x14ac:dyDescent="0.25">
      <c r="A223" s="37" t="str">
        <f>C223&amp;"-"&amp;D223&amp;"-"&amp;E223&amp;"-"&amp;F223&amp;"-"&amp;CATALOGO[[#This Row],[Sub cuenta 3]]</f>
        <v>E-07-01-04-02</v>
      </c>
      <c r="B223" s="37" t="s">
        <v>187</v>
      </c>
      <c r="C223" s="37" t="s">
        <v>114</v>
      </c>
      <c r="D223" s="38" t="s">
        <v>75</v>
      </c>
      <c r="E223" s="38" t="s">
        <v>10</v>
      </c>
      <c r="F223" s="38" t="s">
        <v>26</v>
      </c>
      <c r="G223" s="38" t="s">
        <v>17</v>
      </c>
      <c r="H223" s="38" t="s">
        <v>15</v>
      </c>
      <c r="I223" s="157">
        <v>407</v>
      </c>
      <c r="J223" t="s">
        <v>4035</v>
      </c>
    </row>
    <row r="224" spans="1:10" x14ac:dyDescent="0.25">
      <c r="A224" s="37" t="str">
        <f>C224&amp;"-"&amp;D224&amp;"-"&amp;E224&amp;"-"&amp;F224&amp;"-"&amp;CATALOGO[[#This Row],[Sub cuenta 3]]</f>
        <v>E-07-01-05-00</v>
      </c>
      <c r="B224" s="37" t="s">
        <v>188</v>
      </c>
      <c r="C224" s="37" t="s">
        <v>114</v>
      </c>
      <c r="D224" s="38" t="s">
        <v>75</v>
      </c>
      <c r="E224" s="38" t="s">
        <v>10</v>
      </c>
      <c r="F224" s="38" t="s">
        <v>62</v>
      </c>
      <c r="G224" s="36" t="s">
        <v>11</v>
      </c>
      <c r="H224" s="38" t="s">
        <v>12</v>
      </c>
      <c r="I224" s="157">
        <v>407</v>
      </c>
      <c r="J224" t="s">
        <v>4035</v>
      </c>
    </row>
    <row r="225" spans="1:10" x14ac:dyDescent="0.25">
      <c r="A225" s="37" t="str">
        <f>C225&amp;"-"&amp;D225&amp;"-"&amp;E225&amp;"-"&amp;F225&amp;"-"&amp;CATALOGO[[#This Row],[Sub cuenta 3]]</f>
        <v>E-07-01-05-01</v>
      </c>
      <c r="B225" s="37" t="s">
        <v>189</v>
      </c>
      <c r="C225" s="37" t="s">
        <v>114</v>
      </c>
      <c r="D225" s="38" t="s">
        <v>75</v>
      </c>
      <c r="E225" s="38" t="s">
        <v>10</v>
      </c>
      <c r="F225" s="38" t="s">
        <v>62</v>
      </c>
      <c r="G225" s="36" t="s">
        <v>10</v>
      </c>
      <c r="H225" s="38" t="s">
        <v>15</v>
      </c>
      <c r="I225" s="157">
        <v>407</v>
      </c>
      <c r="J225" t="s">
        <v>4035</v>
      </c>
    </row>
    <row r="226" spans="1:10" x14ac:dyDescent="0.25">
      <c r="A226" s="37" t="str">
        <f>C226&amp;"-"&amp;D226&amp;"-"&amp;E226&amp;"-"&amp;F226&amp;"-"&amp;CATALOGO[[#This Row],[Sub cuenta 3]]</f>
        <v>E-07-01-05-02</v>
      </c>
      <c r="B226" s="37" t="s">
        <v>190</v>
      </c>
      <c r="C226" s="37" t="s">
        <v>114</v>
      </c>
      <c r="D226" s="38" t="s">
        <v>75</v>
      </c>
      <c r="E226" s="38" t="s">
        <v>10</v>
      </c>
      <c r="F226" s="38" t="s">
        <v>62</v>
      </c>
      <c r="G226" s="36" t="s">
        <v>17</v>
      </c>
      <c r="H226" s="38" t="s">
        <v>15</v>
      </c>
      <c r="I226" s="157">
        <v>407</v>
      </c>
      <c r="J226" t="s">
        <v>4035</v>
      </c>
    </row>
    <row r="227" spans="1:10" x14ac:dyDescent="0.25">
      <c r="A227" s="37" t="str">
        <f>C227&amp;"-"&amp;D227&amp;"-"&amp;E227&amp;"-"&amp;F227&amp;"-"&amp;CATALOGO[[#This Row],[Sub cuenta 3]]</f>
        <v>E-07-01-05-03</v>
      </c>
      <c r="B227" s="37" t="s">
        <v>191</v>
      </c>
      <c r="C227" s="37" t="s">
        <v>114</v>
      </c>
      <c r="D227" s="38" t="s">
        <v>75</v>
      </c>
      <c r="E227" s="38" t="s">
        <v>10</v>
      </c>
      <c r="F227" s="38" t="s">
        <v>62</v>
      </c>
      <c r="G227" s="36" t="s">
        <v>22</v>
      </c>
      <c r="H227" s="38" t="s">
        <v>15</v>
      </c>
      <c r="I227" s="157">
        <v>407</v>
      </c>
      <c r="J227" t="s">
        <v>4035</v>
      </c>
    </row>
    <row r="228" spans="1:10" x14ac:dyDescent="0.25">
      <c r="A228" s="37" t="str">
        <f>C228&amp;"-"&amp;D228&amp;"-"&amp;E228&amp;"-"&amp;F228&amp;"-"&amp;CATALOGO[[#This Row],[Sub cuenta 3]]</f>
        <v>E-07-01-05-04</v>
      </c>
      <c r="B228" s="37" t="s">
        <v>192</v>
      </c>
      <c r="C228" s="37" t="s">
        <v>114</v>
      </c>
      <c r="D228" s="38" t="s">
        <v>75</v>
      </c>
      <c r="E228" s="38" t="s">
        <v>10</v>
      </c>
      <c r="F228" s="38" t="s">
        <v>62</v>
      </c>
      <c r="G228" s="36" t="s">
        <v>26</v>
      </c>
      <c r="H228" s="38" t="s">
        <v>15</v>
      </c>
      <c r="I228" s="157">
        <v>407</v>
      </c>
      <c r="J228" t="s">
        <v>4035</v>
      </c>
    </row>
    <row r="229" spans="1:10" x14ac:dyDescent="0.25">
      <c r="A229" s="37" t="str">
        <f>C229&amp;"-"&amp;D229&amp;"-"&amp;E229&amp;"-"&amp;F229&amp;"-"&amp;CATALOGO[[#This Row],[Sub cuenta 3]]</f>
        <v>E-07-01-05-05</v>
      </c>
      <c r="B229" s="37" t="s">
        <v>193</v>
      </c>
      <c r="C229" s="37" t="s">
        <v>114</v>
      </c>
      <c r="D229" s="38" t="s">
        <v>75</v>
      </c>
      <c r="E229" s="38" t="s">
        <v>10</v>
      </c>
      <c r="F229" s="38" t="s">
        <v>62</v>
      </c>
      <c r="G229" s="36" t="s">
        <v>62</v>
      </c>
      <c r="H229" s="38" t="s">
        <v>15</v>
      </c>
      <c r="I229" s="157">
        <v>407</v>
      </c>
      <c r="J229" t="s">
        <v>4035</v>
      </c>
    </row>
    <row r="230" spans="1:10" x14ac:dyDescent="0.25">
      <c r="A230" s="37" t="str">
        <f>C230&amp;"-"&amp;D230&amp;"-"&amp;E230&amp;"-"&amp;F230&amp;"-"&amp;CATALOGO[[#This Row],[Sub cuenta 3]]</f>
        <v>E-07-01-05-06</v>
      </c>
      <c r="B230" s="37" t="s">
        <v>194</v>
      </c>
      <c r="C230" s="37" t="s">
        <v>114</v>
      </c>
      <c r="D230" s="38" t="s">
        <v>75</v>
      </c>
      <c r="E230" s="38" t="s">
        <v>10</v>
      </c>
      <c r="F230" s="38" t="s">
        <v>62</v>
      </c>
      <c r="G230" s="36" t="s">
        <v>73</v>
      </c>
      <c r="H230" s="38" t="s">
        <v>15</v>
      </c>
      <c r="I230" s="157">
        <v>407</v>
      </c>
      <c r="J230" t="s">
        <v>4035</v>
      </c>
    </row>
    <row r="231" spans="1:10" x14ac:dyDescent="0.25">
      <c r="A231" s="135" t="str">
        <f>C231&amp;"-"&amp;D231&amp;"-"&amp;E231&amp;"-"&amp;F231&amp;"-"&amp;CATALOGO[[#This Row],[Sub cuenta 3]]</f>
        <v>E-07-01-05-07</v>
      </c>
      <c r="B231" s="135" t="s">
        <v>195</v>
      </c>
      <c r="C231" s="37" t="s">
        <v>114</v>
      </c>
      <c r="D231" s="38" t="s">
        <v>75</v>
      </c>
      <c r="E231" s="38" t="s">
        <v>10</v>
      </c>
      <c r="F231" s="38" t="s">
        <v>62</v>
      </c>
      <c r="G231" s="36" t="s">
        <v>75</v>
      </c>
      <c r="H231" s="38" t="s">
        <v>15</v>
      </c>
      <c r="I231" s="157">
        <v>407</v>
      </c>
      <c r="J231" t="s">
        <v>4035</v>
      </c>
    </row>
    <row r="232" spans="1:10" s="7" customFormat="1" x14ac:dyDescent="0.25">
      <c r="A232" s="37" t="str">
        <f>C232&amp;"-"&amp;D232&amp;"-"&amp;E232&amp;"-"&amp;F232&amp;"-"&amp;CATALOGO[[#This Row],[Sub cuenta 3]]</f>
        <v>E-07-02-00-00</v>
      </c>
      <c r="B232" s="37" t="s">
        <v>196</v>
      </c>
      <c r="C232" s="37" t="s">
        <v>114</v>
      </c>
      <c r="D232" s="38" t="s">
        <v>75</v>
      </c>
      <c r="E232" s="38" t="s">
        <v>17</v>
      </c>
      <c r="F232" s="38" t="s">
        <v>11</v>
      </c>
      <c r="G232" s="38" t="s">
        <v>11</v>
      </c>
      <c r="H232" s="38" t="s">
        <v>12</v>
      </c>
      <c r="I232" s="157">
        <v>407</v>
      </c>
      <c r="J232" t="s">
        <v>4035</v>
      </c>
    </row>
    <row r="233" spans="1:10" s="7" customFormat="1" x14ac:dyDescent="0.25">
      <c r="A233" s="37" t="str">
        <f>C233&amp;"-"&amp;D233&amp;"-"&amp;E233&amp;"-"&amp;F233&amp;"-"&amp;CATALOGO[[#This Row],[Sub cuenta 3]]</f>
        <v>E-07-02-01-00</v>
      </c>
      <c r="B233" s="37" t="s">
        <v>197</v>
      </c>
      <c r="C233" s="37" t="s">
        <v>114</v>
      </c>
      <c r="D233" s="38" t="s">
        <v>75</v>
      </c>
      <c r="E233" s="38" t="s">
        <v>17</v>
      </c>
      <c r="F233" s="38" t="s">
        <v>10</v>
      </c>
      <c r="G233" s="36" t="s">
        <v>11</v>
      </c>
      <c r="H233" s="38" t="s">
        <v>15</v>
      </c>
      <c r="I233" s="157">
        <v>407</v>
      </c>
      <c r="J233" t="s">
        <v>4035</v>
      </c>
    </row>
    <row r="234" spans="1:10" s="7" customFormat="1" x14ac:dyDescent="0.25">
      <c r="A234" s="37" t="str">
        <f>C234&amp;"-"&amp;D234&amp;"-"&amp;E234&amp;"-"&amp;F234&amp;"-"&amp;CATALOGO[[#This Row],[Sub cuenta 3]]</f>
        <v>E-07-02-02-00</v>
      </c>
      <c r="B234" s="37" t="s">
        <v>198</v>
      </c>
      <c r="C234" s="37" t="s">
        <v>114</v>
      </c>
      <c r="D234" s="38" t="s">
        <v>75</v>
      </c>
      <c r="E234" s="38" t="s">
        <v>17</v>
      </c>
      <c r="F234" s="38" t="s">
        <v>17</v>
      </c>
      <c r="G234" s="36" t="s">
        <v>11</v>
      </c>
      <c r="H234" s="38" t="s">
        <v>15</v>
      </c>
      <c r="I234" s="157">
        <v>407</v>
      </c>
      <c r="J234" t="s">
        <v>4035</v>
      </c>
    </row>
    <row r="235" spans="1:10" s="7" customFormat="1" x14ac:dyDescent="0.25">
      <c r="A235" s="37" t="str">
        <f>C235&amp;"-"&amp;D235&amp;"-"&amp;E235&amp;"-"&amp;F235&amp;"-"&amp;CATALOGO[[#This Row],[Sub cuenta 3]]</f>
        <v>E-07-02-03-00</v>
      </c>
      <c r="B235" s="37" t="s">
        <v>199</v>
      </c>
      <c r="C235" s="37" t="s">
        <v>114</v>
      </c>
      <c r="D235" s="38" t="s">
        <v>75</v>
      </c>
      <c r="E235" s="38" t="s">
        <v>17</v>
      </c>
      <c r="F235" s="38" t="s">
        <v>22</v>
      </c>
      <c r="G235" s="36" t="s">
        <v>11</v>
      </c>
      <c r="H235" s="38" t="s">
        <v>15</v>
      </c>
      <c r="I235" s="157">
        <v>407</v>
      </c>
      <c r="J235" t="s">
        <v>4035</v>
      </c>
    </row>
    <row r="236" spans="1:10" s="7" customFormat="1" x14ac:dyDescent="0.25">
      <c r="A236" s="37" t="str">
        <f>C236&amp;"-"&amp;D236&amp;"-"&amp;E236&amp;"-"&amp;F236&amp;"-"&amp;CATALOGO[[#This Row],[Sub cuenta 3]]</f>
        <v>E-07-02-04-00</v>
      </c>
      <c r="B236" s="37" t="s">
        <v>200</v>
      </c>
      <c r="C236" s="37" t="s">
        <v>114</v>
      </c>
      <c r="D236" s="38" t="s">
        <v>75</v>
      </c>
      <c r="E236" s="38" t="s">
        <v>17</v>
      </c>
      <c r="F236" s="38" t="s">
        <v>26</v>
      </c>
      <c r="G236" s="36" t="s">
        <v>11</v>
      </c>
      <c r="H236" s="38" t="s">
        <v>15</v>
      </c>
      <c r="I236" s="157">
        <v>407</v>
      </c>
      <c r="J236" t="s">
        <v>4035</v>
      </c>
    </row>
    <row r="237" spans="1:10" x14ac:dyDescent="0.25">
      <c r="A237" s="39" t="str">
        <f>C237&amp;"-"&amp;D237&amp;"-"&amp;E237&amp;"-"&amp;F237&amp;"-"&amp;CATALOGO[[#This Row],[Sub cuenta 3]]</f>
        <v>E-08-00-00-00</v>
      </c>
      <c r="B237" s="39" t="s">
        <v>201</v>
      </c>
      <c r="C237" s="37" t="s">
        <v>114</v>
      </c>
      <c r="D237" s="38" t="s">
        <v>77</v>
      </c>
      <c r="E237" s="38" t="s">
        <v>11</v>
      </c>
      <c r="F237" s="38" t="s">
        <v>11</v>
      </c>
      <c r="G237" s="36" t="s">
        <v>11</v>
      </c>
      <c r="H237" s="38" t="s">
        <v>12</v>
      </c>
      <c r="I237" s="157">
        <v>407</v>
      </c>
      <c r="J237" t="s">
        <v>4035</v>
      </c>
    </row>
    <row r="238" spans="1:10" x14ac:dyDescent="0.25">
      <c r="A238" s="37" t="str">
        <f>C238&amp;"-"&amp;D238&amp;"-"&amp;E238&amp;"-"&amp;F238&amp;"-"&amp;CATALOGO[[#This Row],[Sub cuenta 3]]</f>
        <v>E-08-01-00-00</v>
      </c>
      <c r="B238" s="37" t="s">
        <v>202</v>
      </c>
      <c r="C238" s="37" t="s">
        <v>114</v>
      </c>
      <c r="D238" s="38" t="s">
        <v>77</v>
      </c>
      <c r="E238" s="38" t="s">
        <v>10</v>
      </c>
      <c r="F238" s="38" t="s">
        <v>11</v>
      </c>
      <c r="G238" s="36" t="s">
        <v>11</v>
      </c>
      <c r="H238" s="38" t="s">
        <v>12</v>
      </c>
      <c r="I238" s="157">
        <v>407</v>
      </c>
      <c r="J238" t="s">
        <v>4035</v>
      </c>
    </row>
    <row r="239" spans="1:10" x14ac:dyDescent="0.25">
      <c r="A239" s="37" t="str">
        <f>C239&amp;"-"&amp;D239&amp;"-"&amp;E239&amp;"-"&amp;F239&amp;"-"&amp;CATALOGO[[#This Row],[Sub cuenta 3]]</f>
        <v>E-08-01-01-00</v>
      </c>
      <c r="B239" s="37" t="s">
        <v>203</v>
      </c>
      <c r="C239" s="37" t="s">
        <v>114</v>
      </c>
      <c r="D239" s="38" t="s">
        <v>77</v>
      </c>
      <c r="E239" s="38" t="s">
        <v>10</v>
      </c>
      <c r="F239" s="38" t="s">
        <v>10</v>
      </c>
      <c r="G239" s="36" t="s">
        <v>11</v>
      </c>
      <c r="H239" s="38" t="s">
        <v>12</v>
      </c>
      <c r="I239" s="157">
        <v>407</v>
      </c>
      <c r="J239" t="s">
        <v>4035</v>
      </c>
    </row>
    <row r="240" spans="1:10" x14ac:dyDescent="0.25">
      <c r="A240" s="37" t="str">
        <f>C240&amp;"-"&amp;D240&amp;"-"&amp;E240&amp;"-"&amp;F240&amp;"-"&amp;CATALOGO[[#This Row],[Sub cuenta 3]]</f>
        <v>E-08-01-01-01</v>
      </c>
      <c r="B240" s="37" t="s">
        <v>204</v>
      </c>
      <c r="C240" s="37" t="s">
        <v>114</v>
      </c>
      <c r="D240" s="38" t="s">
        <v>77</v>
      </c>
      <c r="E240" s="38" t="s">
        <v>10</v>
      </c>
      <c r="F240" s="38" t="s">
        <v>10</v>
      </c>
      <c r="G240" s="38" t="s">
        <v>10</v>
      </c>
      <c r="H240" s="38" t="s">
        <v>15</v>
      </c>
      <c r="I240" s="157">
        <v>407</v>
      </c>
      <c r="J240" t="s">
        <v>4035</v>
      </c>
    </row>
    <row r="241" spans="1:10" x14ac:dyDescent="0.25">
      <c r="A241" s="37" t="str">
        <f>C241&amp;"-"&amp;D241&amp;"-"&amp;E241&amp;"-"&amp;F241&amp;"-"&amp;CATALOGO[[#This Row],[Sub cuenta 3]]</f>
        <v>E-08-01-02-00</v>
      </c>
      <c r="B241" s="37" t="s">
        <v>205</v>
      </c>
      <c r="C241" s="37" t="s">
        <v>114</v>
      </c>
      <c r="D241" s="38" t="s">
        <v>77</v>
      </c>
      <c r="E241" s="38" t="s">
        <v>10</v>
      </c>
      <c r="F241" s="38" t="s">
        <v>17</v>
      </c>
      <c r="G241" s="36" t="s">
        <v>11</v>
      </c>
      <c r="H241" s="38" t="s">
        <v>12</v>
      </c>
      <c r="I241" s="157">
        <v>407</v>
      </c>
      <c r="J241" t="s">
        <v>4035</v>
      </c>
    </row>
    <row r="242" spans="1:10" x14ac:dyDescent="0.25">
      <c r="A242" s="37" t="str">
        <f>C242&amp;"-"&amp;D242&amp;"-"&amp;E242&amp;"-"&amp;F242&amp;"-"&amp;CATALOGO[[#This Row],[Sub cuenta 3]]</f>
        <v>E-08-01-02-01</v>
      </c>
      <c r="B242" s="37" t="s">
        <v>206</v>
      </c>
      <c r="C242" s="37" t="s">
        <v>114</v>
      </c>
      <c r="D242" s="38" t="s">
        <v>77</v>
      </c>
      <c r="E242" s="38" t="s">
        <v>10</v>
      </c>
      <c r="F242" s="38" t="s">
        <v>17</v>
      </c>
      <c r="G242" s="36" t="s">
        <v>10</v>
      </c>
      <c r="H242" s="38" t="s">
        <v>15</v>
      </c>
      <c r="I242" s="157">
        <v>407</v>
      </c>
      <c r="J242" t="s">
        <v>4035</v>
      </c>
    </row>
    <row r="243" spans="1:10" x14ac:dyDescent="0.25">
      <c r="A243" s="37" t="str">
        <f>C243&amp;"-"&amp;D243&amp;"-"&amp;E243&amp;"-"&amp;F243&amp;"-"&amp;CATALOGO[[#This Row],[Sub cuenta 3]]</f>
        <v>E-08-01-02-02</v>
      </c>
      <c r="B243" s="37" t="s">
        <v>207</v>
      </c>
      <c r="C243" s="37" t="s">
        <v>114</v>
      </c>
      <c r="D243" s="38" t="s">
        <v>77</v>
      </c>
      <c r="E243" s="38" t="s">
        <v>10</v>
      </c>
      <c r="F243" s="38" t="s">
        <v>17</v>
      </c>
      <c r="G243" s="36" t="s">
        <v>17</v>
      </c>
      <c r="H243" s="38" t="s">
        <v>15</v>
      </c>
      <c r="I243" s="157">
        <v>407</v>
      </c>
      <c r="J243" t="s">
        <v>4035</v>
      </c>
    </row>
    <row r="244" spans="1:10" x14ac:dyDescent="0.25">
      <c r="A244" s="37" t="str">
        <f>C244&amp;"-"&amp;D244&amp;"-"&amp;E244&amp;"-"&amp;F244&amp;"-"&amp;CATALOGO[[#This Row],[Sub cuenta 3]]</f>
        <v>E-08-01-03-00</v>
      </c>
      <c r="B244" s="37" t="s">
        <v>208</v>
      </c>
      <c r="C244" s="37" t="s">
        <v>114</v>
      </c>
      <c r="D244" s="38" t="s">
        <v>77</v>
      </c>
      <c r="E244" s="38" t="s">
        <v>10</v>
      </c>
      <c r="F244" s="38" t="s">
        <v>22</v>
      </c>
      <c r="G244" s="36" t="s">
        <v>11</v>
      </c>
      <c r="H244" s="38" t="s">
        <v>12</v>
      </c>
      <c r="I244" s="157">
        <v>407</v>
      </c>
      <c r="J244" t="s">
        <v>4035</v>
      </c>
    </row>
    <row r="245" spans="1:10" x14ac:dyDescent="0.25">
      <c r="A245" s="37" t="str">
        <f>C245&amp;"-"&amp;D245&amp;"-"&amp;E245&amp;"-"&amp;F245&amp;"-"&amp;CATALOGO[[#This Row],[Sub cuenta 3]]</f>
        <v>E-08-01-03-01</v>
      </c>
      <c r="B245" s="37" t="s">
        <v>209</v>
      </c>
      <c r="C245" s="37" t="s">
        <v>114</v>
      </c>
      <c r="D245" s="38" t="s">
        <v>77</v>
      </c>
      <c r="E245" s="38" t="s">
        <v>10</v>
      </c>
      <c r="F245" s="38" t="s">
        <v>22</v>
      </c>
      <c r="G245" s="36" t="s">
        <v>10</v>
      </c>
      <c r="H245" s="38" t="s">
        <v>15</v>
      </c>
      <c r="I245" s="157">
        <v>407</v>
      </c>
      <c r="J245" t="s">
        <v>4035</v>
      </c>
    </row>
    <row r="246" spans="1:10" x14ac:dyDescent="0.25">
      <c r="A246" s="37" t="str">
        <f>C246&amp;"-"&amp;D246&amp;"-"&amp;E246&amp;"-"&amp;F246&amp;"-"&amp;CATALOGO[[#This Row],[Sub cuenta 3]]</f>
        <v>E-08-01-03-02</v>
      </c>
      <c r="B246" s="37" t="s">
        <v>210</v>
      </c>
      <c r="C246" s="37" t="s">
        <v>114</v>
      </c>
      <c r="D246" s="38" t="s">
        <v>77</v>
      </c>
      <c r="E246" s="38" t="s">
        <v>10</v>
      </c>
      <c r="F246" s="38" t="s">
        <v>22</v>
      </c>
      <c r="G246" s="36" t="s">
        <v>17</v>
      </c>
      <c r="H246" s="38" t="s">
        <v>15</v>
      </c>
      <c r="I246" s="157">
        <v>407</v>
      </c>
      <c r="J246" t="s">
        <v>4035</v>
      </c>
    </row>
    <row r="247" spans="1:10" x14ac:dyDescent="0.25">
      <c r="A247" s="37" t="str">
        <f>C247&amp;"-"&amp;D247&amp;"-"&amp;E247&amp;"-"&amp;F247&amp;"-"&amp;CATALOGO[[#This Row],[Sub cuenta 3]]</f>
        <v>E-08-01-03-03</v>
      </c>
      <c r="B247" s="37" t="s">
        <v>211</v>
      </c>
      <c r="C247" s="37" t="s">
        <v>114</v>
      </c>
      <c r="D247" s="38" t="s">
        <v>77</v>
      </c>
      <c r="E247" s="38" t="s">
        <v>10</v>
      </c>
      <c r="F247" s="38" t="s">
        <v>22</v>
      </c>
      <c r="G247" s="36" t="s">
        <v>22</v>
      </c>
      <c r="H247" s="38" t="s">
        <v>15</v>
      </c>
      <c r="I247" s="157">
        <v>407</v>
      </c>
      <c r="J247" t="s">
        <v>4035</v>
      </c>
    </row>
    <row r="248" spans="1:10" x14ac:dyDescent="0.25">
      <c r="A248" s="37" t="str">
        <f>C248&amp;"-"&amp;D248&amp;"-"&amp;E248&amp;"-"&amp;F248&amp;"-"&amp;CATALOGO[[#This Row],[Sub cuenta 3]]</f>
        <v>E-08-01-03-04</v>
      </c>
      <c r="B248" s="37" t="s">
        <v>212</v>
      </c>
      <c r="C248" s="37" t="s">
        <v>114</v>
      </c>
      <c r="D248" s="38" t="s">
        <v>77</v>
      </c>
      <c r="E248" s="38" t="s">
        <v>10</v>
      </c>
      <c r="F248" s="38" t="s">
        <v>22</v>
      </c>
      <c r="G248" s="36" t="s">
        <v>26</v>
      </c>
      <c r="H248" s="38" t="s">
        <v>15</v>
      </c>
      <c r="I248" s="157">
        <v>407</v>
      </c>
      <c r="J248" t="s">
        <v>4035</v>
      </c>
    </row>
    <row r="249" spans="1:10" x14ac:dyDescent="0.25">
      <c r="A249" s="37" t="str">
        <f>C249&amp;"-"&amp;D249&amp;"-"&amp;E249&amp;"-"&amp;F249&amp;"-"&amp;CATALOGO[[#This Row],[Sub cuenta 3]]</f>
        <v>E-08-01-03-05</v>
      </c>
      <c r="B249" s="37" t="s">
        <v>213</v>
      </c>
      <c r="C249" s="37" t="s">
        <v>114</v>
      </c>
      <c r="D249" s="38" t="s">
        <v>77</v>
      </c>
      <c r="E249" s="38" t="s">
        <v>10</v>
      </c>
      <c r="F249" s="38" t="s">
        <v>22</v>
      </c>
      <c r="G249" s="36" t="s">
        <v>62</v>
      </c>
      <c r="H249" s="38" t="s">
        <v>15</v>
      </c>
      <c r="I249" s="157">
        <v>407</v>
      </c>
      <c r="J249" t="s">
        <v>4035</v>
      </c>
    </row>
    <row r="250" spans="1:10" x14ac:dyDescent="0.25">
      <c r="A250" s="37" t="str">
        <f>C250&amp;"-"&amp;D250&amp;"-"&amp;E250&amp;"-"&amp;F250&amp;"-"&amp;CATALOGO[[#This Row],[Sub cuenta 3]]</f>
        <v>E-08-01-04-00</v>
      </c>
      <c r="B250" s="37" t="s">
        <v>214</v>
      </c>
      <c r="C250" s="37" t="s">
        <v>114</v>
      </c>
      <c r="D250" s="38" t="s">
        <v>77</v>
      </c>
      <c r="E250" s="38" t="s">
        <v>10</v>
      </c>
      <c r="F250" s="38" t="s">
        <v>26</v>
      </c>
      <c r="G250" s="36" t="s">
        <v>11</v>
      </c>
      <c r="H250" s="38" t="s">
        <v>15</v>
      </c>
      <c r="I250" s="157">
        <v>407</v>
      </c>
      <c r="J250" t="s">
        <v>4035</v>
      </c>
    </row>
    <row r="251" spans="1:10" x14ac:dyDescent="0.25">
      <c r="A251" s="37" t="str">
        <f>C251&amp;"-"&amp;D251&amp;"-"&amp;E251&amp;"-"&amp;F251&amp;"-"&amp;CATALOGO[[#This Row],[Sub cuenta 3]]</f>
        <v>E-08-01-05-00</v>
      </c>
      <c r="B251" s="37" t="s">
        <v>155</v>
      </c>
      <c r="C251" s="37" t="s">
        <v>114</v>
      </c>
      <c r="D251" s="38" t="s">
        <v>77</v>
      </c>
      <c r="E251" s="38" t="s">
        <v>10</v>
      </c>
      <c r="F251" s="38" t="s">
        <v>62</v>
      </c>
      <c r="G251" s="36" t="s">
        <v>11</v>
      </c>
      <c r="H251" s="38" t="s">
        <v>15</v>
      </c>
      <c r="I251" s="157">
        <v>407</v>
      </c>
      <c r="J251" t="s">
        <v>4035</v>
      </c>
    </row>
    <row r="252" spans="1:10" x14ac:dyDescent="0.25">
      <c r="A252" s="37" t="str">
        <f>C252&amp;"-"&amp;D252&amp;"-"&amp;E252&amp;"-"&amp;F252&amp;"-"&amp;CATALOGO[[#This Row],[Sub cuenta 3]]</f>
        <v>E-08-02-00-00</v>
      </c>
      <c r="B252" s="37" t="s">
        <v>215</v>
      </c>
      <c r="C252" s="37" t="s">
        <v>114</v>
      </c>
      <c r="D252" s="38" t="s">
        <v>77</v>
      </c>
      <c r="E252" s="38" t="s">
        <v>17</v>
      </c>
      <c r="F252" s="38" t="s">
        <v>11</v>
      </c>
      <c r="G252" s="36" t="s">
        <v>11</v>
      </c>
      <c r="H252" s="38" t="s">
        <v>15</v>
      </c>
      <c r="I252" s="157">
        <v>407</v>
      </c>
      <c r="J252" t="s">
        <v>4035</v>
      </c>
    </row>
    <row r="253" spans="1:10" x14ac:dyDescent="0.25">
      <c r="A253" s="37" t="str">
        <f>C253&amp;"-"&amp;D253&amp;"-"&amp;E253&amp;"-"&amp;F253&amp;"-"&amp;CATALOGO[[#This Row],[Sub cuenta 3]]</f>
        <v>E-08-03-00-00</v>
      </c>
      <c r="B253" s="37" t="s">
        <v>216</v>
      </c>
      <c r="C253" s="37" t="s">
        <v>114</v>
      </c>
      <c r="D253" s="38" t="s">
        <v>77</v>
      </c>
      <c r="E253" s="38" t="s">
        <v>22</v>
      </c>
      <c r="F253" s="38" t="s">
        <v>11</v>
      </c>
      <c r="G253" s="36" t="s">
        <v>11</v>
      </c>
      <c r="H253" s="38" t="s">
        <v>12</v>
      </c>
      <c r="I253" s="157">
        <v>407</v>
      </c>
      <c r="J253" t="s">
        <v>4035</v>
      </c>
    </row>
    <row r="254" spans="1:10" x14ac:dyDescent="0.25">
      <c r="A254" s="37" t="str">
        <f>C254&amp;"-"&amp;D254&amp;"-"&amp;E254&amp;"-"&amp;F254&amp;"-"&amp;CATALOGO[[#This Row],[Sub cuenta 3]]</f>
        <v>E-08-03-01-00</v>
      </c>
      <c r="B254" s="37" t="s">
        <v>216</v>
      </c>
      <c r="C254" s="37" t="s">
        <v>114</v>
      </c>
      <c r="D254" s="38" t="s">
        <v>77</v>
      </c>
      <c r="E254" s="38" t="s">
        <v>22</v>
      </c>
      <c r="F254" s="38" t="s">
        <v>10</v>
      </c>
      <c r="G254" s="36" t="s">
        <v>11</v>
      </c>
      <c r="H254" s="38" t="s">
        <v>12</v>
      </c>
      <c r="I254" s="157">
        <v>407</v>
      </c>
      <c r="J254" t="s">
        <v>4035</v>
      </c>
    </row>
    <row r="255" spans="1:10" x14ac:dyDescent="0.25">
      <c r="A255" s="37" t="str">
        <f>C255&amp;"-"&amp;D255&amp;"-"&amp;E255&amp;"-"&amp;F255&amp;"-"&amp;CATALOGO[[#This Row],[Sub cuenta 3]]</f>
        <v>E-08-03-01-01</v>
      </c>
      <c r="B255" s="37" t="s">
        <v>217</v>
      </c>
      <c r="C255" s="37" t="s">
        <v>114</v>
      </c>
      <c r="D255" s="38" t="s">
        <v>77</v>
      </c>
      <c r="E255" s="38" t="s">
        <v>22</v>
      </c>
      <c r="F255" s="38" t="s">
        <v>10</v>
      </c>
      <c r="G255" s="36" t="s">
        <v>10</v>
      </c>
      <c r="H255" s="38" t="s">
        <v>15</v>
      </c>
      <c r="I255" s="157">
        <v>407</v>
      </c>
      <c r="J255" t="s">
        <v>4035</v>
      </c>
    </row>
    <row r="256" spans="1:10" x14ac:dyDescent="0.25">
      <c r="A256" s="37" t="str">
        <f>C256&amp;"-"&amp;D256&amp;"-"&amp;E256&amp;"-"&amp;F256&amp;"-"&amp;CATALOGO[[#This Row],[Sub cuenta 3]]</f>
        <v>E-08-03-01-02</v>
      </c>
      <c r="B256" s="37" t="s">
        <v>218</v>
      </c>
      <c r="C256" s="37" t="s">
        <v>114</v>
      </c>
      <c r="D256" s="38" t="s">
        <v>77</v>
      </c>
      <c r="E256" s="38" t="s">
        <v>22</v>
      </c>
      <c r="F256" s="38" t="s">
        <v>10</v>
      </c>
      <c r="G256" s="36" t="s">
        <v>17</v>
      </c>
      <c r="H256" s="38" t="s">
        <v>15</v>
      </c>
      <c r="I256" s="157">
        <v>407</v>
      </c>
      <c r="J256" t="s">
        <v>4035</v>
      </c>
    </row>
    <row r="257" spans="1:10" x14ac:dyDescent="0.25">
      <c r="A257" s="37" t="str">
        <f>C257&amp;"-"&amp;D257&amp;"-"&amp;E257&amp;"-"&amp;F257&amp;"-"&amp;CATALOGO[[#This Row],[Sub cuenta 3]]</f>
        <v>E-08-03-02-00</v>
      </c>
      <c r="B257" s="37" t="s">
        <v>219</v>
      </c>
      <c r="C257" s="37" t="s">
        <v>114</v>
      </c>
      <c r="D257" s="38" t="s">
        <v>77</v>
      </c>
      <c r="E257" s="38" t="s">
        <v>22</v>
      </c>
      <c r="F257" s="38" t="s">
        <v>17</v>
      </c>
      <c r="G257" s="36" t="s">
        <v>11</v>
      </c>
      <c r="H257" s="38" t="s">
        <v>15</v>
      </c>
      <c r="I257" s="157">
        <v>407</v>
      </c>
      <c r="J257" t="s">
        <v>4035</v>
      </c>
    </row>
    <row r="258" spans="1:10" x14ac:dyDescent="0.25">
      <c r="A258" s="37" t="str">
        <f>C258&amp;"-"&amp;D258&amp;"-"&amp;E258&amp;"-"&amp;F258&amp;"-"&amp;CATALOGO[[#This Row],[Sub cuenta 3]]</f>
        <v>E-08-03-03-00</v>
      </c>
      <c r="B258" s="37" t="s">
        <v>220</v>
      </c>
      <c r="C258" s="37" t="s">
        <v>114</v>
      </c>
      <c r="D258" s="38" t="s">
        <v>77</v>
      </c>
      <c r="E258" s="38" t="s">
        <v>22</v>
      </c>
      <c r="F258" s="38" t="s">
        <v>22</v>
      </c>
      <c r="G258" s="36" t="s">
        <v>11</v>
      </c>
      <c r="H258" s="38" t="s">
        <v>12</v>
      </c>
      <c r="I258" s="157">
        <v>407</v>
      </c>
      <c r="J258" t="s">
        <v>4035</v>
      </c>
    </row>
    <row r="259" spans="1:10" x14ac:dyDescent="0.25">
      <c r="A259" s="37" t="str">
        <f>C259&amp;"-"&amp;D259&amp;"-"&amp;E259&amp;"-"&amp;F259&amp;"-"&amp;CATALOGO[[#This Row],[Sub cuenta 3]]</f>
        <v>E-08-03-03-01</v>
      </c>
      <c r="B259" s="37" t="s">
        <v>221</v>
      </c>
      <c r="C259" s="37" t="s">
        <v>114</v>
      </c>
      <c r="D259" s="38" t="s">
        <v>77</v>
      </c>
      <c r="E259" s="38" t="s">
        <v>22</v>
      </c>
      <c r="F259" s="38" t="s">
        <v>22</v>
      </c>
      <c r="G259" s="36" t="s">
        <v>10</v>
      </c>
      <c r="H259" s="38" t="s">
        <v>15</v>
      </c>
      <c r="I259" s="157">
        <v>407</v>
      </c>
      <c r="J259" t="s">
        <v>4035</v>
      </c>
    </row>
    <row r="260" spans="1:10" x14ac:dyDescent="0.25">
      <c r="A260" s="37" t="str">
        <f>C260&amp;"-"&amp;D260&amp;"-"&amp;E260&amp;"-"&amp;F260&amp;"-"&amp;CATALOGO[[#This Row],[Sub cuenta 3]]</f>
        <v>E-08-03-03-02</v>
      </c>
      <c r="B260" s="37" t="s">
        <v>222</v>
      </c>
      <c r="C260" s="37" t="s">
        <v>114</v>
      </c>
      <c r="D260" s="38" t="s">
        <v>77</v>
      </c>
      <c r="E260" s="38" t="s">
        <v>22</v>
      </c>
      <c r="F260" s="38" t="s">
        <v>22</v>
      </c>
      <c r="G260" s="36" t="s">
        <v>17</v>
      </c>
      <c r="H260" s="38" t="s">
        <v>15</v>
      </c>
      <c r="I260" s="157">
        <v>407</v>
      </c>
      <c r="J260" t="s">
        <v>4035</v>
      </c>
    </row>
    <row r="261" spans="1:10" x14ac:dyDescent="0.25">
      <c r="A261" s="135" t="str">
        <f>C261&amp;"-"&amp;D261&amp;"-"&amp;E261&amp;"-"&amp;F261&amp;"-"&amp;CATALOGO[[#This Row],[Sub cuenta 3]]</f>
        <v>E-08-03-04-00</v>
      </c>
      <c r="B261" s="135" t="s">
        <v>223</v>
      </c>
      <c r="C261" s="135" t="s">
        <v>114</v>
      </c>
      <c r="D261" s="157" t="s">
        <v>77</v>
      </c>
      <c r="E261" s="157" t="s">
        <v>22</v>
      </c>
      <c r="F261" s="157" t="s">
        <v>26</v>
      </c>
      <c r="G261" s="157" t="s">
        <v>11</v>
      </c>
      <c r="H261" s="157" t="s">
        <v>12</v>
      </c>
      <c r="I261" s="157">
        <v>407</v>
      </c>
      <c r="J261" t="s">
        <v>4035</v>
      </c>
    </row>
    <row r="262" spans="1:10" x14ac:dyDescent="0.25">
      <c r="A262" s="135" t="str">
        <f>C262&amp;"-"&amp;D262&amp;"-"&amp;E262&amp;"-"&amp;F262&amp;"-"&amp;CATALOGO[[#This Row],[Sub cuenta 3]]</f>
        <v>E-08-03-04-01</v>
      </c>
      <c r="B262" s="135" t="s">
        <v>224</v>
      </c>
      <c r="C262" s="135" t="s">
        <v>114</v>
      </c>
      <c r="D262" s="157" t="s">
        <v>77</v>
      </c>
      <c r="E262" s="157" t="s">
        <v>22</v>
      </c>
      <c r="F262" s="157" t="s">
        <v>26</v>
      </c>
      <c r="G262" s="157" t="s">
        <v>10</v>
      </c>
      <c r="H262" s="157" t="s">
        <v>15</v>
      </c>
      <c r="I262" s="157">
        <v>407</v>
      </c>
      <c r="J262" t="s">
        <v>4035</v>
      </c>
    </row>
    <row r="263" spans="1:10" x14ac:dyDescent="0.25">
      <c r="A263" s="135" t="str">
        <f>C263&amp;"-"&amp;D263&amp;"-"&amp;E263&amp;"-"&amp;F263&amp;"-"&amp;CATALOGO[[#This Row],[Sub cuenta 3]]</f>
        <v>E-08-03-04-02</v>
      </c>
      <c r="B263" s="135" t="s">
        <v>225</v>
      </c>
      <c r="C263" s="135" t="s">
        <v>114</v>
      </c>
      <c r="D263" s="157" t="s">
        <v>77</v>
      </c>
      <c r="E263" s="157" t="s">
        <v>22</v>
      </c>
      <c r="F263" s="157" t="s">
        <v>26</v>
      </c>
      <c r="G263" s="157" t="s">
        <v>17</v>
      </c>
      <c r="H263" s="157" t="s">
        <v>15</v>
      </c>
      <c r="I263" s="157">
        <v>407</v>
      </c>
      <c r="J263" t="s">
        <v>4035</v>
      </c>
    </row>
    <row r="264" spans="1:10" x14ac:dyDescent="0.25">
      <c r="A264" s="39" t="str">
        <f>C264&amp;"-"&amp;D264&amp;"-"&amp;E264&amp;"-"&amp;F264&amp;"-"&amp;CATALOGO[[#This Row],[Sub cuenta 3]]</f>
        <v>E-09-00-00-00</v>
      </c>
      <c r="B264" s="39" t="s">
        <v>226</v>
      </c>
      <c r="C264" s="37" t="s">
        <v>114</v>
      </c>
      <c r="D264" s="38" t="s">
        <v>79</v>
      </c>
      <c r="E264" s="38" t="s">
        <v>11</v>
      </c>
      <c r="F264" s="38" t="s">
        <v>11</v>
      </c>
      <c r="G264" s="38" t="s">
        <v>11</v>
      </c>
      <c r="H264" s="38" t="s">
        <v>12</v>
      </c>
      <c r="I264" s="157">
        <v>407</v>
      </c>
      <c r="J264" t="s">
        <v>4035</v>
      </c>
    </row>
    <row r="265" spans="1:10" x14ac:dyDescent="0.25">
      <c r="A265" s="37" t="str">
        <f>C265&amp;"-"&amp;D265&amp;"-"&amp;E265&amp;"-"&amp;F265&amp;"-"&amp;CATALOGO[[#This Row],[Sub cuenta 3]]</f>
        <v>E-09-01-00-00</v>
      </c>
      <c r="B265" s="37" t="s">
        <v>227</v>
      </c>
      <c r="C265" s="37" t="s">
        <v>114</v>
      </c>
      <c r="D265" s="38" t="s">
        <v>79</v>
      </c>
      <c r="E265" s="38" t="s">
        <v>10</v>
      </c>
      <c r="F265" s="38" t="s">
        <v>11</v>
      </c>
      <c r="G265" s="38" t="s">
        <v>11</v>
      </c>
      <c r="H265" s="38" t="s">
        <v>12</v>
      </c>
      <c r="I265" s="157">
        <v>407</v>
      </c>
      <c r="J265" t="s">
        <v>4035</v>
      </c>
    </row>
    <row r="266" spans="1:10" x14ac:dyDescent="0.25">
      <c r="A266" s="37" t="str">
        <f>C266&amp;"-"&amp;D266&amp;"-"&amp;E266&amp;"-"&amp;F266&amp;"-"&amp;CATALOGO[[#This Row],[Sub cuenta 3]]</f>
        <v>E-09-01-01-00</v>
      </c>
      <c r="B266" s="37" t="s">
        <v>228</v>
      </c>
      <c r="C266" s="37" t="s">
        <v>114</v>
      </c>
      <c r="D266" s="38" t="s">
        <v>79</v>
      </c>
      <c r="E266" s="38" t="s">
        <v>10</v>
      </c>
      <c r="F266" s="38" t="s">
        <v>10</v>
      </c>
      <c r="G266" s="38" t="s">
        <v>11</v>
      </c>
      <c r="H266" s="38" t="s">
        <v>15</v>
      </c>
      <c r="I266" s="157">
        <v>407</v>
      </c>
      <c r="J266" t="s">
        <v>4035</v>
      </c>
    </row>
    <row r="267" spans="1:10" x14ac:dyDescent="0.25">
      <c r="A267" s="37" t="str">
        <f>C267&amp;"-"&amp;D267&amp;"-"&amp;E267&amp;"-"&amp;F267&amp;"-"&amp;CATALOGO[[#This Row],[Sub cuenta 3]]</f>
        <v>E-09-01-02-00</v>
      </c>
      <c r="B267" s="37" t="s">
        <v>229</v>
      </c>
      <c r="C267" s="37" t="s">
        <v>114</v>
      </c>
      <c r="D267" s="38" t="s">
        <v>79</v>
      </c>
      <c r="E267" s="38" t="s">
        <v>10</v>
      </c>
      <c r="F267" s="38" t="s">
        <v>17</v>
      </c>
      <c r="G267" s="38" t="s">
        <v>11</v>
      </c>
      <c r="H267" s="38" t="s">
        <v>15</v>
      </c>
      <c r="I267" s="157">
        <v>407</v>
      </c>
      <c r="J267" t="s">
        <v>4035</v>
      </c>
    </row>
    <row r="268" spans="1:10" x14ac:dyDescent="0.25">
      <c r="A268" s="37" t="str">
        <f>C268&amp;"-"&amp;D268&amp;"-"&amp;E268&amp;"-"&amp;F268&amp;"-"&amp;CATALOGO[[#This Row],[Sub cuenta 3]]</f>
        <v>E-09-01-03-00</v>
      </c>
      <c r="B268" s="37" t="s">
        <v>230</v>
      </c>
      <c r="C268" s="37" t="s">
        <v>114</v>
      </c>
      <c r="D268" s="38" t="s">
        <v>79</v>
      </c>
      <c r="E268" s="38" t="s">
        <v>10</v>
      </c>
      <c r="F268" s="38" t="s">
        <v>22</v>
      </c>
      <c r="G268" s="38" t="s">
        <v>11</v>
      </c>
      <c r="H268" s="38" t="s">
        <v>15</v>
      </c>
      <c r="I268" s="157">
        <v>407</v>
      </c>
      <c r="J268" t="s">
        <v>4035</v>
      </c>
    </row>
    <row r="269" spans="1:10" x14ac:dyDescent="0.25">
      <c r="A269" s="37" t="str">
        <f>C269&amp;"-"&amp;D269&amp;"-"&amp;E269&amp;"-"&amp;F269&amp;"-"&amp;CATALOGO[[#This Row],[Sub cuenta 3]]</f>
        <v>E-09-01-04-00</v>
      </c>
      <c r="B269" s="37" t="s">
        <v>231</v>
      </c>
      <c r="C269" s="37" t="s">
        <v>114</v>
      </c>
      <c r="D269" s="38" t="s">
        <v>79</v>
      </c>
      <c r="E269" s="38" t="s">
        <v>10</v>
      </c>
      <c r="F269" s="38" t="s">
        <v>26</v>
      </c>
      <c r="G269" s="38" t="s">
        <v>11</v>
      </c>
      <c r="H269" s="38" t="s">
        <v>15</v>
      </c>
      <c r="I269" s="157">
        <v>407</v>
      </c>
      <c r="J269" t="s">
        <v>4035</v>
      </c>
    </row>
    <row r="270" spans="1:10" x14ac:dyDescent="0.25">
      <c r="A270" s="37" t="str">
        <f>C270&amp;"-"&amp;D270&amp;"-"&amp;E270&amp;"-"&amp;F270&amp;"-"&amp;CATALOGO[[#This Row],[Sub cuenta 3]]</f>
        <v>E-09-01-05-00</v>
      </c>
      <c r="B270" s="37" t="s">
        <v>232</v>
      </c>
      <c r="C270" s="37" t="s">
        <v>114</v>
      </c>
      <c r="D270" s="38" t="s">
        <v>79</v>
      </c>
      <c r="E270" s="38" t="s">
        <v>10</v>
      </c>
      <c r="F270" s="38" t="s">
        <v>62</v>
      </c>
      <c r="G270" s="38" t="s">
        <v>11</v>
      </c>
      <c r="H270" s="38" t="s">
        <v>15</v>
      </c>
      <c r="I270" s="157">
        <v>407</v>
      </c>
      <c r="J270" t="s">
        <v>4035</v>
      </c>
    </row>
    <row r="271" spans="1:10" x14ac:dyDescent="0.25">
      <c r="A271" s="37" t="str">
        <f>C271&amp;"-"&amp;D271&amp;"-"&amp;E271&amp;"-"&amp;F271&amp;"-"&amp;CATALOGO[[#This Row],[Sub cuenta 3]]</f>
        <v>E-09-01-06-00</v>
      </c>
      <c r="B271" s="37" t="s">
        <v>233</v>
      </c>
      <c r="C271" s="37" t="s">
        <v>114</v>
      </c>
      <c r="D271" s="38" t="s">
        <v>79</v>
      </c>
      <c r="E271" s="38" t="s">
        <v>10</v>
      </c>
      <c r="F271" s="38" t="s">
        <v>73</v>
      </c>
      <c r="G271" s="38" t="s">
        <v>11</v>
      </c>
      <c r="H271" s="38" t="s">
        <v>15</v>
      </c>
      <c r="I271" s="157">
        <v>407</v>
      </c>
      <c r="J271" t="s">
        <v>4035</v>
      </c>
    </row>
    <row r="272" spans="1:10" x14ac:dyDescent="0.25">
      <c r="A272" s="37" t="str">
        <f>C272&amp;"-"&amp;D272&amp;"-"&amp;E272&amp;"-"&amp;F272&amp;"-"&amp;CATALOGO[[#This Row],[Sub cuenta 3]]</f>
        <v>E-09-02-00-00</v>
      </c>
      <c r="B272" s="37" t="s">
        <v>234</v>
      </c>
      <c r="C272" s="37" t="s">
        <v>114</v>
      </c>
      <c r="D272" s="38" t="s">
        <v>79</v>
      </c>
      <c r="E272" s="38" t="s">
        <v>17</v>
      </c>
      <c r="F272" s="38" t="s">
        <v>11</v>
      </c>
      <c r="G272" s="38" t="s">
        <v>11</v>
      </c>
      <c r="H272" s="38" t="s">
        <v>12</v>
      </c>
      <c r="I272" s="157">
        <v>407</v>
      </c>
      <c r="J272" t="s">
        <v>4035</v>
      </c>
    </row>
    <row r="273" spans="1:10" x14ac:dyDescent="0.25">
      <c r="A273" s="37" t="str">
        <f>C273&amp;"-"&amp;D273&amp;"-"&amp;E273&amp;"-"&amp;F273&amp;"-"&amp;CATALOGO[[#This Row],[Sub cuenta 3]]</f>
        <v>E-09-02-01-00</v>
      </c>
      <c r="B273" s="37" t="s">
        <v>235</v>
      </c>
      <c r="C273" s="37" t="s">
        <v>114</v>
      </c>
      <c r="D273" s="38" t="s">
        <v>79</v>
      </c>
      <c r="E273" s="38" t="s">
        <v>17</v>
      </c>
      <c r="F273" s="38" t="s">
        <v>10</v>
      </c>
      <c r="G273" s="38" t="s">
        <v>11</v>
      </c>
      <c r="H273" s="38" t="s">
        <v>15</v>
      </c>
      <c r="I273" s="157">
        <v>407</v>
      </c>
      <c r="J273" t="s">
        <v>4035</v>
      </c>
    </row>
    <row r="274" spans="1:10" x14ac:dyDescent="0.25">
      <c r="A274" s="37" t="str">
        <f>C274&amp;"-"&amp;D274&amp;"-"&amp;E274&amp;"-"&amp;F274&amp;"-"&amp;CATALOGO[[#This Row],[Sub cuenta 3]]</f>
        <v>E-09-02-02-00</v>
      </c>
      <c r="B274" s="37" t="s">
        <v>236</v>
      </c>
      <c r="C274" s="37" t="s">
        <v>114</v>
      </c>
      <c r="D274" s="38" t="s">
        <v>79</v>
      </c>
      <c r="E274" s="38" t="s">
        <v>17</v>
      </c>
      <c r="F274" s="38" t="s">
        <v>17</v>
      </c>
      <c r="G274" s="38" t="s">
        <v>11</v>
      </c>
      <c r="H274" s="38" t="s">
        <v>15</v>
      </c>
      <c r="I274" s="157">
        <v>407</v>
      </c>
      <c r="J274" t="s">
        <v>4035</v>
      </c>
    </row>
    <row r="275" spans="1:10" x14ac:dyDescent="0.25">
      <c r="A275" s="37" t="str">
        <f>C275&amp;"-"&amp;D275&amp;"-"&amp;E275&amp;"-"&amp;F275&amp;"-"&amp;CATALOGO[[#This Row],[Sub cuenta 3]]</f>
        <v>E-09-02-03-00</v>
      </c>
      <c r="B275" s="37" t="s">
        <v>237</v>
      </c>
      <c r="C275" s="37" t="s">
        <v>114</v>
      </c>
      <c r="D275" s="38" t="s">
        <v>79</v>
      </c>
      <c r="E275" s="38" t="s">
        <v>17</v>
      </c>
      <c r="F275" s="38" t="s">
        <v>22</v>
      </c>
      <c r="G275" s="38" t="s">
        <v>11</v>
      </c>
      <c r="H275" s="38" t="s">
        <v>15</v>
      </c>
      <c r="I275" s="157">
        <v>407</v>
      </c>
      <c r="J275" t="s">
        <v>4035</v>
      </c>
    </row>
    <row r="276" spans="1:10" x14ac:dyDescent="0.25">
      <c r="A276" s="37" t="str">
        <f>C276&amp;"-"&amp;D276&amp;"-"&amp;E276&amp;"-"&amp;F276&amp;"-"&amp;CATALOGO[[#This Row],[Sub cuenta 3]]</f>
        <v>E-09-02-04-00</v>
      </c>
      <c r="B276" s="37" t="s">
        <v>238</v>
      </c>
      <c r="C276" s="37" t="s">
        <v>114</v>
      </c>
      <c r="D276" s="38" t="s">
        <v>79</v>
      </c>
      <c r="E276" s="38" t="s">
        <v>17</v>
      </c>
      <c r="F276" s="38" t="s">
        <v>26</v>
      </c>
      <c r="G276" s="38" t="s">
        <v>11</v>
      </c>
      <c r="H276" s="38" t="s">
        <v>15</v>
      </c>
      <c r="I276" s="157">
        <v>407</v>
      </c>
      <c r="J276" t="s">
        <v>4035</v>
      </c>
    </row>
    <row r="277" spans="1:10" x14ac:dyDescent="0.25">
      <c r="A277" s="37" t="str">
        <f>C277&amp;"-"&amp;D277&amp;"-"&amp;E277&amp;"-"&amp;F277&amp;"-"&amp;CATALOGO[[#This Row],[Sub cuenta 3]]</f>
        <v>E-09-02-05-00</v>
      </c>
      <c r="B277" s="37" t="s">
        <v>239</v>
      </c>
      <c r="C277" s="37" t="s">
        <v>114</v>
      </c>
      <c r="D277" s="38" t="s">
        <v>79</v>
      </c>
      <c r="E277" s="38" t="s">
        <v>17</v>
      </c>
      <c r="F277" s="38" t="s">
        <v>62</v>
      </c>
      <c r="G277" s="38" t="s">
        <v>11</v>
      </c>
      <c r="H277" s="38" t="s">
        <v>15</v>
      </c>
      <c r="I277" s="157">
        <v>407</v>
      </c>
      <c r="J277" t="s">
        <v>4035</v>
      </c>
    </row>
    <row r="278" spans="1:10" x14ac:dyDescent="0.25">
      <c r="A278" s="37" t="str">
        <f>C278&amp;"-"&amp;D278&amp;"-"&amp;E278&amp;"-"&amp;F278&amp;"-"&amp;CATALOGO[[#This Row],[Sub cuenta 3]]</f>
        <v>E-09-03-00-00</v>
      </c>
      <c r="B278" s="37" t="s">
        <v>240</v>
      </c>
      <c r="C278" s="37" t="s">
        <v>114</v>
      </c>
      <c r="D278" s="38" t="s">
        <v>79</v>
      </c>
      <c r="E278" s="38" t="s">
        <v>22</v>
      </c>
      <c r="F278" s="38" t="s">
        <v>11</v>
      </c>
      <c r="G278" s="38" t="s">
        <v>11</v>
      </c>
      <c r="H278" s="38" t="s">
        <v>15</v>
      </c>
      <c r="I278" s="157">
        <v>407</v>
      </c>
      <c r="J278" t="s">
        <v>4035</v>
      </c>
    </row>
    <row r="279" spans="1:10" x14ac:dyDescent="0.25">
      <c r="A279" s="37" t="str">
        <f>C279&amp;"-"&amp;D279&amp;"-"&amp;E279&amp;"-"&amp;F279&amp;"-"&amp;CATALOGO[[#This Row],[Sub cuenta 3]]</f>
        <v>E-09-04-00-00</v>
      </c>
      <c r="B279" s="37" t="s">
        <v>241</v>
      </c>
      <c r="C279" s="37" t="s">
        <v>114</v>
      </c>
      <c r="D279" s="38" t="s">
        <v>79</v>
      </c>
      <c r="E279" s="38" t="s">
        <v>26</v>
      </c>
      <c r="F279" s="38" t="s">
        <v>11</v>
      </c>
      <c r="G279" s="38" t="s">
        <v>11</v>
      </c>
      <c r="H279" s="38" t="s">
        <v>15</v>
      </c>
      <c r="I279" s="157">
        <v>407</v>
      </c>
      <c r="J279" t="s">
        <v>4035</v>
      </c>
    </row>
    <row r="280" spans="1:10" x14ac:dyDescent="0.25">
      <c r="A280" s="37" t="str">
        <f>C280&amp;"-"&amp;D280&amp;"-"&amp;E280&amp;"-"&amp;F280&amp;"-"&amp;CATALOGO[[#This Row],[Sub cuenta 3]]</f>
        <v>E-09-05-00-00</v>
      </c>
      <c r="B280" s="37" t="s">
        <v>242</v>
      </c>
      <c r="C280" s="37" t="s">
        <v>114</v>
      </c>
      <c r="D280" s="38" t="s">
        <v>79</v>
      </c>
      <c r="E280" s="38" t="s">
        <v>62</v>
      </c>
      <c r="F280" s="38" t="s">
        <v>11</v>
      </c>
      <c r="G280" s="38" t="s">
        <v>11</v>
      </c>
      <c r="H280" s="38" t="s">
        <v>15</v>
      </c>
      <c r="I280" s="157">
        <v>407</v>
      </c>
      <c r="J280" t="s">
        <v>4035</v>
      </c>
    </row>
    <row r="281" spans="1:10" x14ac:dyDescent="0.25">
      <c r="A281" s="37" t="str">
        <f>C281&amp;"-"&amp;D281&amp;"-"&amp;E281&amp;"-"&amp;F281&amp;"-"&amp;CATALOGO[[#This Row],[Sub cuenta 3]]</f>
        <v>E-09-06-00-00</v>
      </c>
      <c r="B281" s="37" t="s">
        <v>243</v>
      </c>
      <c r="C281" s="37" t="s">
        <v>114</v>
      </c>
      <c r="D281" s="38" t="s">
        <v>79</v>
      </c>
      <c r="E281" s="38" t="s">
        <v>73</v>
      </c>
      <c r="F281" s="38" t="s">
        <v>11</v>
      </c>
      <c r="G281" s="38" t="s">
        <v>11</v>
      </c>
      <c r="H281" s="38" t="s">
        <v>15</v>
      </c>
      <c r="I281" s="157">
        <v>407</v>
      </c>
      <c r="J281" t="s">
        <v>4035</v>
      </c>
    </row>
    <row r="282" spans="1:10" x14ac:dyDescent="0.25">
      <c r="A282" s="37" t="str">
        <f>C282&amp;"-"&amp;D282&amp;"-"&amp;E282&amp;"-"&amp;F282&amp;"-"&amp;CATALOGO[[#This Row],[Sub cuenta 3]]</f>
        <v>E-09-07-00-00</v>
      </c>
      <c r="B282" s="37" t="s">
        <v>244</v>
      </c>
      <c r="C282" s="37" t="s">
        <v>114</v>
      </c>
      <c r="D282" s="38" t="s">
        <v>79</v>
      </c>
      <c r="E282" s="38" t="s">
        <v>75</v>
      </c>
      <c r="F282" s="38" t="s">
        <v>11</v>
      </c>
      <c r="G282" s="38" t="s">
        <v>11</v>
      </c>
      <c r="H282" s="38" t="s">
        <v>15</v>
      </c>
      <c r="I282" s="157">
        <v>407</v>
      </c>
      <c r="J282" t="s">
        <v>4035</v>
      </c>
    </row>
    <row r="283" spans="1:10" x14ac:dyDescent="0.25">
      <c r="A283" s="39" t="str">
        <f>C283&amp;"-"&amp;D283&amp;"-"&amp;E283&amp;"-"&amp;F283&amp;"-"&amp;CATALOGO[[#This Row],[Sub cuenta 3]]</f>
        <v>E-10-00-00-00</v>
      </c>
      <c r="B283" s="39" t="s">
        <v>245</v>
      </c>
      <c r="C283" s="37" t="s">
        <v>114</v>
      </c>
      <c r="D283" s="38" t="s">
        <v>80</v>
      </c>
      <c r="E283" s="38" t="s">
        <v>11</v>
      </c>
      <c r="F283" s="38" t="s">
        <v>11</v>
      </c>
      <c r="G283" s="36" t="s">
        <v>11</v>
      </c>
      <c r="H283" s="38" t="s">
        <v>12</v>
      </c>
      <c r="I283" s="157">
        <v>407</v>
      </c>
      <c r="J283" t="s">
        <v>4035</v>
      </c>
    </row>
    <row r="284" spans="1:10" x14ac:dyDescent="0.25">
      <c r="A284" s="37" t="str">
        <f>C284&amp;"-"&amp;D284&amp;"-"&amp;E284&amp;"-"&amp;F284&amp;"-"&amp;CATALOGO[[#This Row],[Sub cuenta 3]]</f>
        <v>E-10-01-00-00</v>
      </c>
      <c r="B284" s="37" t="s">
        <v>246</v>
      </c>
      <c r="C284" s="37" t="s">
        <v>114</v>
      </c>
      <c r="D284" s="38" t="s">
        <v>80</v>
      </c>
      <c r="E284" s="38" t="s">
        <v>10</v>
      </c>
      <c r="F284" s="38" t="s">
        <v>11</v>
      </c>
      <c r="G284" s="36" t="s">
        <v>11</v>
      </c>
      <c r="H284" s="38" t="s">
        <v>15</v>
      </c>
      <c r="I284" s="157">
        <v>407</v>
      </c>
      <c r="J284" t="s">
        <v>4035</v>
      </c>
    </row>
    <row r="285" spans="1:10" x14ac:dyDescent="0.25">
      <c r="A285" s="37" t="str">
        <f>C285&amp;"-"&amp;D285&amp;"-"&amp;E285&amp;"-"&amp;F285&amp;"-"&amp;CATALOGO[[#This Row],[Sub cuenta 3]]</f>
        <v>E-10-02-00-00</v>
      </c>
      <c r="B285" s="37" t="s">
        <v>247</v>
      </c>
      <c r="C285" s="37" t="s">
        <v>114</v>
      </c>
      <c r="D285" s="38" t="s">
        <v>80</v>
      </c>
      <c r="E285" s="38" t="s">
        <v>17</v>
      </c>
      <c r="F285" s="38" t="s">
        <v>11</v>
      </c>
      <c r="G285" s="36" t="s">
        <v>11</v>
      </c>
      <c r="H285" s="38" t="s">
        <v>15</v>
      </c>
      <c r="I285" s="157">
        <v>407</v>
      </c>
      <c r="J285" t="s">
        <v>4035</v>
      </c>
    </row>
    <row r="286" spans="1:10" x14ac:dyDescent="0.25">
      <c r="A286" s="37" t="str">
        <f>C286&amp;"-"&amp;D286&amp;"-"&amp;E286&amp;"-"&amp;F286&amp;"-"&amp;CATALOGO[[#This Row],[Sub cuenta 3]]</f>
        <v>E-10-03-00-00</v>
      </c>
      <c r="B286" s="37" t="s">
        <v>248</v>
      </c>
      <c r="C286" s="37" t="s">
        <v>114</v>
      </c>
      <c r="D286" s="38" t="s">
        <v>80</v>
      </c>
      <c r="E286" s="38" t="s">
        <v>22</v>
      </c>
      <c r="F286" s="38" t="s">
        <v>11</v>
      </c>
      <c r="G286" s="36" t="s">
        <v>11</v>
      </c>
      <c r="H286" s="38" t="s">
        <v>15</v>
      </c>
      <c r="I286" s="157">
        <v>407</v>
      </c>
      <c r="J286" t="s">
        <v>4035</v>
      </c>
    </row>
    <row r="287" spans="1:10" x14ac:dyDescent="0.25">
      <c r="A287" s="37" t="str">
        <f>C287&amp;"-"&amp;D287&amp;"-"&amp;E287&amp;"-"&amp;F287&amp;"-"&amp;CATALOGO[[#This Row],[Sub cuenta 3]]</f>
        <v>E-10-04-00-00</v>
      </c>
      <c r="B287" s="37" t="s">
        <v>249</v>
      </c>
      <c r="C287" s="37" t="s">
        <v>114</v>
      </c>
      <c r="D287" s="38" t="s">
        <v>80</v>
      </c>
      <c r="E287" s="38" t="s">
        <v>26</v>
      </c>
      <c r="F287" s="38" t="s">
        <v>11</v>
      </c>
      <c r="G287" s="36" t="s">
        <v>11</v>
      </c>
      <c r="H287" s="38" t="s">
        <v>15</v>
      </c>
      <c r="I287" s="157">
        <v>407</v>
      </c>
      <c r="J287" t="s">
        <v>4035</v>
      </c>
    </row>
    <row r="288" spans="1:10" x14ac:dyDescent="0.25">
      <c r="A288" s="37" t="str">
        <f>C288&amp;"-"&amp;D288&amp;"-"&amp;E288&amp;"-"&amp;F288&amp;"-"&amp;CATALOGO[[#This Row],[Sub cuenta 3]]</f>
        <v>E-10-05-00-00</v>
      </c>
      <c r="B288" s="37" t="s">
        <v>250</v>
      </c>
      <c r="C288" s="37" t="s">
        <v>114</v>
      </c>
      <c r="D288" s="38" t="s">
        <v>80</v>
      </c>
      <c r="E288" s="38" t="s">
        <v>62</v>
      </c>
      <c r="F288" s="38" t="s">
        <v>11</v>
      </c>
      <c r="G288" s="36" t="s">
        <v>11</v>
      </c>
      <c r="H288" s="38" t="s">
        <v>15</v>
      </c>
      <c r="I288" s="157">
        <v>407</v>
      </c>
      <c r="J288" t="s">
        <v>4035</v>
      </c>
    </row>
    <row r="289" spans="1:10" s="7" customFormat="1" x14ac:dyDescent="0.25">
      <c r="A289" s="37" t="str">
        <f>C289&amp;"-"&amp;D289&amp;"-"&amp;E289&amp;"-"&amp;F289&amp;"-"&amp;CATALOGO[[#This Row],[Sub cuenta 3]]</f>
        <v>E-10-06-00-00</v>
      </c>
      <c r="B289" s="37" t="s">
        <v>251</v>
      </c>
      <c r="C289" s="37" t="s">
        <v>114</v>
      </c>
      <c r="D289" s="38" t="s">
        <v>80</v>
      </c>
      <c r="E289" s="38" t="s">
        <v>73</v>
      </c>
      <c r="F289" s="38" t="s">
        <v>11</v>
      </c>
      <c r="G289" s="36" t="s">
        <v>11</v>
      </c>
      <c r="H289" s="38" t="s">
        <v>15</v>
      </c>
      <c r="I289" s="157">
        <v>407</v>
      </c>
      <c r="J289" t="s">
        <v>4035</v>
      </c>
    </row>
    <row r="290" spans="1:10" s="7" customFormat="1" x14ac:dyDescent="0.25">
      <c r="A290" s="37" t="str">
        <f>C290&amp;"-"&amp;D290&amp;"-"&amp;E290&amp;"-"&amp;F290&amp;"-"&amp;CATALOGO[[#This Row],[Sub cuenta 3]]</f>
        <v>E-10-07-00-00</v>
      </c>
      <c r="B290" s="37" t="s">
        <v>252</v>
      </c>
      <c r="C290" s="37" t="s">
        <v>114</v>
      </c>
      <c r="D290" s="38" t="s">
        <v>80</v>
      </c>
      <c r="E290" s="38" t="s">
        <v>75</v>
      </c>
      <c r="F290" s="38" t="s">
        <v>11</v>
      </c>
      <c r="G290" s="36" t="s">
        <v>11</v>
      </c>
      <c r="H290" s="38" t="s">
        <v>15</v>
      </c>
      <c r="I290" s="157">
        <v>407</v>
      </c>
      <c r="J290" t="s">
        <v>4035</v>
      </c>
    </row>
    <row r="291" spans="1:10" s="7" customFormat="1" x14ac:dyDescent="0.25">
      <c r="A291" s="37" t="str">
        <f>C291&amp;"-"&amp;D291&amp;"-"&amp;E291&amp;"-"&amp;F291&amp;"-"&amp;CATALOGO[[#This Row],[Sub cuenta 3]]</f>
        <v>E-10-08-00-00</v>
      </c>
      <c r="B291" s="37" t="s">
        <v>253</v>
      </c>
      <c r="C291" s="37" t="s">
        <v>114</v>
      </c>
      <c r="D291" s="38" t="s">
        <v>80</v>
      </c>
      <c r="E291" s="38" t="s">
        <v>77</v>
      </c>
      <c r="F291" s="38" t="s">
        <v>11</v>
      </c>
      <c r="G291" s="36" t="s">
        <v>11</v>
      </c>
      <c r="H291" s="38" t="s">
        <v>15</v>
      </c>
      <c r="I291" s="157">
        <v>407</v>
      </c>
      <c r="J291" t="s">
        <v>4035</v>
      </c>
    </row>
    <row r="292" spans="1:10" s="7" customFormat="1" x14ac:dyDescent="0.25">
      <c r="A292" s="37" t="str">
        <f>C292&amp;"-"&amp;D292&amp;"-"&amp;E292&amp;"-"&amp;F292&amp;"-"&amp;CATALOGO[[#This Row],[Sub cuenta 3]]</f>
        <v>E-10-09-00-00</v>
      </c>
      <c r="B292" s="37" t="s">
        <v>254</v>
      </c>
      <c r="C292" s="37" t="s">
        <v>114</v>
      </c>
      <c r="D292" s="38" t="s">
        <v>80</v>
      </c>
      <c r="E292" s="38" t="s">
        <v>79</v>
      </c>
      <c r="F292" s="38" t="s">
        <v>11</v>
      </c>
      <c r="G292" s="36" t="s">
        <v>11</v>
      </c>
      <c r="H292" s="38" t="s">
        <v>15</v>
      </c>
      <c r="I292" s="157">
        <v>407</v>
      </c>
      <c r="J292" t="s">
        <v>4035</v>
      </c>
    </row>
    <row r="293" spans="1:10" s="7" customFormat="1" x14ac:dyDescent="0.25">
      <c r="A293" s="39" t="str">
        <f>C293&amp;"-"&amp;D293&amp;"-"&amp;E293&amp;"-"&amp;F293&amp;"-"&amp;CATALOGO[[#This Row],[Sub cuenta 3]]</f>
        <v>E-11-00-00-00</v>
      </c>
      <c r="B293" s="39" t="s">
        <v>255</v>
      </c>
      <c r="C293" s="37" t="s">
        <v>114</v>
      </c>
      <c r="D293" s="38" t="s">
        <v>82</v>
      </c>
      <c r="E293" s="38" t="s">
        <v>11</v>
      </c>
      <c r="F293" s="38" t="s">
        <v>11</v>
      </c>
      <c r="G293" s="38" t="s">
        <v>11</v>
      </c>
      <c r="H293" s="38" t="s">
        <v>12</v>
      </c>
      <c r="I293" s="157">
        <v>407</v>
      </c>
      <c r="J293" t="s">
        <v>4035</v>
      </c>
    </row>
    <row r="294" spans="1:10" s="7" customFormat="1" x14ac:dyDescent="0.25">
      <c r="A294" s="37" t="str">
        <f>C294&amp;"-"&amp;D294&amp;"-"&amp;E294&amp;"-"&amp;F294&amp;"-"&amp;CATALOGO[[#This Row],[Sub cuenta 3]]</f>
        <v>E-11-01-00-00</v>
      </c>
      <c r="B294" s="37" t="s">
        <v>256</v>
      </c>
      <c r="C294" s="37" t="s">
        <v>114</v>
      </c>
      <c r="D294" s="38" t="s">
        <v>82</v>
      </c>
      <c r="E294" s="38" t="s">
        <v>10</v>
      </c>
      <c r="F294" s="38" t="s">
        <v>11</v>
      </c>
      <c r="G294" s="38" t="s">
        <v>11</v>
      </c>
      <c r="H294" s="38" t="s">
        <v>15</v>
      </c>
      <c r="I294" s="157">
        <v>407</v>
      </c>
      <c r="J294" t="s">
        <v>4035</v>
      </c>
    </row>
    <row r="295" spans="1:10" s="7" customFormat="1" x14ac:dyDescent="0.25">
      <c r="A295" s="37" t="str">
        <f>C295&amp;"-"&amp;D295&amp;"-"&amp;E295&amp;"-"&amp;F295&amp;"-"&amp;CATALOGO[[#This Row],[Sub cuenta 3]]</f>
        <v>E-11-02-00-00</v>
      </c>
      <c r="B295" s="37" t="s">
        <v>257</v>
      </c>
      <c r="C295" s="37" t="s">
        <v>114</v>
      </c>
      <c r="D295" s="38" t="s">
        <v>82</v>
      </c>
      <c r="E295" s="38" t="s">
        <v>17</v>
      </c>
      <c r="F295" s="38" t="s">
        <v>11</v>
      </c>
      <c r="G295" s="38" t="s">
        <v>11</v>
      </c>
      <c r="H295" s="38" t="s">
        <v>15</v>
      </c>
      <c r="I295" s="157">
        <v>407</v>
      </c>
      <c r="J295" t="s">
        <v>4035</v>
      </c>
    </row>
    <row r="296" spans="1:10" s="7" customFormat="1" x14ac:dyDescent="0.25">
      <c r="A296" s="37" t="str">
        <f>C296&amp;"-"&amp;D296&amp;"-"&amp;E296&amp;"-"&amp;F296&amp;"-"&amp;CATALOGO[[#This Row],[Sub cuenta 3]]</f>
        <v>E-11-03-00-00</v>
      </c>
      <c r="B296" s="37" t="s">
        <v>258</v>
      </c>
      <c r="C296" s="37" t="s">
        <v>114</v>
      </c>
      <c r="D296" s="38" t="s">
        <v>82</v>
      </c>
      <c r="E296" s="38" t="s">
        <v>22</v>
      </c>
      <c r="F296" s="38" t="s">
        <v>11</v>
      </c>
      <c r="G296" s="38" t="s">
        <v>11</v>
      </c>
      <c r="H296" s="38" t="s">
        <v>12</v>
      </c>
      <c r="I296" s="157">
        <v>407</v>
      </c>
      <c r="J296" t="s">
        <v>4035</v>
      </c>
    </row>
    <row r="297" spans="1:10" s="7" customFormat="1" x14ac:dyDescent="0.25">
      <c r="A297" s="37" t="str">
        <f>C297&amp;"-"&amp;D297&amp;"-"&amp;E297&amp;"-"&amp;F297&amp;"-"&amp;CATALOGO[[#This Row],[Sub cuenta 3]]</f>
        <v>E-11-03-01-00</v>
      </c>
      <c r="B297" s="37" t="s">
        <v>259</v>
      </c>
      <c r="C297" s="37" t="s">
        <v>114</v>
      </c>
      <c r="D297" s="38" t="s">
        <v>82</v>
      </c>
      <c r="E297" s="38" t="s">
        <v>22</v>
      </c>
      <c r="F297" s="38" t="s">
        <v>10</v>
      </c>
      <c r="G297" s="38" t="s">
        <v>11</v>
      </c>
      <c r="H297" s="38" t="s">
        <v>15</v>
      </c>
      <c r="I297" s="157">
        <v>407</v>
      </c>
      <c r="J297" t="s">
        <v>4035</v>
      </c>
    </row>
    <row r="298" spans="1:10" s="7" customFormat="1" x14ac:dyDescent="0.25">
      <c r="A298" s="37" t="str">
        <f>C298&amp;"-"&amp;D298&amp;"-"&amp;E298&amp;"-"&amp;F298&amp;"-"&amp;CATALOGO[[#This Row],[Sub cuenta 3]]</f>
        <v>E-11-03-02-00</v>
      </c>
      <c r="B298" s="37" t="s">
        <v>260</v>
      </c>
      <c r="C298" s="37" t="s">
        <v>114</v>
      </c>
      <c r="D298" s="38" t="s">
        <v>82</v>
      </c>
      <c r="E298" s="38" t="s">
        <v>22</v>
      </c>
      <c r="F298" s="38" t="s">
        <v>17</v>
      </c>
      <c r="G298" s="38" t="s">
        <v>11</v>
      </c>
      <c r="H298" s="38" t="s">
        <v>15</v>
      </c>
      <c r="I298" s="157">
        <v>407</v>
      </c>
      <c r="J298" t="s">
        <v>4035</v>
      </c>
    </row>
    <row r="299" spans="1:10" s="7" customFormat="1" x14ac:dyDescent="0.25">
      <c r="A299" s="37" t="str">
        <f>C299&amp;"-"&amp;D299&amp;"-"&amp;E299&amp;"-"&amp;F299&amp;"-"&amp;CATALOGO[[#This Row],[Sub cuenta 3]]</f>
        <v>E-11-04-00-00</v>
      </c>
      <c r="B299" s="37" t="s">
        <v>261</v>
      </c>
      <c r="C299" s="37" t="s">
        <v>114</v>
      </c>
      <c r="D299" s="38" t="s">
        <v>82</v>
      </c>
      <c r="E299" s="38" t="s">
        <v>26</v>
      </c>
      <c r="F299" s="38" t="s">
        <v>11</v>
      </c>
      <c r="G299" s="38" t="s">
        <v>11</v>
      </c>
      <c r="H299" s="38" t="s">
        <v>15</v>
      </c>
      <c r="I299" s="157">
        <v>407</v>
      </c>
      <c r="J299" t="s">
        <v>4035</v>
      </c>
    </row>
    <row r="300" spans="1:10" s="7" customFormat="1" x14ac:dyDescent="0.25">
      <c r="A300" s="37" t="str">
        <f>C300&amp;"-"&amp;D300&amp;"-"&amp;E300&amp;"-"&amp;F300&amp;"-"&amp;CATALOGO[[#This Row],[Sub cuenta 3]]</f>
        <v>E-11-05-00-00</v>
      </c>
      <c r="B300" s="37" t="s">
        <v>262</v>
      </c>
      <c r="C300" s="37" t="s">
        <v>114</v>
      </c>
      <c r="D300" s="38" t="s">
        <v>82</v>
      </c>
      <c r="E300" s="38" t="s">
        <v>62</v>
      </c>
      <c r="F300" s="38" t="s">
        <v>11</v>
      </c>
      <c r="G300" s="38" t="s">
        <v>11</v>
      </c>
      <c r="H300" s="38" t="s">
        <v>12</v>
      </c>
      <c r="I300" s="157">
        <v>407</v>
      </c>
      <c r="J300" t="s">
        <v>4035</v>
      </c>
    </row>
    <row r="301" spans="1:10" s="7" customFormat="1" x14ac:dyDescent="0.25">
      <c r="A301" s="37" t="str">
        <f>C301&amp;"-"&amp;D301&amp;"-"&amp;E301&amp;"-"&amp;F301&amp;"-"&amp;CATALOGO[[#This Row],[Sub cuenta 3]]</f>
        <v>E-11-05-01-00</v>
      </c>
      <c r="B301" s="37" t="s">
        <v>263</v>
      </c>
      <c r="C301" s="37" t="s">
        <v>114</v>
      </c>
      <c r="D301" s="38" t="s">
        <v>82</v>
      </c>
      <c r="E301" s="38" t="s">
        <v>62</v>
      </c>
      <c r="F301" s="38" t="s">
        <v>10</v>
      </c>
      <c r="G301" s="38" t="s">
        <v>11</v>
      </c>
      <c r="H301" s="38" t="s">
        <v>15</v>
      </c>
      <c r="I301" s="157">
        <v>407</v>
      </c>
      <c r="J301" t="s">
        <v>4035</v>
      </c>
    </row>
    <row r="302" spans="1:10" s="7" customFormat="1" x14ac:dyDescent="0.25">
      <c r="A302" s="37" t="str">
        <f>C302&amp;"-"&amp;D302&amp;"-"&amp;E302&amp;"-"&amp;F302&amp;"-"&amp;CATALOGO[[#This Row],[Sub cuenta 3]]</f>
        <v>E-11-05-02-00</v>
      </c>
      <c r="B302" s="37" t="s">
        <v>264</v>
      </c>
      <c r="C302" s="37" t="s">
        <v>114</v>
      </c>
      <c r="D302" s="38" t="s">
        <v>82</v>
      </c>
      <c r="E302" s="38" t="s">
        <v>62</v>
      </c>
      <c r="F302" s="38" t="s">
        <v>17</v>
      </c>
      <c r="G302" s="38" t="s">
        <v>11</v>
      </c>
      <c r="H302" s="38" t="s">
        <v>15</v>
      </c>
      <c r="I302" s="157">
        <v>407</v>
      </c>
      <c r="J302" t="s">
        <v>4035</v>
      </c>
    </row>
    <row r="303" spans="1:10" s="7" customFormat="1" x14ac:dyDescent="0.25">
      <c r="A303" s="37" t="str">
        <f>C303&amp;"-"&amp;D303&amp;"-"&amp;E303&amp;"-"&amp;F303&amp;"-"&amp;CATALOGO[[#This Row],[Sub cuenta 3]]</f>
        <v>E-11-05-03-00</v>
      </c>
      <c r="B303" s="37" t="s">
        <v>265</v>
      </c>
      <c r="C303" s="37" t="s">
        <v>114</v>
      </c>
      <c r="D303" s="38" t="s">
        <v>82</v>
      </c>
      <c r="E303" s="38" t="s">
        <v>62</v>
      </c>
      <c r="F303" s="38" t="s">
        <v>22</v>
      </c>
      <c r="G303" s="38" t="s">
        <v>11</v>
      </c>
      <c r="H303" s="38" t="s">
        <v>15</v>
      </c>
      <c r="I303" s="157">
        <v>407</v>
      </c>
      <c r="J303" t="s">
        <v>4035</v>
      </c>
    </row>
    <row r="304" spans="1:10" s="7" customFormat="1" x14ac:dyDescent="0.25">
      <c r="A304" s="37" t="str">
        <f>C304&amp;"-"&amp;D304&amp;"-"&amp;E304&amp;"-"&amp;F304&amp;"-"&amp;CATALOGO[[#This Row],[Sub cuenta 3]]</f>
        <v>E-11-05-04-00</v>
      </c>
      <c r="B304" s="37" t="s">
        <v>266</v>
      </c>
      <c r="C304" s="37" t="s">
        <v>114</v>
      </c>
      <c r="D304" s="38" t="s">
        <v>82</v>
      </c>
      <c r="E304" s="38" t="s">
        <v>62</v>
      </c>
      <c r="F304" s="38" t="s">
        <v>26</v>
      </c>
      <c r="G304" s="38" t="s">
        <v>11</v>
      </c>
      <c r="H304" s="38" t="s">
        <v>15</v>
      </c>
      <c r="I304" s="157">
        <v>407</v>
      </c>
      <c r="J304" t="s">
        <v>4035</v>
      </c>
    </row>
    <row r="305" spans="1:10" s="7" customFormat="1" x14ac:dyDescent="0.25">
      <c r="A305" s="37" t="str">
        <f>C305&amp;"-"&amp;D305&amp;"-"&amp;E305&amp;"-"&amp;F305&amp;"-"&amp;CATALOGO[[#This Row],[Sub cuenta 3]]</f>
        <v>E-11-05-05-00</v>
      </c>
      <c r="B305" s="37" t="s">
        <v>267</v>
      </c>
      <c r="C305" s="37" t="s">
        <v>114</v>
      </c>
      <c r="D305" s="38" t="s">
        <v>82</v>
      </c>
      <c r="E305" s="38" t="s">
        <v>62</v>
      </c>
      <c r="F305" s="38" t="s">
        <v>62</v>
      </c>
      <c r="G305" s="38" t="s">
        <v>11</v>
      </c>
      <c r="H305" s="38" t="s">
        <v>15</v>
      </c>
      <c r="I305" s="157">
        <v>407</v>
      </c>
      <c r="J305" t="s">
        <v>4035</v>
      </c>
    </row>
    <row r="306" spans="1:10" s="7" customFormat="1" x14ac:dyDescent="0.25">
      <c r="A306" s="37" t="str">
        <f>C306&amp;"-"&amp;D306&amp;"-"&amp;E306&amp;"-"&amp;F306&amp;"-"&amp;CATALOGO[[#This Row],[Sub cuenta 3]]</f>
        <v>E-11-06-00-00</v>
      </c>
      <c r="B306" s="37" t="s">
        <v>268</v>
      </c>
      <c r="C306" s="37" t="s">
        <v>114</v>
      </c>
      <c r="D306" s="38" t="s">
        <v>82</v>
      </c>
      <c r="E306" s="38" t="s">
        <v>73</v>
      </c>
      <c r="F306" s="38" t="s">
        <v>11</v>
      </c>
      <c r="G306" s="38" t="s">
        <v>11</v>
      </c>
      <c r="H306" s="38" t="s">
        <v>15</v>
      </c>
      <c r="I306" s="157">
        <v>407</v>
      </c>
      <c r="J306" t="s">
        <v>4035</v>
      </c>
    </row>
    <row r="307" spans="1:10" s="7" customFormat="1" x14ac:dyDescent="0.25">
      <c r="A307" s="39" t="str">
        <f>C307&amp;"-"&amp;D307&amp;"-"&amp;E307&amp;"-"&amp;F307&amp;"-"&amp;CATALOGO[[#This Row],[Sub cuenta 3]]</f>
        <v>E-12-00-00-00</v>
      </c>
      <c r="B307" s="39" t="s">
        <v>269</v>
      </c>
      <c r="C307" s="37" t="s">
        <v>114</v>
      </c>
      <c r="D307" s="38" t="s">
        <v>87</v>
      </c>
      <c r="E307" s="38" t="s">
        <v>11</v>
      </c>
      <c r="F307" s="38" t="s">
        <v>11</v>
      </c>
      <c r="G307" s="36" t="s">
        <v>11</v>
      </c>
      <c r="H307" s="38" t="s">
        <v>12</v>
      </c>
      <c r="I307" s="157">
        <v>407</v>
      </c>
      <c r="J307" t="s">
        <v>4035</v>
      </c>
    </row>
    <row r="308" spans="1:10" x14ac:dyDescent="0.25">
      <c r="A308" s="37" t="str">
        <f>C308&amp;"-"&amp;D308&amp;"-"&amp;E308&amp;"-"&amp;F308&amp;"-"&amp;CATALOGO[[#This Row],[Sub cuenta 3]]</f>
        <v>E-12-01-00-00</v>
      </c>
      <c r="B308" s="37" t="s">
        <v>269</v>
      </c>
      <c r="C308" s="37" t="s">
        <v>114</v>
      </c>
      <c r="D308" s="38" t="s">
        <v>87</v>
      </c>
      <c r="E308" s="38" t="s">
        <v>10</v>
      </c>
      <c r="F308" s="38" t="s">
        <v>11</v>
      </c>
      <c r="G308" s="36" t="s">
        <v>11</v>
      </c>
      <c r="H308" s="38" t="s">
        <v>12</v>
      </c>
      <c r="I308" s="157">
        <v>407</v>
      </c>
      <c r="J308" t="s">
        <v>4035</v>
      </c>
    </row>
    <row r="309" spans="1:10" x14ac:dyDescent="0.25">
      <c r="A309" s="37" t="str">
        <f>C309&amp;"-"&amp;D309&amp;"-"&amp;E309&amp;"-"&amp;F309&amp;"-"&amp;CATALOGO[[#This Row],[Sub cuenta 3]]</f>
        <v>E-12-01-01-00</v>
      </c>
      <c r="B309" s="37" t="s">
        <v>256</v>
      </c>
      <c r="C309" s="37" t="s">
        <v>114</v>
      </c>
      <c r="D309" s="38" t="s">
        <v>87</v>
      </c>
      <c r="E309" s="38" t="s">
        <v>10</v>
      </c>
      <c r="F309" s="38" t="s">
        <v>10</v>
      </c>
      <c r="G309" s="36" t="s">
        <v>11</v>
      </c>
      <c r="H309" s="38" t="s">
        <v>15</v>
      </c>
      <c r="I309" s="157">
        <v>407</v>
      </c>
      <c r="J309" t="s">
        <v>4035</v>
      </c>
    </row>
    <row r="310" spans="1:10" x14ac:dyDescent="0.25">
      <c r="A310" s="37" t="str">
        <f>C310&amp;"-"&amp;D310&amp;"-"&amp;E310&amp;"-"&amp;F310&amp;"-"&amp;CATALOGO[[#This Row],[Sub cuenta 3]]</f>
        <v>E-12-01-02-00</v>
      </c>
      <c r="B310" s="37" t="s">
        <v>270</v>
      </c>
      <c r="C310" s="37" t="s">
        <v>114</v>
      </c>
      <c r="D310" s="38" t="s">
        <v>87</v>
      </c>
      <c r="E310" s="38" t="s">
        <v>10</v>
      </c>
      <c r="F310" s="38" t="s">
        <v>17</v>
      </c>
      <c r="G310" s="36" t="s">
        <v>11</v>
      </c>
      <c r="H310" s="38" t="s">
        <v>12</v>
      </c>
      <c r="I310" s="157">
        <v>407</v>
      </c>
      <c r="J310" t="s">
        <v>4035</v>
      </c>
    </row>
    <row r="311" spans="1:10" x14ac:dyDescent="0.25">
      <c r="A311" s="37" t="str">
        <f>C311&amp;"-"&amp;D311&amp;"-"&amp;E311&amp;"-"&amp;F311&amp;"-"&amp;CATALOGO[[#This Row],[Sub cuenta 3]]</f>
        <v>E-12-01-02-01</v>
      </c>
      <c r="B311" s="37" t="s">
        <v>271</v>
      </c>
      <c r="C311" s="37" t="s">
        <v>114</v>
      </c>
      <c r="D311" s="38" t="s">
        <v>87</v>
      </c>
      <c r="E311" s="38" t="s">
        <v>10</v>
      </c>
      <c r="F311" s="38" t="s">
        <v>17</v>
      </c>
      <c r="G311" s="36" t="s">
        <v>10</v>
      </c>
      <c r="H311" s="38" t="s">
        <v>15</v>
      </c>
      <c r="I311" s="157">
        <v>407</v>
      </c>
      <c r="J311" t="s">
        <v>4035</v>
      </c>
    </row>
    <row r="312" spans="1:10" x14ac:dyDescent="0.25">
      <c r="A312" s="37" t="str">
        <f>C312&amp;"-"&amp;D312&amp;"-"&amp;E312&amp;"-"&amp;F312&amp;"-"&amp;CATALOGO[[#This Row],[Sub cuenta 3]]</f>
        <v>E-12-01-02-02</v>
      </c>
      <c r="B312" s="37" t="s">
        <v>272</v>
      </c>
      <c r="C312" s="37" t="s">
        <v>114</v>
      </c>
      <c r="D312" s="38" t="s">
        <v>87</v>
      </c>
      <c r="E312" s="38" t="s">
        <v>10</v>
      </c>
      <c r="F312" s="38" t="s">
        <v>17</v>
      </c>
      <c r="G312" s="36" t="s">
        <v>17</v>
      </c>
      <c r="H312" s="38" t="s">
        <v>15</v>
      </c>
      <c r="I312" s="157">
        <v>407</v>
      </c>
      <c r="J312" t="s">
        <v>4035</v>
      </c>
    </row>
    <row r="313" spans="1:10" x14ac:dyDescent="0.25">
      <c r="A313" s="37" t="str">
        <f>C313&amp;"-"&amp;D313&amp;"-"&amp;E313&amp;"-"&amp;F313&amp;"-"&amp;CATALOGO[[#This Row],[Sub cuenta 3]]</f>
        <v>E-12-01-03-00</v>
      </c>
      <c r="B313" s="37" t="s">
        <v>273</v>
      </c>
      <c r="C313" s="37" t="s">
        <v>114</v>
      </c>
      <c r="D313" s="38" t="s">
        <v>87</v>
      </c>
      <c r="E313" s="38" t="s">
        <v>10</v>
      </c>
      <c r="F313" s="38" t="s">
        <v>22</v>
      </c>
      <c r="G313" s="36" t="s">
        <v>11</v>
      </c>
      <c r="H313" s="38" t="s">
        <v>12</v>
      </c>
      <c r="I313" s="157">
        <v>407</v>
      </c>
      <c r="J313" t="s">
        <v>4035</v>
      </c>
    </row>
    <row r="314" spans="1:10" x14ac:dyDescent="0.25">
      <c r="A314" s="37" t="str">
        <f>C314&amp;"-"&amp;D314&amp;"-"&amp;E314&amp;"-"&amp;F314&amp;"-"&amp;CATALOGO[[#This Row],[Sub cuenta 3]]</f>
        <v>E-12-01-03-01</v>
      </c>
      <c r="B314" s="37" t="s">
        <v>274</v>
      </c>
      <c r="C314" s="37" t="s">
        <v>114</v>
      </c>
      <c r="D314" s="38" t="s">
        <v>87</v>
      </c>
      <c r="E314" s="38" t="s">
        <v>10</v>
      </c>
      <c r="F314" s="38" t="s">
        <v>22</v>
      </c>
      <c r="G314" s="36" t="s">
        <v>10</v>
      </c>
      <c r="H314" s="38" t="s">
        <v>15</v>
      </c>
      <c r="I314" s="157">
        <v>407</v>
      </c>
      <c r="J314" t="s">
        <v>4035</v>
      </c>
    </row>
    <row r="315" spans="1:10" x14ac:dyDescent="0.25">
      <c r="A315" s="37" t="str">
        <f>C315&amp;"-"&amp;D315&amp;"-"&amp;E315&amp;"-"&amp;F315&amp;"-"&amp;CATALOGO[[#This Row],[Sub cuenta 3]]</f>
        <v>E-12-01-03-02</v>
      </c>
      <c r="B315" s="37" t="s">
        <v>275</v>
      </c>
      <c r="C315" s="37" t="s">
        <v>114</v>
      </c>
      <c r="D315" s="38" t="s">
        <v>87</v>
      </c>
      <c r="E315" s="38" t="s">
        <v>10</v>
      </c>
      <c r="F315" s="38" t="s">
        <v>22</v>
      </c>
      <c r="G315" s="36" t="s">
        <v>17</v>
      </c>
      <c r="H315" s="38" t="s">
        <v>15</v>
      </c>
      <c r="I315" s="157">
        <v>407</v>
      </c>
      <c r="J315" t="s">
        <v>4035</v>
      </c>
    </row>
    <row r="316" spans="1:10" x14ac:dyDescent="0.25">
      <c r="A316" s="37" t="str">
        <f>C316&amp;"-"&amp;D316&amp;"-"&amp;E316&amp;"-"&amp;F316&amp;"-"&amp;CATALOGO[[#This Row],[Sub cuenta 3]]</f>
        <v>E-12-01-03-03</v>
      </c>
      <c r="B316" s="37" t="s">
        <v>276</v>
      </c>
      <c r="C316" s="37" t="s">
        <v>114</v>
      </c>
      <c r="D316" s="38" t="s">
        <v>87</v>
      </c>
      <c r="E316" s="38" t="s">
        <v>10</v>
      </c>
      <c r="F316" s="38" t="s">
        <v>22</v>
      </c>
      <c r="G316" s="36" t="s">
        <v>22</v>
      </c>
      <c r="H316" s="38" t="s">
        <v>15</v>
      </c>
      <c r="I316" s="157">
        <v>407</v>
      </c>
      <c r="J316" t="s">
        <v>4035</v>
      </c>
    </row>
    <row r="317" spans="1:10" x14ac:dyDescent="0.25">
      <c r="A317" s="37" t="str">
        <f>C317&amp;"-"&amp;D317&amp;"-"&amp;E317&amp;"-"&amp;F317&amp;"-"&amp;CATALOGO[[#This Row],[Sub cuenta 3]]</f>
        <v>E-12-01-03-04</v>
      </c>
      <c r="B317" s="37" t="s">
        <v>277</v>
      </c>
      <c r="C317" s="37" t="s">
        <v>114</v>
      </c>
      <c r="D317" s="38" t="s">
        <v>87</v>
      </c>
      <c r="E317" s="38" t="s">
        <v>10</v>
      </c>
      <c r="F317" s="38" t="s">
        <v>22</v>
      </c>
      <c r="G317" s="36" t="s">
        <v>26</v>
      </c>
      <c r="H317" s="38" t="s">
        <v>15</v>
      </c>
      <c r="I317" s="157">
        <v>407</v>
      </c>
      <c r="J317" t="s">
        <v>4035</v>
      </c>
    </row>
    <row r="318" spans="1:10" x14ac:dyDescent="0.25">
      <c r="A318" s="37" t="str">
        <f>C318&amp;"-"&amp;D318&amp;"-"&amp;E318&amp;"-"&amp;F318&amp;"-"&amp;CATALOGO[[#This Row],[Sub cuenta 3]]</f>
        <v>E-12-01-03-05</v>
      </c>
      <c r="B318" s="37" t="s">
        <v>278</v>
      </c>
      <c r="C318" s="37" t="s">
        <v>114</v>
      </c>
      <c r="D318" s="38" t="s">
        <v>87</v>
      </c>
      <c r="E318" s="38" t="s">
        <v>10</v>
      </c>
      <c r="F318" s="38" t="s">
        <v>22</v>
      </c>
      <c r="G318" s="36" t="s">
        <v>62</v>
      </c>
      <c r="H318" s="38" t="s">
        <v>15</v>
      </c>
      <c r="I318" s="157">
        <v>407</v>
      </c>
      <c r="J318" t="s">
        <v>4035</v>
      </c>
    </row>
    <row r="319" spans="1:10" x14ac:dyDescent="0.25">
      <c r="A319" s="37" t="str">
        <f>C319&amp;"-"&amp;D319&amp;"-"&amp;E319&amp;"-"&amp;F319&amp;"-"&amp;CATALOGO[[#This Row],[Sub cuenta 3]]</f>
        <v>E-12-01-04-00</v>
      </c>
      <c r="B319" s="37" t="s">
        <v>279</v>
      </c>
      <c r="C319" s="37" t="s">
        <v>114</v>
      </c>
      <c r="D319" s="38" t="s">
        <v>87</v>
      </c>
      <c r="E319" s="38" t="s">
        <v>10</v>
      </c>
      <c r="F319" s="38" t="s">
        <v>26</v>
      </c>
      <c r="G319" s="36" t="s">
        <v>11</v>
      </c>
      <c r="H319" s="38" t="s">
        <v>12</v>
      </c>
      <c r="I319" s="157">
        <v>407</v>
      </c>
      <c r="J319" t="s">
        <v>4035</v>
      </c>
    </row>
    <row r="320" spans="1:10" x14ac:dyDescent="0.25">
      <c r="A320" s="37" t="str">
        <f>C320&amp;"-"&amp;D320&amp;"-"&amp;E320&amp;"-"&amp;F320&amp;"-"&amp;CATALOGO[[#This Row],[Sub cuenta 3]]</f>
        <v>E-12-01-04-01</v>
      </c>
      <c r="B320" s="37" t="s">
        <v>280</v>
      </c>
      <c r="C320" s="37" t="s">
        <v>114</v>
      </c>
      <c r="D320" s="38" t="s">
        <v>87</v>
      </c>
      <c r="E320" s="38" t="s">
        <v>10</v>
      </c>
      <c r="F320" s="38" t="s">
        <v>26</v>
      </c>
      <c r="G320" s="36" t="s">
        <v>10</v>
      </c>
      <c r="H320" s="38" t="s">
        <v>15</v>
      </c>
      <c r="I320" s="157">
        <v>407</v>
      </c>
      <c r="J320" t="s">
        <v>4035</v>
      </c>
    </row>
    <row r="321" spans="1:10" x14ac:dyDescent="0.25">
      <c r="A321" s="37" t="str">
        <f>C321&amp;"-"&amp;D321&amp;"-"&amp;E321&amp;"-"&amp;F321&amp;"-"&amp;CATALOGO[[#This Row],[Sub cuenta 3]]</f>
        <v>E-12-01-04-02</v>
      </c>
      <c r="B321" s="37" t="s">
        <v>281</v>
      </c>
      <c r="C321" s="37" t="s">
        <v>114</v>
      </c>
      <c r="D321" s="38" t="s">
        <v>87</v>
      </c>
      <c r="E321" s="38" t="s">
        <v>10</v>
      </c>
      <c r="F321" s="38" t="s">
        <v>26</v>
      </c>
      <c r="G321" s="36" t="s">
        <v>17</v>
      </c>
      <c r="H321" s="38" t="s">
        <v>15</v>
      </c>
      <c r="I321" s="157">
        <v>407</v>
      </c>
      <c r="J321" t="s">
        <v>4035</v>
      </c>
    </row>
    <row r="322" spans="1:10" x14ac:dyDescent="0.25">
      <c r="A322" s="37" t="str">
        <f>C322&amp;"-"&amp;D322&amp;"-"&amp;E322&amp;"-"&amp;F322&amp;"-"&amp;CATALOGO[[#This Row],[Sub cuenta 3]]</f>
        <v>E-12-01-04-03</v>
      </c>
      <c r="B322" s="37" t="s">
        <v>282</v>
      </c>
      <c r="C322" s="37" t="s">
        <v>114</v>
      </c>
      <c r="D322" s="38" t="s">
        <v>87</v>
      </c>
      <c r="E322" s="38" t="s">
        <v>10</v>
      </c>
      <c r="F322" s="38" t="s">
        <v>26</v>
      </c>
      <c r="G322" s="36" t="s">
        <v>22</v>
      </c>
      <c r="H322" s="38" t="s">
        <v>15</v>
      </c>
      <c r="I322" s="157">
        <v>407</v>
      </c>
      <c r="J322" t="s">
        <v>4035</v>
      </c>
    </row>
    <row r="323" spans="1:10" x14ac:dyDescent="0.25">
      <c r="A323" s="37" t="str">
        <f>C323&amp;"-"&amp;D323&amp;"-"&amp;E323&amp;"-"&amp;F323&amp;"-"&amp;CATALOGO[[#This Row],[Sub cuenta 3]]</f>
        <v>E-12-01-05-00</v>
      </c>
      <c r="B323" s="37" t="s">
        <v>283</v>
      </c>
      <c r="C323" s="37" t="s">
        <v>114</v>
      </c>
      <c r="D323" s="38" t="s">
        <v>87</v>
      </c>
      <c r="E323" s="38" t="s">
        <v>10</v>
      </c>
      <c r="F323" s="38" t="s">
        <v>62</v>
      </c>
      <c r="G323" s="36" t="s">
        <v>11</v>
      </c>
      <c r="H323" s="38" t="s">
        <v>12</v>
      </c>
      <c r="I323" s="157">
        <v>407</v>
      </c>
      <c r="J323" t="s">
        <v>4035</v>
      </c>
    </row>
    <row r="324" spans="1:10" x14ac:dyDescent="0.25">
      <c r="A324" s="37" t="str">
        <f>C324&amp;"-"&amp;D324&amp;"-"&amp;E324&amp;"-"&amp;F324&amp;"-"&amp;CATALOGO[[#This Row],[Sub cuenta 3]]</f>
        <v>E-12-01-05-01</v>
      </c>
      <c r="B324" s="37" t="s">
        <v>284</v>
      </c>
      <c r="C324" s="37" t="s">
        <v>114</v>
      </c>
      <c r="D324" s="38" t="s">
        <v>87</v>
      </c>
      <c r="E324" s="38" t="s">
        <v>10</v>
      </c>
      <c r="F324" s="38" t="s">
        <v>62</v>
      </c>
      <c r="G324" s="36" t="s">
        <v>10</v>
      </c>
      <c r="H324" s="38" t="s">
        <v>15</v>
      </c>
      <c r="I324" s="157">
        <v>407</v>
      </c>
      <c r="J324" t="s">
        <v>4035</v>
      </c>
    </row>
    <row r="325" spans="1:10" x14ac:dyDescent="0.25">
      <c r="A325" s="37" t="str">
        <f>C325&amp;"-"&amp;D325&amp;"-"&amp;E325&amp;"-"&amp;F325&amp;"-"&amp;CATALOGO[[#This Row],[Sub cuenta 3]]</f>
        <v>E-12-01-05-02</v>
      </c>
      <c r="B325" s="37" t="s">
        <v>285</v>
      </c>
      <c r="C325" s="37" t="s">
        <v>114</v>
      </c>
      <c r="D325" s="38" t="s">
        <v>87</v>
      </c>
      <c r="E325" s="38" t="s">
        <v>10</v>
      </c>
      <c r="F325" s="38" t="s">
        <v>62</v>
      </c>
      <c r="G325" s="36" t="s">
        <v>17</v>
      </c>
      <c r="H325" s="38" t="s">
        <v>15</v>
      </c>
      <c r="I325" s="157">
        <v>407</v>
      </c>
      <c r="J325" t="s">
        <v>4035</v>
      </c>
    </row>
    <row r="326" spans="1:10" x14ac:dyDescent="0.25">
      <c r="A326" s="37" t="str">
        <f>C326&amp;"-"&amp;D326&amp;"-"&amp;E326&amp;"-"&amp;F326&amp;"-"&amp;CATALOGO[[#This Row],[Sub cuenta 3]]</f>
        <v>E-12-01-06-00</v>
      </c>
      <c r="B326" s="37" t="s">
        <v>286</v>
      </c>
      <c r="C326" s="35" t="s">
        <v>114</v>
      </c>
      <c r="D326" s="38" t="s">
        <v>87</v>
      </c>
      <c r="E326" s="38" t="s">
        <v>10</v>
      </c>
      <c r="F326" s="38" t="s">
        <v>73</v>
      </c>
      <c r="G326" s="36" t="s">
        <v>11</v>
      </c>
      <c r="H326" s="38" t="s">
        <v>15</v>
      </c>
      <c r="I326" s="157">
        <v>407</v>
      </c>
      <c r="J326" t="s">
        <v>4035</v>
      </c>
    </row>
    <row r="327" spans="1:10" x14ac:dyDescent="0.25">
      <c r="A327" s="37" t="str">
        <f>C327&amp;"-"&amp;D327&amp;"-"&amp;E327&amp;"-"&amp;F327&amp;"-"&amp;CATALOGO[[#This Row],[Sub cuenta 3]]</f>
        <v>E-12-01-07-00</v>
      </c>
      <c r="B327" s="37" t="s">
        <v>287</v>
      </c>
      <c r="C327" s="37" t="s">
        <v>114</v>
      </c>
      <c r="D327" s="38" t="s">
        <v>87</v>
      </c>
      <c r="E327" s="38" t="s">
        <v>10</v>
      </c>
      <c r="F327" s="38" t="s">
        <v>75</v>
      </c>
      <c r="G327" s="36" t="s">
        <v>11</v>
      </c>
      <c r="H327" s="38" t="s">
        <v>15</v>
      </c>
      <c r="I327" s="157">
        <v>407</v>
      </c>
      <c r="J327" t="s">
        <v>4035</v>
      </c>
    </row>
    <row r="328" spans="1:10" x14ac:dyDescent="0.25">
      <c r="A328" s="37" t="str">
        <f>C328&amp;"-"&amp;D328&amp;"-"&amp;E328&amp;"-"&amp;F328&amp;"-"&amp;CATALOGO[[#This Row],[Sub cuenta 3]]</f>
        <v>E-12-01-08-00</v>
      </c>
      <c r="B328" s="37" t="s">
        <v>288</v>
      </c>
      <c r="C328" s="37" t="s">
        <v>114</v>
      </c>
      <c r="D328" s="38" t="s">
        <v>87</v>
      </c>
      <c r="E328" s="38" t="s">
        <v>10</v>
      </c>
      <c r="F328" s="38" t="s">
        <v>77</v>
      </c>
      <c r="G328" s="36" t="s">
        <v>11</v>
      </c>
      <c r="H328" s="38" t="s">
        <v>15</v>
      </c>
      <c r="I328" s="157">
        <v>407</v>
      </c>
      <c r="J328" t="s">
        <v>4035</v>
      </c>
    </row>
    <row r="329" spans="1:10" x14ac:dyDescent="0.25">
      <c r="A329" s="37" t="str">
        <f>C329&amp;"-"&amp;D329&amp;"-"&amp;E329&amp;"-"&amp;F329&amp;"-"&amp;CATALOGO[[#This Row],[Sub cuenta 3]]</f>
        <v>E-12-01-09-00</v>
      </c>
      <c r="B329" s="37" t="s">
        <v>289</v>
      </c>
      <c r="C329" s="37" t="s">
        <v>114</v>
      </c>
      <c r="D329" s="38" t="s">
        <v>87</v>
      </c>
      <c r="E329" s="38" t="s">
        <v>10</v>
      </c>
      <c r="F329" s="38" t="s">
        <v>79</v>
      </c>
      <c r="G329" s="36" t="s">
        <v>11</v>
      </c>
      <c r="H329" s="38" t="s">
        <v>15</v>
      </c>
      <c r="I329" s="157">
        <v>407</v>
      </c>
      <c r="J329" t="s">
        <v>4035</v>
      </c>
    </row>
    <row r="330" spans="1:10" x14ac:dyDescent="0.25">
      <c r="A330" s="37" t="str">
        <f>C330&amp;"-"&amp;D330&amp;"-"&amp;E330&amp;"-"&amp;F330&amp;"-"&amp;CATALOGO[[#This Row],[Sub cuenta 3]]</f>
        <v>E-12-01-10-00</v>
      </c>
      <c r="B330" s="37" t="s">
        <v>268</v>
      </c>
      <c r="C330" s="37" t="s">
        <v>114</v>
      </c>
      <c r="D330" s="38" t="s">
        <v>87</v>
      </c>
      <c r="E330" s="38" t="s">
        <v>10</v>
      </c>
      <c r="F330" s="38" t="s">
        <v>80</v>
      </c>
      <c r="G330" s="36" t="s">
        <v>11</v>
      </c>
      <c r="H330" s="38" t="s">
        <v>12</v>
      </c>
      <c r="I330" s="157">
        <v>407</v>
      </c>
      <c r="J330" t="s">
        <v>4035</v>
      </c>
    </row>
    <row r="331" spans="1:10" x14ac:dyDescent="0.25">
      <c r="A331" s="37" t="str">
        <f>C331&amp;"-"&amp;D331&amp;"-"&amp;E331&amp;"-"&amp;F331&amp;"-"&amp;CATALOGO[[#This Row],[Sub cuenta 3]]</f>
        <v>E-12-01-10-01</v>
      </c>
      <c r="B331" s="37" t="s">
        <v>290</v>
      </c>
      <c r="C331" s="37" t="s">
        <v>114</v>
      </c>
      <c r="D331" s="38" t="s">
        <v>87</v>
      </c>
      <c r="E331" s="38" t="s">
        <v>10</v>
      </c>
      <c r="F331" s="38" t="s">
        <v>80</v>
      </c>
      <c r="G331" s="36" t="s">
        <v>10</v>
      </c>
      <c r="H331" s="38" t="s">
        <v>15</v>
      </c>
      <c r="I331" s="157">
        <v>407</v>
      </c>
      <c r="J331" t="s">
        <v>4035</v>
      </c>
    </row>
    <row r="332" spans="1:10" x14ac:dyDescent="0.25">
      <c r="A332" s="37" t="str">
        <f>C332&amp;"-"&amp;D332&amp;"-"&amp;E332&amp;"-"&amp;F332&amp;"-"&amp;CATALOGO[[#This Row],[Sub cuenta 3]]</f>
        <v>E-12-01-10-02</v>
      </c>
      <c r="B332" s="37" t="s">
        <v>291</v>
      </c>
      <c r="C332" s="37" t="s">
        <v>114</v>
      </c>
      <c r="D332" s="38" t="s">
        <v>87</v>
      </c>
      <c r="E332" s="38" t="s">
        <v>10</v>
      </c>
      <c r="F332" s="38" t="s">
        <v>80</v>
      </c>
      <c r="G332" s="36" t="s">
        <v>17</v>
      </c>
      <c r="H332" s="38" t="s">
        <v>15</v>
      </c>
      <c r="I332" s="157">
        <v>407</v>
      </c>
      <c r="J332" t="s">
        <v>4035</v>
      </c>
    </row>
    <row r="333" spans="1:10" x14ac:dyDescent="0.25">
      <c r="A333" s="37" t="str">
        <f>C333&amp;"-"&amp;D333&amp;"-"&amp;E333&amp;"-"&amp;F333&amp;"-"&amp;CATALOGO[[#This Row],[Sub cuenta 3]]</f>
        <v>E-12-01-11-00</v>
      </c>
      <c r="B333" s="37" t="s">
        <v>292</v>
      </c>
      <c r="C333" s="37" t="s">
        <v>114</v>
      </c>
      <c r="D333" s="38" t="s">
        <v>87</v>
      </c>
      <c r="E333" s="38" t="s">
        <v>10</v>
      </c>
      <c r="F333" s="38" t="s">
        <v>82</v>
      </c>
      <c r="G333" s="36" t="s">
        <v>11</v>
      </c>
      <c r="H333" s="38" t="s">
        <v>12</v>
      </c>
      <c r="I333" s="157">
        <v>407</v>
      </c>
      <c r="J333" t="s">
        <v>4035</v>
      </c>
    </row>
    <row r="334" spans="1:10" x14ac:dyDescent="0.25">
      <c r="A334" s="37" t="str">
        <f>C334&amp;"-"&amp;D334&amp;"-"&amp;E334&amp;"-"&amp;F334&amp;"-"&amp;CATALOGO[[#This Row],[Sub cuenta 3]]</f>
        <v>E-12-01-11-01</v>
      </c>
      <c r="B334" s="37" t="s">
        <v>293</v>
      </c>
      <c r="C334" s="37" t="s">
        <v>114</v>
      </c>
      <c r="D334" s="38" t="s">
        <v>87</v>
      </c>
      <c r="E334" s="38" t="s">
        <v>10</v>
      </c>
      <c r="F334" s="38" t="s">
        <v>82</v>
      </c>
      <c r="G334" s="36" t="s">
        <v>10</v>
      </c>
      <c r="H334" s="38" t="s">
        <v>15</v>
      </c>
      <c r="I334" s="157">
        <v>407</v>
      </c>
      <c r="J334" t="s">
        <v>4035</v>
      </c>
    </row>
    <row r="335" spans="1:10" x14ac:dyDescent="0.25">
      <c r="A335" s="37" t="str">
        <f>C335&amp;"-"&amp;D335&amp;"-"&amp;E335&amp;"-"&amp;F335&amp;"-"&amp;CATALOGO[[#This Row],[Sub cuenta 3]]</f>
        <v>E-12-01-11-02</v>
      </c>
      <c r="B335" s="37" t="s">
        <v>294</v>
      </c>
      <c r="C335" s="37" t="s">
        <v>114</v>
      </c>
      <c r="D335" s="38" t="s">
        <v>87</v>
      </c>
      <c r="E335" s="38" t="s">
        <v>10</v>
      </c>
      <c r="F335" s="38" t="s">
        <v>82</v>
      </c>
      <c r="G335" s="36" t="s">
        <v>17</v>
      </c>
      <c r="H335" s="38" t="s">
        <v>15</v>
      </c>
      <c r="I335" s="157">
        <v>407</v>
      </c>
      <c r="J335" t="s">
        <v>4035</v>
      </c>
    </row>
    <row r="336" spans="1:10" x14ac:dyDescent="0.25">
      <c r="A336" s="35" t="str">
        <f>C336&amp;"-"&amp;D336&amp;"-"&amp;E336&amp;"-"&amp;F336&amp;"-"&amp;CATALOGO[[#This Row],[Sub cuenta 3]]</f>
        <v>E-12-02-00-00</v>
      </c>
      <c r="B336" s="35" t="s">
        <v>109</v>
      </c>
      <c r="C336" s="37" t="s">
        <v>114</v>
      </c>
      <c r="D336" s="38" t="s">
        <v>87</v>
      </c>
      <c r="E336" s="38" t="s">
        <v>17</v>
      </c>
      <c r="F336" s="38" t="s">
        <v>11</v>
      </c>
      <c r="G336" s="36" t="s">
        <v>11</v>
      </c>
      <c r="H336" s="38" t="s">
        <v>12</v>
      </c>
      <c r="I336" s="157">
        <v>407</v>
      </c>
      <c r="J336" t="s">
        <v>4035</v>
      </c>
    </row>
    <row r="337" spans="1:10" x14ac:dyDescent="0.25">
      <c r="A337" s="37" t="str">
        <f>C337&amp;"-"&amp;D337&amp;"-"&amp;E337&amp;"-"&amp;F337&amp;"-"&amp;CATALOGO[[#This Row],[Sub cuenta 3]]</f>
        <v>E-12-02-01-00</v>
      </c>
      <c r="B337" s="37" t="s">
        <v>295</v>
      </c>
      <c r="C337" s="37" t="s">
        <v>114</v>
      </c>
      <c r="D337" s="38" t="s">
        <v>87</v>
      </c>
      <c r="E337" s="38" t="s">
        <v>17</v>
      </c>
      <c r="F337" s="38" t="s">
        <v>10</v>
      </c>
      <c r="G337" s="36" t="s">
        <v>11</v>
      </c>
      <c r="H337" s="38" t="s">
        <v>12</v>
      </c>
      <c r="I337" s="157">
        <v>407</v>
      </c>
      <c r="J337" t="s">
        <v>4035</v>
      </c>
    </row>
    <row r="338" spans="1:10" x14ac:dyDescent="0.25">
      <c r="A338" s="37" t="str">
        <f>C338&amp;"-"&amp;D338&amp;"-"&amp;E338&amp;"-"&amp;F338&amp;"-"&amp;CATALOGO[[#This Row],[Sub cuenta 3]]</f>
        <v>E-12-02-01-01</v>
      </c>
      <c r="B338" s="37" t="s">
        <v>296</v>
      </c>
      <c r="C338" s="37" t="s">
        <v>114</v>
      </c>
      <c r="D338" s="38" t="s">
        <v>87</v>
      </c>
      <c r="E338" s="38" t="s">
        <v>17</v>
      </c>
      <c r="F338" s="38" t="s">
        <v>10</v>
      </c>
      <c r="G338" s="36" t="s">
        <v>10</v>
      </c>
      <c r="H338" s="38" t="s">
        <v>15</v>
      </c>
      <c r="I338" s="157">
        <v>407</v>
      </c>
      <c r="J338" t="s">
        <v>4035</v>
      </c>
    </row>
    <row r="339" spans="1:10" x14ac:dyDescent="0.25">
      <c r="A339" s="37" t="str">
        <f>C339&amp;"-"&amp;D339&amp;"-"&amp;E339&amp;"-"&amp;F339&amp;"-"&amp;CATALOGO[[#This Row],[Sub cuenta 3]]</f>
        <v>E-12-02-01-02</v>
      </c>
      <c r="B339" s="37" t="s">
        <v>297</v>
      </c>
      <c r="C339" s="37" t="s">
        <v>114</v>
      </c>
      <c r="D339" s="38" t="s">
        <v>87</v>
      </c>
      <c r="E339" s="38" t="s">
        <v>17</v>
      </c>
      <c r="F339" s="38" t="s">
        <v>10</v>
      </c>
      <c r="G339" s="36" t="s">
        <v>17</v>
      </c>
      <c r="H339" s="38" t="s">
        <v>15</v>
      </c>
      <c r="I339" s="157">
        <v>407</v>
      </c>
      <c r="J339" t="s">
        <v>4035</v>
      </c>
    </row>
    <row r="340" spans="1:10" x14ac:dyDescent="0.25">
      <c r="A340" s="37" t="str">
        <f>C340&amp;"-"&amp;D340&amp;"-"&amp;E340&amp;"-"&amp;F340&amp;"-"&amp;CATALOGO[[#This Row],[Sub cuenta 3]]</f>
        <v>E-12-02-02-00</v>
      </c>
      <c r="B340" s="37" t="s">
        <v>298</v>
      </c>
      <c r="C340" s="37" t="s">
        <v>114</v>
      </c>
      <c r="D340" s="38" t="s">
        <v>87</v>
      </c>
      <c r="E340" s="38" t="s">
        <v>17</v>
      </c>
      <c r="F340" s="38" t="s">
        <v>17</v>
      </c>
      <c r="G340" s="36" t="s">
        <v>11</v>
      </c>
      <c r="H340" s="38" t="s">
        <v>15</v>
      </c>
      <c r="I340" s="157">
        <v>407</v>
      </c>
      <c r="J340" t="s">
        <v>4035</v>
      </c>
    </row>
    <row r="341" spans="1:10" x14ac:dyDescent="0.25">
      <c r="A341" s="37" t="str">
        <f>C341&amp;"-"&amp;D341&amp;"-"&amp;E341&amp;"-"&amp;F341&amp;"-"&amp;CATALOGO[[#This Row],[Sub cuenta 3]]</f>
        <v>E-12-02-03-00</v>
      </c>
      <c r="B341" s="37" t="s">
        <v>299</v>
      </c>
      <c r="C341" s="37" t="s">
        <v>114</v>
      </c>
      <c r="D341" s="38" t="s">
        <v>87</v>
      </c>
      <c r="E341" s="38" t="s">
        <v>17</v>
      </c>
      <c r="F341" s="38" t="s">
        <v>22</v>
      </c>
      <c r="G341" s="36" t="s">
        <v>11</v>
      </c>
      <c r="H341" s="38" t="s">
        <v>15</v>
      </c>
      <c r="I341" s="157">
        <v>407</v>
      </c>
      <c r="J341" t="s">
        <v>4035</v>
      </c>
    </row>
    <row r="342" spans="1:10" x14ac:dyDescent="0.25">
      <c r="A342" s="37" t="str">
        <f>C342&amp;"-"&amp;D342&amp;"-"&amp;E342&amp;"-"&amp;F342&amp;"-"&amp;CATALOGO[[#This Row],[Sub cuenta 3]]</f>
        <v>E-12-02-04-00</v>
      </c>
      <c r="B342" s="37" t="s">
        <v>300</v>
      </c>
      <c r="C342" s="37" t="s">
        <v>114</v>
      </c>
      <c r="D342" s="38" t="s">
        <v>87</v>
      </c>
      <c r="E342" s="38" t="s">
        <v>17</v>
      </c>
      <c r="F342" s="38" t="s">
        <v>26</v>
      </c>
      <c r="G342" s="36" t="s">
        <v>11</v>
      </c>
      <c r="H342" s="38" t="s">
        <v>15</v>
      </c>
      <c r="I342" s="157">
        <v>407</v>
      </c>
      <c r="J342" t="s">
        <v>4035</v>
      </c>
    </row>
    <row r="343" spans="1:10" x14ac:dyDescent="0.25">
      <c r="A343" s="37" t="str">
        <f>C343&amp;"-"&amp;D343&amp;"-"&amp;E343&amp;"-"&amp;F343&amp;"-"&amp;CATALOGO[[#This Row],[Sub cuenta 3]]</f>
        <v>E-12-02-05-00</v>
      </c>
      <c r="B343" s="37" t="s">
        <v>301</v>
      </c>
      <c r="C343" s="37" t="s">
        <v>114</v>
      </c>
      <c r="D343" s="38" t="s">
        <v>87</v>
      </c>
      <c r="E343" s="38" t="s">
        <v>17</v>
      </c>
      <c r="F343" s="38" t="s">
        <v>62</v>
      </c>
      <c r="G343" s="36" t="s">
        <v>11</v>
      </c>
      <c r="H343" s="38" t="s">
        <v>15</v>
      </c>
      <c r="I343" s="157">
        <v>407</v>
      </c>
      <c r="J343" t="s">
        <v>4035</v>
      </c>
    </row>
    <row r="344" spans="1:10" x14ac:dyDescent="0.25">
      <c r="A344" s="37" t="str">
        <f>C344&amp;"-"&amp;D344&amp;"-"&amp;E344&amp;"-"&amp;F344&amp;"-"&amp;CATALOGO[[#This Row],[Sub cuenta 3]]</f>
        <v>E-12-02-06-00</v>
      </c>
      <c r="B344" s="37" t="s">
        <v>302</v>
      </c>
      <c r="C344" s="37" t="s">
        <v>114</v>
      </c>
      <c r="D344" s="38" t="s">
        <v>87</v>
      </c>
      <c r="E344" s="38" t="s">
        <v>17</v>
      </c>
      <c r="F344" s="38" t="s">
        <v>73</v>
      </c>
      <c r="G344" s="36" t="s">
        <v>11</v>
      </c>
      <c r="H344" s="38" t="s">
        <v>15</v>
      </c>
      <c r="I344" s="157">
        <v>407</v>
      </c>
      <c r="J344" t="s">
        <v>4035</v>
      </c>
    </row>
    <row r="345" spans="1:10" x14ac:dyDescent="0.25">
      <c r="A345" s="37" t="str">
        <f>C345&amp;"-"&amp;D345&amp;"-"&amp;E345&amp;"-"&amp;F345&amp;"-"&amp;CATALOGO[[#This Row],[Sub cuenta 3]]</f>
        <v>E-12-02-07-00</v>
      </c>
      <c r="B345" s="37" t="s">
        <v>303</v>
      </c>
      <c r="C345" s="37" t="s">
        <v>114</v>
      </c>
      <c r="D345" s="38" t="s">
        <v>87</v>
      </c>
      <c r="E345" s="38" t="s">
        <v>17</v>
      </c>
      <c r="F345" s="38" t="s">
        <v>75</v>
      </c>
      <c r="G345" s="36" t="s">
        <v>11</v>
      </c>
      <c r="H345" s="38" t="s">
        <v>15</v>
      </c>
      <c r="I345" s="157">
        <v>407</v>
      </c>
      <c r="J345" t="s">
        <v>4035</v>
      </c>
    </row>
    <row r="346" spans="1:10" x14ac:dyDescent="0.25">
      <c r="A346" s="37" t="str">
        <f>C346&amp;"-"&amp;D346&amp;"-"&amp;E346&amp;"-"&amp;F346&amp;"-"&amp;CATALOGO[[#This Row],[Sub cuenta 3]]</f>
        <v>E-12-02-08-00</v>
      </c>
      <c r="B346" s="37" t="s">
        <v>304</v>
      </c>
      <c r="C346" s="37" t="s">
        <v>114</v>
      </c>
      <c r="D346" s="38" t="s">
        <v>87</v>
      </c>
      <c r="E346" s="38" t="s">
        <v>17</v>
      </c>
      <c r="F346" s="38" t="s">
        <v>77</v>
      </c>
      <c r="G346" s="36" t="s">
        <v>11</v>
      </c>
      <c r="H346" s="38" t="s">
        <v>15</v>
      </c>
      <c r="I346" s="157">
        <v>407</v>
      </c>
      <c r="J346" t="s">
        <v>4035</v>
      </c>
    </row>
    <row r="347" spans="1:10" x14ac:dyDescent="0.25">
      <c r="A347" s="35" t="str">
        <f>C347&amp;"-"&amp;D347&amp;"-"&amp;E347&amp;"-"&amp;F347&amp;"-"&amp;CATALOGO[[#This Row],[Sub cuenta 3]]</f>
        <v>E-12-03-00-00</v>
      </c>
      <c r="B347" s="35" t="s">
        <v>305</v>
      </c>
      <c r="C347" s="37" t="s">
        <v>114</v>
      </c>
      <c r="D347" s="38" t="s">
        <v>87</v>
      </c>
      <c r="E347" s="38" t="s">
        <v>22</v>
      </c>
      <c r="F347" s="38" t="s">
        <v>11</v>
      </c>
      <c r="G347" s="36" t="s">
        <v>11</v>
      </c>
      <c r="H347" s="38" t="s">
        <v>12</v>
      </c>
      <c r="I347" s="157">
        <v>407</v>
      </c>
      <c r="J347" t="s">
        <v>4035</v>
      </c>
    </row>
    <row r="348" spans="1:10" x14ac:dyDescent="0.25">
      <c r="A348" s="37" t="str">
        <f>C348&amp;"-"&amp;D348&amp;"-"&amp;E348&amp;"-"&amp;F348&amp;"-"&amp;CATALOGO[[#This Row],[Sub cuenta 3]]</f>
        <v>E-12-03-01-00</v>
      </c>
      <c r="B348" s="37" t="s">
        <v>306</v>
      </c>
      <c r="C348" s="37" t="s">
        <v>114</v>
      </c>
      <c r="D348" s="38" t="s">
        <v>87</v>
      </c>
      <c r="E348" s="38" t="s">
        <v>22</v>
      </c>
      <c r="F348" s="38" t="s">
        <v>10</v>
      </c>
      <c r="G348" s="36" t="s">
        <v>11</v>
      </c>
      <c r="H348" s="38" t="s">
        <v>12</v>
      </c>
      <c r="I348" s="157">
        <v>407</v>
      </c>
      <c r="J348" t="s">
        <v>4035</v>
      </c>
    </row>
    <row r="349" spans="1:10" x14ac:dyDescent="0.25">
      <c r="A349" s="37" t="str">
        <f>C349&amp;"-"&amp;D349&amp;"-"&amp;E349&amp;"-"&amp;F349&amp;"-"&amp;CATALOGO[[#This Row],[Sub cuenta 3]]</f>
        <v>E-12-03-01-01</v>
      </c>
      <c r="B349" s="37" t="s">
        <v>307</v>
      </c>
      <c r="C349" s="37" t="s">
        <v>114</v>
      </c>
      <c r="D349" s="38" t="s">
        <v>87</v>
      </c>
      <c r="E349" s="38" t="s">
        <v>22</v>
      </c>
      <c r="F349" s="38" t="s">
        <v>10</v>
      </c>
      <c r="G349" s="36" t="s">
        <v>10</v>
      </c>
      <c r="H349" s="38" t="s">
        <v>15</v>
      </c>
      <c r="I349" s="157">
        <v>407</v>
      </c>
      <c r="J349" t="s">
        <v>4035</v>
      </c>
    </row>
    <row r="350" spans="1:10" x14ac:dyDescent="0.25">
      <c r="A350" s="37" t="str">
        <f>C350&amp;"-"&amp;D350&amp;"-"&amp;E350&amp;"-"&amp;F350&amp;"-"&amp;CATALOGO[[#This Row],[Sub cuenta 3]]</f>
        <v>E-12-03-01-02</v>
      </c>
      <c r="B350" s="37" t="s">
        <v>308</v>
      </c>
      <c r="C350" s="37" t="s">
        <v>114</v>
      </c>
      <c r="D350" s="38" t="s">
        <v>87</v>
      </c>
      <c r="E350" s="38" t="s">
        <v>22</v>
      </c>
      <c r="F350" s="38" t="s">
        <v>10</v>
      </c>
      <c r="G350" s="36" t="s">
        <v>17</v>
      </c>
      <c r="H350" s="38" t="s">
        <v>15</v>
      </c>
      <c r="I350" s="157">
        <v>407</v>
      </c>
      <c r="J350" t="s">
        <v>4035</v>
      </c>
    </row>
    <row r="351" spans="1:10" x14ac:dyDescent="0.25">
      <c r="A351" s="37" t="str">
        <f>C351&amp;"-"&amp;D351&amp;"-"&amp;E351&amp;"-"&amp;F351&amp;"-"&amp;CATALOGO[[#This Row],[Sub cuenta 3]]</f>
        <v>E-12-03-01-03</v>
      </c>
      <c r="B351" s="37" t="s">
        <v>309</v>
      </c>
      <c r="C351" s="37" t="s">
        <v>114</v>
      </c>
      <c r="D351" s="38" t="s">
        <v>87</v>
      </c>
      <c r="E351" s="38" t="s">
        <v>22</v>
      </c>
      <c r="F351" s="38" t="s">
        <v>10</v>
      </c>
      <c r="G351" s="36" t="s">
        <v>22</v>
      </c>
      <c r="H351" s="38" t="s">
        <v>15</v>
      </c>
      <c r="I351" s="157">
        <v>407</v>
      </c>
      <c r="J351" t="s">
        <v>4035</v>
      </c>
    </row>
    <row r="352" spans="1:10" x14ac:dyDescent="0.25">
      <c r="A352" s="37" t="str">
        <f>C352&amp;"-"&amp;D352&amp;"-"&amp;E352&amp;"-"&amp;F352&amp;"-"&amp;CATALOGO[[#This Row],[Sub cuenta 3]]</f>
        <v>E-12-03-02-00</v>
      </c>
      <c r="B352" s="37" t="s">
        <v>216</v>
      </c>
      <c r="C352" s="37" t="s">
        <v>114</v>
      </c>
      <c r="D352" s="38" t="s">
        <v>87</v>
      </c>
      <c r="E352" s="38" t="s">
        <v>22</v>
      </c>
      <c r="F352" s="38" t="s">
        <v>17</v>
      </c>
      <c r="G352" s="36" t="s">
        <v>11</v>
      </c>
      <c r="H352" s="38" t="s">
        <v>12</v>
      </c>
      <c r="I352" s="157">
        <v>407</v>
      </c>
      <c r="J352" t="s">
        <v>4035</v>
      </c>
    </row>
    <row r="353" spans="1:10" x14ac:dyDescent="0.25">
      <c r="A353" s="37" t="str">
        <f>C353&amp;"-"&amp;D353&amp;"-"&amp;E353&amp;"-"&amp;F353&amp;"-"&amp;CATALOGO[[#This Row],[Sub cuenta 3]]</f>
        <v>E-12-03-02-01</v>
      </c>
      <c r="B353" s="37" t="s">
        <v>310</v>
      </c>
      <c r="C353" s="37" t="s">
        <v>114</v>
      </c>
      <c r="D353" s="38" t="s">
        <v>87</v>
      </c>
      <c r="E353" s="38" t="s">
        <v>22</v>
      </c>
      <c r="F353" s="38" t="s">
        <v>17</v>
      </c>
      <c r="G353" s="36" t="s">
        <v>10</v>
      </c>
      <c r="H353" s="38" t="s">
        <v>15</v>
      </c>
      <c r="I353" s="157">
        <v>407</v>
      </c>
      <c r="J353" t="s">
        <v>4035</v>
      </c>
    </row>
    <row r="354" spans="1:10" x14ac:dyDescent="0.25">
      <c r="A354" s="37" t="str">
        <f>C354&amp;"-"&amp;D354&amp;"-"&amp;E354&amp;"-"&amp;F354&amp;"-"&amp;CATALOGO[[#This Row],[Sub cuenta 3]]</f>
        <v>E-12-03-02-02</v>
      </c>
      <c r="B354" s="37" t="s">
        <v>311</v>
      </c>
      <c r="C354" s="37" t="s">
        <v>114</v>
      </c>
      <c r="D354" s="38" t="s">
        <v>87</v>
      </c>
      <c r="E354" s="38" t="s">
        <v>22</v>
      </c>
      <c r="F354" s="38" t="s">
        <v>17</v>
      </c>
      <c r="G354" s="36" t="s">
        <v>17</v>
      </c>
      <c r="H354" s="38" t="s">
        <v>15</v>
      </c>
      <c r="I354" s="157">
        <v>407</v>
      </c>
      <c r="J354" t="s">
        <v>4035</v>
      </c>
    </row>
    <row r="355" spans="1:10" x14ac:dyDescent="0.25">
      <c r="A355" s="37" t="str">
        <f>C355&amp;"-"&amp;D355&amp;"-"&amp;E355&amp;"-"&amp;F355&amp;"-"&amp;CATALOGO[[#This Row],[Sub cuenta 3]]</f>
        <v>E-12-03-02-03</v>
      </c>
      <c r="B355" s="37" t="s">
        <v>312</v>
      </c>
      <c r="C355" s="37" t="s">
        <v>114</v>
      </c>
      <c r="D355" s="38" t="s">
        <v>87</v>
      </c>
      <c r="E355" s="38" t="s">
        <v>22</v>
      </c>
      <c r="F355" s="38" t="s">
        <v>17</v>
      </c>
      <c r="G355" s="36" t="s">
        <v>22</v>
      </c>
      <c r="H355" s="38" t="s">
        <v>15</v>
      </c>
      <c r="I355" s="157">
        <v>407</v>
      </c>
      <c r="J355" t="s">
        <v>4035</v>
      </c>
    </row>
    <row r="356" spans="1:10" x14ac:dyDescent="0.25">
      <c r="A356" s="37" t="str">
        <f>C356&amp;"-"&amp;D356&amp;"-"&amp;E356&amp;"-"&amp;F356&amp;"-"&amp;CATALOGO[[#This Row],[Sub cuenta 3]]</f>
        <v>E-12-03-02-04</v>
      </c>
      <c r="B356" s="37" t="s">
        <v>313</v>
      </c>
      <c r="C356" s="37" t="s">
        <v>114</v>
      </c>
      <c r="D356" s="38" t="s">
        <v>87</v>
      </c>
      <c r="E356" s="38" t="s">
        <v>22</v>
      </c>
      <c r="F356" s="38" t="s">
        <v>17</v>
      </c>
      <c r="G356" s="36" t="s">
        <v>26</v>
      </c>
      <c r="H356" s="38" t="s">
        <v>15</v>
      </c>
      <c r="I356" s="157">
        <v>407</v>
      </c>
      <c r="J356" t="s">
        <v>4035</v>
      </c>
    </row>
    <row r="357" spans="1:10" x14ac:dyDescent="0.25">
      <c r="A357" s="37" t="str">
        <f>C357&amp;"-"&amp;D357&amp;"-"&amp;E357&amp;"-"&amp;F357&amp;"-"&amp;CATALOGO[[#This Row],[Sub cuenta 3]]</f>
        <v>E-12-03-02-05</v>
      </c>
      <c r="B357" s="37" t="s">
        <v>314</v>
      </c>
      <c r="C357" s="37" t="s">
        <v>114</v>
      </c>
      <c r="D357" s="38" t="s">
        <v>87</v>
      </c>
      <c r="E357" s="38" t="s">
        <v>22</v>
      </c>
      <c r="F357" s="38" t="s">
        <v>17</v>
      </c>
      <c r="G357" s="36" t="s">
        <v>62</v>
      </c>
      <c r="H357" s="38" t="s">
        <v>15</v>
      </c>
      <c r="I357" s="157">
        <v>407</v>
      </c>
      <c r="J357" t="s">
        <v>4035</v>
      </c>
    </row>
    <row r="358" spans="1:10" x14ac:dyDescent="0.25">
      <c r="A358" s="37" t="str">
        <f>C358&amp;"-"&amp;D358&amp;"-"&amp;E358&amp;"-"&amp;F358&amp;"-"&amp;CATALOGO[[#This Row],[Sub cuenta 3]]</f>
        <v>E-12-03-02-06</v>
      </c>
      <c r="B358" s="37" t="s">
        <v>315</v>
      </c>
      <c r="C358" s="37" t="s">
        <v>114</v>
      </c>
      <c r="D358" s="38" t="s">
        <v>87</v>
      </c>
      <c r="E358" s="38" t="s">
        <v>22</v>
      </c>
      <c r="F358" s="38" t="s">
        <v>17</v>
      </c>
      <c r="G358" s="36" t="s">
        <v>73</v>
      </c>
      <c r="H358" s="38" t="s">
        <v>15</v>
      </c>
      <c r="I358" s="157">
        <v>407</v>
      </c>
      <c r="J358" t="s">
        <v>4035</v>
      </c>
    </row>
    <row r="359" spans="1:10" x14ac:dyDescent="0.25">
      <c r="A359" s="37" t="str">
        <f>C359&amp;"-"&amp;D359&amp;"-"&amp;E359&amp;"-"&amp;F359&amp;"-"&amp;CATALOGO[[#This Row],[Sub cuenta 3]]</f>
        <v>E-12-03-03-00</v>
      </c>
      <c r="B359" s="37" t="s">
        <v>316</v>
      </c>
      <c r="C359" s="37" t="s">
        <v>114</v>
      </c>
      <c r="D359" s="38" t="s">
        <v>87</v>
      </c>
      <c r="E359" s="38" t="s">
        <v>22</v>
      </c>
      <c r="F359" s="38" t="s">
        <v>22</v>
      </c>
      <c r="G359" s="36" t="s">
        <v>11</v>
      </c>
      <c r="H359" s="38" t="s">
        <v>15</v>
      </c>
      <c r="I359" s="157">
        <v>407</v>
      </c>
      <c r="J359" t="s">
        <v>4035</v>
      </c>
    </row>
    <row r="360" spans="1:10" x14ac:dyDescent="0.25">
      <c r="A360" s="37" t="str">
        <f>C360&amp;"-"&amp;D360&amp;"-"&amp;E360&amp;"-"&amp;F360&amp;"-"&amp;CATALOGO[[#This Row],[Sub cuenta 3]]</f>
        <v>E-12-03-04-00</v>
      </c>
      <c r="B360" s="37" t="s">
        <v>317</v>
      </c>
      <c r="C360" s="37" t="s">
        <v>114</v>
      </c>
      <c r="D360" s="38" t="s">
        <v>87</v>
      </c>
      <c r="E360" s="38" t="s">
        <v>22</v>
      </c>
      <c r="F360" s="38" t="s">
        <v>26</v>
      </c>
      <c r="G360" s="36" t="s">
        <v>11</v>
      </c>
      <c r="H360" s="38" t="s">
        <v>15</v>
      </c>
      <c r="I360" s="157">
        <v>407</v>
      </c>
      <c r="J360" t="s">
        <v>4035</v>
      </c>
    </row>
    <row r="361" spans="1:10" x14ac:dyDescent="0.25">
      <c r="A361" s="37" t="str">
        <f>C361&amp;"-"&amp;D361&amp;"-"&amp;E361&amp;"-"&amp;F361&amp;"-"&amp;CATALOGO[[#This Row],[Sub cuenta 3]]</f>
        <v>E-12-03-05-00</v>
      </c>
      <c r="B361" s="37" t="s">
        <v>318</v>
      </c>
      <c r="C361" s="37" t="s">
        <v>114</v>
      </c>
      <c r="D361" s="38" t="s">
        <v>87</v>
      </c>
      <c r="E361" s="38" t="s">
        <v>22</v>
      </c>
      <c r="F361" s="38" t="s">
        <v>62</v>
      </c>
      <c r="G361" s="36" t="s">
        <v>11</v>
      </c>
      <c r="H361" s="38" t="s">
        <v>15</v>
      </c>
      <c r="I361" s="157">
        <v>407</v>
      </c>
      <c r="J361" t="s">
        <v>4035</v>
      </c>
    </row>
    <row r="362" spans="1:10" x14ac:dyDescent="0.25">
      <c r="A362" s="39" t="str">
        <f>C362&amp;"-"&amp;D362&amp;"-"&amp;E362&amp;"-"&amp;F362&amp;"-"&amp;CATALOGO[[#This Row],[Sub cuenta 3]]</f>
        <v>E-13-00-00-00</v>
      </c>
      <c r="B362" s="39" t="s">
        <v>319</v>
      </c>
      <c r="C362" s="37" t="s">
        <v>114</v>
      </c>
      <c r="D362" s="38" t="s">
        <v>89</v>
      </c>
      <c r="E362" s="38" t="s">
        <v>11</v>
      </c>
      <c r="F362" s="38" t="s">
        <v>11</v>
      </c>
      <c r="G362" s="38" t="s">
        <v>11</v>
      </c>
      <c r="H362" s="38" t="s">
        <v>12</v>
      </c>
      <c r="I362" s="157">
        <v>407</v>
      </c>
      <c r="J362" t="s">
        <v>4035</v>
      </c>
    </row>
    <row r="363" spans="1:10" x14ac:dyDescent="0.25">
      <c r="A363" s="37" t="str">
        <f>C363&amp;"-"&amp;D363&amp;"-"&amp;E363&amp;"-"&amp;F363&amp;"-"&amp;CATALOGO[[#This Row],[Sub cuenta 3]]</f>
        <v>E-13-01-00-00</v>
      </c>
      <c r="B363" s="37" t="s">
        <v>256</v>
      </c>
      <c r="C363" s="37" t="s">
        <v>114</v>
      </c>
      <c r="D363" s="38" t="s">
        <v>89</v>
      </c>
      <c r="E363" s="38" t="s">
        <v>10</v>
      </c>
      <c r="F363" s="38" t="s">
        <v>11</v>
      </c>
      <c r="G363" s="38" t="s">
        <v>11</v>
      </c>
      <c r="H363" s="38" t="s">
        <v>15</v>
      </c>
      <c r="I363" s="157">
        <v>407</v>
      </c>
      <c r="J363" t="s">
        <v>4035</v>
      </c>
    </row>
    <row r="364" spans="1:10" x14ac:dyDescent="0.25">
      <c r="A364" s="37" t="str">
        <f>C364&amp;"-"&amp;D364&amp;"-"&amp;E364&amp;"-"&amp;F364&amp;"-"&amp;CATALOGO[[#This Row],[Sub cuenta 3]]</f>
        <v>E-13-02-00-00</v>
      </c>
      <c r="B364" s="37" t="s">
        <v>320</v>
      </c>
      <c r="C364" s="37" t="s">
        <v>114</v>
      </c>
      <c r="D364" s="38" t="s">
        <v>89</v>
      </c>
      <c r="E364" s="38" t="s">
        <v>17</v>
      </c>
      <c r="F364" s="38" t="s">
        <v>11</v>
      </c>
      <c r="G364" s="38" t="s">
        <v>11</v>
      </c>
      <c r="H364" s="38" t="s">
        <v>15</v>
      </c>
      <c r="I364" s="157">
        <v>407</v>
      </c>
      <c r="J364" t="s">
        <v>4035</v>
      </c>
    </row>
    <row r="365" spans="1:10" x14ac:dyDescent="0.25">
      <c r="A365" s="37" t="str">
        <f>C365&amp;"-"&amp;D365&amp;"-"&amp;E365&amp;"-"&amp;F365&amp;"-"&amp;CATALOGO[[#This Row],[Sub cuenta 3]]</f>
        <v>E-13-03-00-00</v>
      </c>
      <c r="B365" s="37" t="s">
        <v>321</v>
      </c>
      <c r="C365" s="37" t="s">
        <v>114</v>
      </c>
      <c r="D365" s="38" t="s">
        <v>89</v>
      </c>
      <c r="E365" s="38" t="s">
        <v>22</v>
      </c>
      <c r="F365" s="38" t="s">
        <v>11</v>
      </c>
      <c r="G365" s="38" t="s">
        <v>11</v>
      </c>
      <c r="H365" s="38" t="s">
        <v>15</v>
      </c>
      <c r="I365" s="157">
        <v>407</v>
      </c>
      <c r="J365" t="s">
        <v>4035</v>
      </c>
    </row>
    <row r="366" spans="1:10" x14ac:dyDescent="0.25">
      <c r="A366" s="37" t="str">
        <f>C366&amp;"-"&amp;D366&amp;"-"&amp;E366&amp;"-"&amp;F366&amp;"-"&amp;CATALOGO[[#This Row],[Sub cuenta 3]]</f>
        <v>E-13-04-00-00</v>
      </c>
      <c r="B366" s="37" t="s">
        <v>322</v>
      </c>
      <c r="C366" s="37" t="s">
        <v>114</v>
      </c>
      <c r="D366" s="38" t="s">
        <v>89</v>
      </c>
      <c r="E366" s="38" t="s">
        <v>26</v>
      </c>
      <c r="F366" s="38" t="s">
        <v>11</v>
      </c>
      <c r="G366" s="38" t="s">
        <v>11</v>
      </c>
      <c r="H366" s="38" t="s">
        <v>15</v>
      </c>
      <c r="I366" s="157">
        <v>407</v>
      </c>
      <c r="J366" t="s">
        <v>4035</v>
      </c>
    </row>
    <row r="367" spans="1:10" x14ac:dyDescent="0.25">
      <c r="A367" s="37" t="str">
        <f>C367&amp;"-"&amp;D367&amp;"-"&amp;E367&amp;"-"&amp;F367&amp;"-"&amp;CATALOGO[[#This Row],[Sub cuenta 3]]</f>
        <v>E-13-05-00-00</v>
      </c>
      <c r="B367" s="37" t="s">
        <v>323</v>
      </c>
      <c r="C367" s="37" t="s">
        <v>114</v>
      </c>
      <c r="D367" s="38" t="s">
        <v>89</v>
      </c>
      <c r="E367" s="38" t="s">
        <v>62</v>
      </c>
      <c r="F367" s="38" t="s">
        <v>11</v>
      </c>
      <c r="G367" s="38" t="s">
        <v>11</v>
      </c>
      <c r="H367" s="38" t="s">
        <v>12</v>
      </c>
      <c r="I367" s="157">
        <v>407</v>
      </c>
      <c r="J367" t="s">
        <v>4035</v>
      </c>
    </row>
    <row r="368" spans="1:10" x14ac:dyDescent="0.25">
      <c r="A368" s="37" t="str">
        <f>C368&amp;"-"&amp;D368&amp;"-"&amp;E368&amp;"-"&amp;F368&amp;"-"&amp;CATALOGO[[#This Row],[Sub cuenta 3]]</f>
        <v>E-13-05-01-00</v>
      </c>
      <c r="B368" s="37" t="s">
        <v>324</v>
      </c>
      <c r="C368" s="37" t="s">
        <v>114</v>
      </c>
      <c r="D368" s="38" t="s">
        <v>89</v>
      </c>
      <c r="E368" s="38" t="s">
        <v>62</v>
      </c>
      <c r="F368" s="38" t="s">
        <v>10</v>
      </c>
      <c r="G368" s="38" t="s">
        <v>11</v>
      </c>
      <c r="H368" s="38" t="s">
        <v>15</v>
      </c>
      <c r="I368" s="157">
        <v>407</v>
      </c>
      <c r="J368" t="s">
        <v>4035</v>
      </c>
    </row>
    <row r="369" spans="1:10" x14ac:dyDescent="0.25">
      <c r="A369" s="37" t="str">
        <f>C369&amp;"-"&amp;D369&amp;"-"&amp;E369&amp;"-"&amp;F369&amp;"-"&amp;CATALOGO[[#This Row],[Sub cuenta 3]]</f>
        <v>E-13-05-02-00</v>
      </c>
      <c r="B369" s="37" t="s">
        <v>325</v>
      </c>
      <c r="C369" s="37" t="s">
        <v>114</v>
      </c>
      <c r="D369" s="38" t="s">
        <v>89</v>
      </c>
      <c r="E369" s="38" t="s">
        <v>62</v>
      </c>
      <c r="F369" s="38" t="s">
        <v>17</v>
      </c>
      <c r="G369" s="38" t="s">
        <v>11</v>
      </c>
      <c r="H369" s="38" t="s">
        <v>15</v>
      </c>
      <c r="I369" s="157">
        <v>407</v>
      </c>
      <c r="J369" t="s">
        <v>4035</v>
      </c>
    </row>
    <row r="370" spans="1:10" x14ac:dyDescent="0.25">
      <c r="A370" s="37" t="str">
        <f>C370&amp;"-"&amp;D370&amp;"-"&amp;E370&amp;"-"&amp;F370&amp;"-"&amp;CATALOGO[[#This Row],[Sub cuenta 3]]</f>
        <v>E-13-05-03-00</v>
      </c>
      <c r="B370" s="37" t="s">
        <v>326</v>
      </c>
      <c r="C370" s="37" t="s">
        <v>114</v>
      </c>
      <c r="D370" s="38" t="s">
        <v>89</v>
      </c>
      <c r="E370" s="38" t="s">
        <v>62</v>
      </c>
      <c r="F370" s="38" t="s">
        <v>22</v>
      </c>
      <c r="G370" s="38" t="s">
        <v>11</v>
      </c>
      <c r="H370" s="38" t="s">
        <v>15</v>
      </c>
      <c r="I370" s="157">
        <v>407</v>
      </c>
      <c r="J370" t="s">
        <v>4035</v>
      </c>
    </row>
    <row r="371" spans="1:10" x14ac:dyDescent="0.25">
      <c r="A371" s="37" t="str">
        <f>C371&amp;"-"&amp;D371&amp;"-"&amp;E371&amp;"-"&amp;F371&amp;"-"&amp;CATALOGO[[#This Row],[Sub cuenta 3]]</f>
        <v>E-13-05-04-00</v>
      </c>
      <c r="B371" s="37" t="s">
        <v>327</v>
      </c>
      <c r="C371" s="37" t="s">
        <v>114</v>
      </c>
      <c r="D371" s="38" t="s">
        <v>89</v>
      </c>
      <c r="E371" s="38" t="s">
        <v>62</v>
      </c>
      <c r="F371" s="38" t="s">
        <v>26</v>
      </c>
      <c r="G371" s="38" t="s">
        <v>11</v>
      </c>
      <c r="H371" s="38" t="s">
        <v>15</v>
      </c>
      <c r="I371" s="157">
        <v>407</v>
      </c>
      <c r="J371" t="s">
        <v>4035</v>
      </c>
    </row>
    <row r="372" spans="1:10" x14ac:dyDescent="0.25">
      <c r="A372" s="37" t="str">
        <f>C372&amp;"-"&amp;D372&amp;"-"&amp;E372&amp;"-"&amp;F372&amp;"-"&amp;CATALOGO[[#This Row],[Sub cuenta 3]]</f>
        <v>E-13-05-05-00</v>
      </c>
      <c r="B372" s="37" t="s">
        <v>328</v>
      </c>
      <c r="C372" s="37" t="s">
        <v>114</v>
      </c>
      <c r="D372" s="38" t="s">
        <v>89</v>
      </c>
      <c r="E372" s="38" t="s">
        <v>62</v>
      </c>
      <c r="F372" s="38" t="s">
        <v>62</v>
      </c>
      <c r="G372" s="38" t="s">
        <v>11</v>
      </c>
      <c r="H372" s="38" t="s">
        <v>15</v>
      </c>
      <c r="I372" s="157">
        <v>407</v>
      </c>
      <c r="J372" t="s">
        <v>4035</v>
      </c>
    </row>
    <row r="373" spans="1:10" x14ac:dyDescent="0.25">
      <c r="A373" s="37" t="str">
        <f>C373&amp;"-"&amp;D373&amp;"-"&amp;E373&amp;"-"&amp;F373&amp;"-"&amp;CATALOGO[[#This Row],[Sub cuenta 3]]</f>
        <v>E-13-05-06-00</v>
      </c>
      <c r="B373" s="37" t="s">
        <v>329</v>
      </c>
      <c r="C373" s="37" t="s">
        <v>114</v>
      </c>
      <c r="D373" s="38" t="s">
        <v>89</v>
      </c>
      <c r="E373" s="38" t="s">
        <v>62</v>
      </c>
      <c r="F373" s="38" t="s">
        <v>73</v>
      </c>
      <c r="G373" s="38" t="s">
        <v>11</v>
      </c>
      <c r="H373" s="38" t="s">
        <v>15</v>
      </c>
      <c r="I373" s="157">
        <v>407</v>
      </c>
      <c r="J373" t="s">
        <v>4035</v>
      </c>
    </row>
    <row r="374" spans="1:10" x14ac:dyDescent="0.25">
      <c r="A374" s="37" t="str">
        <f>C374&amp;"-"&amp;D374&amp;"-"&amp;E374&amp;"-"&amp;F374&amp;"-"&amp;CATALOGO[[#This Row],[Sub cuenta 3]]</f>
        <v>E-13-05-07-00</v>
      </c>
      <c r="B374" s="37" t="s">
        <v>330</v>
      </c>
      <c r="C374" s="37" t="s">
        <v>114</v>
      </c>
      <c r="D374" s="38" t="s">
        <v>89</v>
      </c>
      <c r="E374" s="38" t="s">
        <v>62</v>
      </c>
      <c r="F374" s="38" t="s">
        <v>75</v>
      </c>
      <c r="G374" s="38" t="s">
        <v>11</v>
      </c>
      <c r="H374" s="38" t="s">
        <v>15</v>
      </c>
      <c r="I374" s="157">
        <v>407</v>
      </c>
      <c r="J374" t="s">
        <v>4035</v>
      </c>
    </row>
    <row r="375" spans="1:10" x14ac:dyDescent="0.25">
      <c r="A375" s="37" t="str">
        <f>C375&amp;"-"&amp;D375&amp;"-"&amp;E375&amp;"-"&amp;F375&amp;"-"&amp;CATALOGO[[#This Row],[Sub cuenta 3]]</f>
        <v>E-13-06-00-00</v>
      </c>
      <c r="B375" s="37" t="s">
        <v>245</v>
      </c>
      <c r="C375" s="37" t="s">
        <v>114</v>
      </c>
      <c r="D375" s="38" t="s">
        <v>89</v>
      </c>
      <c r="E375" s="38" t="s">
        <v>73</v>
      </c>
      <c r="F375" s="38" t="s">
        <v>11</v>
      </c>
      <c r="G375" s="38" t="s">
        <v>11</v>
      </c>
      <c r="H375" s="38" t="s">
        <v>12</v>
      </c>
      <c r="I375" s="157">
        <v>407</v>
      </c>
      <c r="J375" t="s">
        <v>4035</v>
      </c>
    </row>
    <row r="376" spans="1:10" x14ac:dyDescent="0.25">
      <c r="A376" s="37" t="str">
        <f>C376&amp;"-"&amp;D376&amp;"-"&amp;E376&amp;"-"&amp;F376&amp;"-"&amp;CATALOGO[[#This Row],[Sub cuenta 3]]</f>
        <v>E-13-06-01-00</v>
      </c>
      <c r="B376" s="37" t="s">
        <v>331</v>
      </c>
      <c r="C376" s="37" t="s">
        <v>114</v>
      </c>
      <c r="D376" s="38" t="s">
        <v>89</v>
      </c>
      <c r="E376" s="38" t="s">
        <v>73</v>
      </c>
      <c r="F376" s="38" t="s">
        <v>10</v>
      </c>
      <c r="G376" s="38" t="s">
        <v>11</v>
      </c>
      <c r="H376" s="38" t="s">
        <v>15</v>
      </c>
      <c r="I376" s="157">
        <v>407</v>
      </c>
      <c r="J376" t="s">
        <v>4035</v>
      </c>
    </row>
    <row r="377" spans="1:10" x14ac:dyDescent="0.25">
      <c r="A377" s="37" t="str">
        <f>C377&amp;"-"&amp;D377&amp;"-"&amp;E377&amp;"-"&amp;F377&amp;"-"&amp;CATALOGO[[#This Row],[Sub cuenta 3]]</f>
        <v>E-13-06-02-00</v>
      </c>
      <c r="B377" s="37" t="s">
        <v>332</v>
      </c>
      <c r="C377" s="37" t="s">
        <v>114</v>
      </c>
      <c r="D377" s="38" t="s">
        <v>89</v>
      </c>
      <c r="E377" s="38" t="s">
        <v>73</v>
      </c>
      <c r="F377" s="38" t="s">
        <v>17</v>
      </c>
      <c r="G377" s="38" t="s">
        <v>11</v>
      </c>
      <c r="H377" s="38" t="s">
        <v>15</v>
      </c>
      <c r="I377" s="157">
        <v>407</v>
      </c>
      <c r="J377" t="s">
        <v>4035</v>
      </c>
    </row>
    <row r="378" spans="1:10" x14ac:dyDescent="0.25">
      <c r="A378" s="37" t="str">
        <f>C378&amp;"-"&amp;D378&amp;"-"&amp;E378&amp;"-"&amp;F378&amp;"-"&amp;CATALOGO[[#This Row],[Sub cuenta 3]]</f>
        <v>E-13-06-03-00</v>
      </c>
      <c r="B378" s="37" t="s">
        <v>333</v>
      </c>
      <c r="C378" s="37" t="s">
        <v>114</v>
      </c>
      <c r="D378" s="38" t="s">
        <v>89</v>
      </c>
      <c r="E378" s="38" t="s">
        <v>73</v>
      </c>
      <c r="F378" s="38" t="s">
        <v>22</v>
      </c>
      <c r="G378" s="38" t="s">
        <v>11</v>
      </c>
      <c r="H378" s="38" t="s">
        <v>15</v>
      </c>
      <c r="I378" s="157">
        <v>407</v>
      </c>
      <c r="J378" t="s">
        <v>4035</v>
      </c>
    </row>
    <row r="379" spans="1:10" x14ac:dyDescent="0.25">
      <c r="A379" s="37" t="str">
        <f>C379&amp;"-"&amp;D379&amp;"-"&amp;E379&amp;"-"&amp;F379&amp;"-"&amp;CATALOGO[[#This Row],[Sub cuenta 3]]</f>
        <v>E-13-06-04-00</v>
      </c>
      <c r="B379" s="37" t="s">
        <v>334</v>
      </c>
      <c r="C379" s="37" t="s">
        <v>114</v>
      </c>
      <c r="D379" s="38" t="s">
        <v>89</v>
      </c>
      <c r="E379" s="38" t="s">
        <v>73</v>
      </c>
      <c r="F379" s="38" t="s">
        <v>26</v>
      </c>
      <c r="G379" s="38" t="s">
        <v>11</v>
      </c>
      <c r="H379" s="38" t="s">
        <v>15</v>
      </c>
      <c r="I379" s="157">
        <v>407</v>
      </c>
      <c r="J379" t="s">
        <v>4035</v>
      </c>
    </row>
    <row r="380" spans="1:10" x14ac:dyDescent="0.25">
      <c r="A380" s="37" t="str">
        <f>C380&amp;"-"&amp;D380&amp;"-"&amp;E380&amp;"-"&amp;F380&amp;"-"&amp;CATALOGO[[#This Row],[Sub cuenta 3]]</f>
        <v>E-13-06-05-00</v>
      </c>
      <c r="B380" s="37" t="s">
        <v>335</v>
      </c>
      <c r="C380" s="37" t="s">
        <v>114</v>
      </c>
      <c r="D380" s="38" t="s">
        <v>89</v>
      </c>
      <c r="E380" s="38" t="s">
        <v>73</v>
      </c>
      <c r="F380" s="38" t="s">
        <v>62</v>
      </c>
      <c r="G380" s="38" t="s">
        <v>11</v>
      </c>
      <c r="H380" s="38" t="s">
        <v>15</v>
      </c>
      <c r="I380" s="157">
        <v>407</v>
      </c>
      <c r="J380" t="s">
        <v>4035</v>
      </c>
    </row>
    <row r="381" spans="1:10" x14ac:dyDescent="0.25">
      <c r="A381" s="37" t="str">
        <f>C381&amp;"-"&amp;D381&amp;"-"&amp;E381&amp;"-"&amp;F381&amp;"-"&amp;CATALOGO[[#This Row],[Sub cuenta 3]]</f>
        <v>E-13-07-00-00</v>
      </c>
      <c r="B381" s="37" t="s">
        <v>113</v>
      </c>
      <c r="C381" s="37" t="s">
        <v>114</v>
      </c>
      <c r="D381" s="38" t="s">
        <v>89</v>
      </c>
      <c r="E381" s="38" t="s">
        <v>75</v>
      </c>
      <c r="F381" s="38" t="s">
        <v>11</v>
      </c>
      <c r="G381" s="38" t="s">
        <v>11</v>
      </c>
      <c r="H381" s="38" t="s">
        <v>12</v>
      </c>
      <c r="I381" s="157">
        <v>407</v>
      </c>
      <c r="J381" t="s">
        <v>4035</v>
      </c>
    </row>
    <row r="382" spans="1:10" x14ac:dyDescent="0.25">
      <c r="A382" s="37" t="str">
        <f>C382&amp;"-"&amp;D382&amp;"-"&amp;E382&amp;"-"&amp;F382&amp;"-"&amp;CATALOGO[[#This Row],[Sub cuenta 3]]</f>
        <v>E-13-07-01-00</v>
      </c>
      <c r="B382" s="37" t="s">
        <v>336</v>
      </c>
      <c r="C382" s="37" t="s">
        <v>114</v>
      </c>
      <c r="D382" s="38" t="s">
        <v>89</v>
      </c>
      <c r="E382" s="38" t="s">
        <v>75</v>
      </c>
      <c r="F382" s="38" t="s">
        <v>10</v>
      </c>
      <c r="G382" s="38" t="s">
        <v>11</v>
      </c>
      <c r="H382" s="38" t="s">
        <v>15</v>
      </c>
      <c r="I382" s="157">
        <v>407</v>
      </c>
      <c r="J382" t="s">
        <v>4035</v>
      </c>
    </row>
    <row r="383" spans="1:10" x14ac:dyDescent="0.25">
      <c r="A383" s="37" t="str">
        <f>C383&amp;"-"&amp;D383&amp;"-"&amp;E383&amp;"-"&amp;F383&amp;"-"&amp;CATALOGO[[#This Row],[Sub cuenta 3]]</f>
        <v>E-13-07-02-00</v>
      </c>
      <c r="B383" s="37" t="s">
        <v>337</v>
      </c>
      <c r="C383" s="37" t="s">
        <v>114</v>
      </c>
      <c r="D383" s="38" t="s">
        <v>89</v>
      </c>
      <c r="E383" s="38" t="s">
        <v>75</v>
      </c>
      <c r="F383" s="38" t="s">
        <v>17</v>
      </c>
      <c r="G383" s="38" t="s">
        <v>11</v>
      </c>
      <c r="H383" s="38" t="s">
        <v>15</v>
      </c>
      <c r="I383" s="157">
        <v>407</v>
      </c>
      <c r="J383" t="s">
        <v>4035</v>
      </c>
    </row>
    <row r="384" spans="1:10" x14ac:dyDescent="0.25">
      <c r="A384" s="37" t="str">
        <f>C384&amp;"-"&amp;D384&amp;"-"&amp;E384&amp;"-"&amp;F384&amp;"-"&amp;CATALOGO[[#This Row],[Sub cuenta 3]]</f>
        <v>E-13-07-04-00</v>
      </c>
      <c r="B384" s="37" t="s">
        <v>338</v>
      </c>
      <c r="C384" s="37" t="s">
        <v>114</v>
      </c>
      <c r="D384" s="38" t="s">
        <v>89</v>
      </c>
      <c r="E384" s="38" t="s">
        <v>75</v>
      </c>
      <c r="F384" s="38" t="s">
        <v>26</v>
      </c>
      <c r="G384" s="38" t="s">
        <v>11</v>
      </c>
      <c r="H384" s="38" t="s">
        <v>15</v>
      </c>
      <c r="I384" s="157">
        <v>407</v>
      </c>
      <c r="J384" t="s">
        <v>4035</v>
      </c>
    </row>
    <row r="385" spans="1:10" x14ac:dyDescent="0.25">
      <c r="A385" s="37" t="str">
        <f>C385&amp;"-"&amp;D385&amp;"-"&amp;E385&amp;"-"&amp;F385&amp;"-"&amp;CATALOGO[[#This Row],[Sub cuenta 3]]</f>
        <v>E-13-08-00-00</v>
      </c>
      <c r="B385" s="37" t="s">
        <v>339</v>
      </c>
      <c r="C385" s="37" t="s">
        <v>114</v>
      </c>
      <c r="D385" s="38" t="s">
        <v>89</v>
      </c>
      <c r="E385" s="38" t="s">
        <v>77</v>
      </c>
      <c r="F385" s="38" t="s">
        <v>11</v>
      </c>
      <c r="G385" s="38" t="s">
        <v>11</v>
      </c>
      <c r="H385" s="38" t="s">
        <v>15</v>
      </c>
      <c r="I385" s="157">
        <v>407</v>
      </c>
      <c r="J385" t="s">
        <v>4035</v>
      </c>
    </row>
    <row r="386" spans="1:10" x14ac:dyDescent="0.25">
      <c r="A386" s="37" t="str">
        <f>C386&amp;"-"&amp;D386&amp;"-"&amp;E386&amp;"-"&amp;F386&amp;"-"&amp;CATALOGO[[#This Row],[Sub cuenta 3]]</f>
        <v>E-13-09-00-00</v>
      </c>
      <c r="B386" s="37" t="s">
        <v>340</v>
      </c>
      <c r="C386" s="37" t="s">
        <v>114</v>
      </c>
      <c r="D386" s="38" t="s">
        <v>89</v>
      </c>
      <c r="E386" s="38" t="s">
        <v>79</v>
      </c>
      <c r="F386" s="38" t="s">
        <v>11</v>
      </c>
      <c r="G386" s="38" t="s">
        <v>11</v>
      </c>
      <c r="H386" s="38" t="s">
        <v>12</v>
      </c>
      <c r="I386" s="157">
        <v>407</v>
      </c>
      <c r="J386" t="s">
        <v>4035</v>
      </c>
    </row>
    <row r="387" spans="1:10" x14ac:dyDescent="0.25">
      <c r="A387" s="37" t="str">
        <f>C387&amp;"-"&amp;D387&amp;"-"&amp;E387&amp;"-"&amp;F387&amp;"-"&amp;CATALOGO[[#This Row],[Sub cuenta 3]]</f>
        <v>E-13-09-01-00</v>
      </c>
      <c r="B387" s="37" t="s">
        <v>341</v>
      </c>
      <c r="C387" s="37" t="s">
        <v>114</v>
      </c>
      <c r="D387" s="38" t="s">
        <v>89</v>
      </c>
      <c r="E387" s="38" t="s">
        <v>79</v>
      </c>
      <c r="F387" s="38" t="s">
        <v>10</v>
      </c>
      <c r="G387" s="38" t="s">
        <v>11</v>
      </c>
      <c r="H387" s="38" t="s">
        <v>15</v>
      </c>
      <c r="I387" s="157">
        <v>407</v>
      </c>
      <c r="J387" t="s">
        <v>4035</v>
      </c>
    </row>
    <row r="388" spans="1:10" x14ac:dyDescent="0.25">
      <c r="A388" s="37" t="str">
        <f>C388&amp;"-"&amp;D388&amp;"-"&amp;E388&amp;"-"&amp;F388&amp;"-"&amp;CATALOGO[[#This Row],[Sub cuenta 3]]</f>
        <v>E-13-09-02-00</v>
      </c>
      <c r="B388" s="37" t="s">
        <v>342</v>
      </c>
      <c r="C388" s="37" t="s">
        <v>114</v>
      </c>
      <c r="D388" s="38" t="s">
        <v>89</v>
      </c>
      <c r="E388" s="38" t="s">
        <v>79</v>
      </c>
      <c r="F388" s="38" t="s">
        <v>17</v>
      </c>
      <c r="G388" s="38" t="s">
        <v>11</v>
      </c>
      <c r="H388" s="38" t="s">
        <v>12</v>
      </c>
      <c r="I388" s="157">
        <v>407</v>
      </c>
      <c r="J388" t="s">
        <v>4035</v>
      </c>
    </row>
    <row r="389" spans="1:10" x14ac:dyDescent="0.25">
      <c r="A389" s="37" t="str">
        <f>C389&amp;"-"&amp;D389&amp;"-"&amp;E389&amp;"-"&amp;F389&amp;"-"&amp;CATALOGO[[#This Row],[Sub cuenta 3]]</f>
        <v>E-13-09-02-01</v>
      </c>
      <c r="B389" s="37" t="s">
        <v>343</v>
      </c>
      <c r="C389" s="37" t="s">
        <v>114</v>
      </c>
      <c r="D389" s="38" t="s">
        <v>89</v>
      </c>
      <c r="E389" s="38" t="s">
        <v>79</v>
      </c>
      <c r="F389" s="38" t="s">
        <v>17</v>
      </c>
      <c r="G389" s="38" t="s">
        <v>10</v>
      </c>
      <c r="H389" s="38" t="s">
        <v>15</v>
      </c>
      <c r="I389" s="157">
        <v>407</v>
      </c>
      <c r="J389" t="s">
        <v>4035</v>
      </c>
    </row>
    <row r="390" spans="1:10" x14ac:dyDescent="0.25">
      <c r="A390" s="37" t="str">
        <f>C390&amp;"-"&amp;D390&amp;"-"&amp;E390&amp;"-"&amp;F390&amp;"-"&amp;CATALOGO[[#This Row],[Sub cuenta 3]]</f>
        <v>E-13-09-02-02</v>
      </c>
      <c r="B390" s="37" t="s">
        <v>344</v>
      </c>
      <c r="C390" s="37" t="s">
        <v>114</v>
      </c>
      <c r="D390" s="38" t="s">
        <v>89</v>
      </c>
      <c r="E390" s="38" t="s">
        <v>79</v>
      </c>
      <c r="F390" s="38" t="s">
        <v>17</v>
      </c>
      <c r="G390" s="38" t="s">
        <v>17</v>
      </c>
      <c r="H390" s="38" t="s">
        <v>15</v>
      </c>
      <c r="I390" s="157">
        <v>407</v>
      </c>
      <c r="J390" t="s">
        <v>4035</v>
      </c>
    </row>
    <row r="391" spans="1:10" x14ac:dyDescent="0.25">
      <c r="A391" s="37" t="str">
        <f>C391&amp;"-"&amp;D391&amp;"-"&amp;E391&amp;"-"&amp;F391&amp;"-"&amp;CATALOGO[[#This Row],[Sub cuenta 3]]</f>
        <v>E-13-09-02-03</v>
      </c>
      <c r="B391" s="37" t="s">
        <v>345</v>
      </c>
      <c r="C391" s="37" t="s">
        <v>114</v>
      </c>
      <c r="D391" s="38" t="s">
        <v>89</v>
      </c>
      <c r="E391" s="38" t="s">
        <v>79</v>
      </c>
      <c r="F391" s="38" t="s">
        <v>17</v>
      </c>
      <c r="G391" s="38" t="s">
        <v>22</v>
      </c>
      <c r="H391" s="38" t="s">
        <v>15</v>
      </c>
      <c r="I391" s="157">
        <v>407</v>
      </c>
      <c r="J391" t="s">
        <v>4035</v>
      </c>
    </row>
    <row r="392" spans="1:10" x14ac:dyDescent="0.25">
      <c r="A392" s="37" t="str">
        <f>C392&amp;"-"&amp;D392&amp;"-"&amp;E392&amp;"-"&amp;F392&amp;"-"&amp;CATALOGO[[#This Row],[Sub cuenta 3]]</f>
        <v>E-13-09-02-04</v>
      </c>
      <c r="B392" s="37" t="s">
        <v>346</v>
      </c>
      <c r="C392" s="37" t="s">
        <v>114</v>
      </c>
      <c r="D392" s="38" t="s">
        <v>89</v>
      </c>
      <c r="E392" s="38" t="s">
        <v>79</v>
      </c>
      <c r="F392" s="38" t="s">
        <v>17</v>
      </c>
      <c r="G392" s="38" t="s">
        <v>26</v>
      </c>
      <c r="H392" s="38" t="s">
        <v>15</v>
      </c>
      <c r="I392" s="157">
        <v>407</v>
      </c>
      <c r="J392" t="s">
        <v>4035</v>
      </c>
    </row>
    <row r="393" spans="1:10" x14ac:dyDescent="0.25">
      <c r="A393" s="37" t="str">
        <f>C393&amp;"-"&amp;D393&amp;"-"&amp;E393&amp;"-"&amp;F393&amp;"-"&amp;CATALOGO[[#This Row],[Sub cuenta 3]]</f>
        <v>E-13-09-03-00</v>
      </c>
      <c r="B393" s="37" t="s">
        <v>347</v>
      </c>
      <c r="C393" s="37" t="s">
        <v>114</v>
      </c>
      <c r="D393" s="38" t="s">
        <v>89</v>
      </c>
      <c r="E393" s="38" t="s">
        <v>79</v>
      </c>
      <c r="F393" s="38" t="s">
        <v>22</v>
      </c>
      <c r="G393" s="38" t="s">
        <v>11</v>
      </c>
      <c r="H393" s="38" t="s">
        <v>12</v>
      </c>
      <c r="I393" s="157">
        <v>407</v>
      </c>
      <c r="J393" t="s">
        <v>4035</v>
      </c>
    </row>
    <row r="394" spans="1:10" x14ac:dyDescent="0.25">
      <c r="A394" s="37" t="str">
        <f>C394&amp;"-"&amp;D394&amp;"-"&amp;E394&amp;"-"&amp;F394&amp;"-"&amp;CATALOGO[[#This Row],[Sub cuenta 3]]</f>
        <v>E-13-09-03-01</v>
      </c>
      <c r="B394" s="37" t="s">
        <v>348</v>
      </c>
      <c r="C394" s="37" t="s">
        <v>114</v>
      </c>
      <c r="D394" s="38" t="s">
        <v>89</v>
      </c>
      <c r="E394" s="38" t="s">
        <v>79</v>
      </c>
      <c r="F394" s="38" t="s">
        <v>22</v>
      </c>
      <c r="G394" s="38" t="s">
        <v>10</v>
      </c>
      <c r="H394" s="38" t="s">
        <v>15</v>
      </c>
      <c r="I394" s="157">
        <v>407</v>
      </c>
      <c r="J394" t="s">
        <v>4035</v>
      </c>
    </row>
    <row r="395" spans="1:10" x14ac:dyDescent="0.25">
      <c r="A395" s="37" t="str">
        <f>C395&amp;"-"&amp;D395&amp;"-"&amp;E395&amp;"-"&amp;F395&amp;"-"&amp;CATALOGO[[#This Row],[Sub cuenta 3]]</f>
        <v>E-13-09-03-02</v>
      </c>
      <c r="B395" s="37" t="s">
        <v>349</v>
      </c>
      <c r="C395" s="37" t="s">
        <v>114</v>
      </c>
      <c r="D395" s="38" t="s">
        <v>89</v>
      </c>
      <c r="E395" s="38" t="s">
        <v>79</v>
      </c>
      <c r="F395" s="38" t="s">
        <v>22</v>
      </c>
      <c r="G395" s="38" t="s">
        <v>17</v>
      </c>
      <c r="H395" s="38" t="s">
        <v>15</v>
      </c>
      <c r="I395" s="157">
        <v>407</v>
      </c>
      <c r="J395" t="s">
        <v>4035</v>
      </c>
    </row>
    <row r="396" spans="1:10" x14ac:dyDescent="0.25">
      <c r="A396" s="37" t="str">
        <f>C396&amp;"-"&amp;D396&amp;"-"&amp;E396&amp;"-"&amp;F396&amp;"-"&amp;CATALOGO[[#This Row],[Sub cuenta 3]]</f>
        <v>E-13-09-03-03</v>
      </c>
      <c r="B396" s="37" t="s">
        <v>350</v>
      </c>
      <c r="C396" s="37" t="s">
        <v>114</v>
      </c>
      <c r="D396" s="38" t="s">
        <v>89</v>
      </c>
      <c r="E396" s="38" t="s">
        <v>79</v>
      </c>
      <c r="F396" s="38" t="s">
        <v>22</v>
      </c>
      <c r="G396" s="38" t="s">
        <v>22</v>
      </c>
      <c r="H396" s="38" t="s">
        <v>15</v>
      </c>
      <c r="I396" s="157">
        <v>407</v>
      </c>
      <c r="J396" t="s">
        <v>4035</v>
      </c>
    </row>
    <row r="397" spans="1:10" x14ac:dyDescent="0.25">
      <c r="A397" s="37" t="str">
        <f>C397&amp;"-"&amp;D397&amp;"-"&amp;E397&amp;"-"&amp;F397&amp;"-"&amp;CATALOGO[[#This Row],[Sub cuenta 3]]</f>
        <v>E-13-09-04-00</v>
      </c>
      <c r="B397" s="37" t="s">
        <v>351</v>
      </c>
      <c r="C397" s="37" t="s">
        <v>114</v>
      </c>
      <c r="D397" s="38" t="s">
        <v>89</v>
      </c>
      <c r="E397" s="38" t="s">
        <v>79</v>
      </c>
      <c r="F397" s="38" t="s">
        <v>26</v>
      </c>
      <c r="G397" s="38" t="s">
        <v>11</v>
      </c>
      <c r="H397" s="38" t="s">
        <v>12</v>
      </c>
      <c r="I397" s="157">
        <v>407</v>
      </c>
      <c r="J397" t="s">
        <v>4035</v>
      </c>
    </row>
    <row r="398" spans="1:10" x14ac:dyDescent="0.25">
      <c r="A398" s="37" t="str">
        <f>C398&amp;"-"&amp;D398&amp;"-"&amp;E398&amp;"-"&amp;F398&amp;"-"&amp;CATALOGO[[#This Row],[Sub cuenta 3]]</f>
        <v>E-13-09-04-01</v>
      </c>
      <c r="B398" s="37" t="s">
        <v>352</v>
      </c>
      <c r="C398" s="37" t="s">
        <v>114</v>
      </c>
      <c r="D398" s="38" t="s">
        <v>89</v>
      </c>
      <c r="E398" s="38" t="s">
        <v>79</v>
      </c>
      <c r="F398" s="38" t="s">
        <v>26</v>
      </c>
      <c r="G398" s="38" t="s">
        <v>10</v>
      </c>
      <c r="H398" s="38" t="s">
        <v>15</v>
      </c>
      <c r="I398" s="157">
        <v>407</v>
      </c>
      <c r="J398" t="s">
        <v>4035</v>
      </c>
    </row>
    <row r="399" spans="1:10" x14ac:dyDescent="0.25">
      <c r="A399" s="37" t="str">
        <f>C399&amp;"-"&amp;D399&amp;"-"&amp;E399&amp;"-"&amp;F399&amp;"-"&amp;CATALOGO[[#This Row],[Sub cuenta 3]]</f>
        <v>E-13-09-04-02</v>
      </c>
      <c r="B399" s="37" t="s">
        <v>353</v>
      </c>
      <c r="C399" s="37" t="s">
        <v>114</v>
      </c>
      <c r="D399" s="38" t="s">
        <v>89</v>
      </c>
      <c r="E399" s="38" t="s">
        <v>79</v>
      </c>
      <c r="F399" s="38" t="s">
        <v>26</v>
      </c>
      <c r="G399" s="38" t="s">
        <v>17</v>
      </c>
      <c r="H399" s="38" t="s">
        <v>15</v>
      </c>
      <c r="I399" s="157">
        <v>407</v>
      </c>
      <c r="J399" t="s">
        <v>4035</v>
      </c>
    </row>
    <row r="400" spans="1:10" x14ac:dyDescent="0.25">
      <c r="A400" s="37" t="str">
        <f>C400&amp;"-"&amp;D400&amp;"-"&amp;E400&amp;"-"&amp;F400&amp;"-"&amp;CATALOGO[[#This Row],[Sub cuenta 3]]</f>
        <v>E-13-09-04-03</v>
      </c>
      <c r="B400" s="37" t="s">
        <v>354</v>
      </c>
      <c r="C400" s="37" t="s">
        <v>114</v>
      </c>
      <c r="D400" s="38" t="s">
        <v>89</v>
      </c>
      <c r="E400" s="38" t="s">
        <v>79</v>
      </c>
      <c r="F400" s="38" t="s">
        <v>26</v>
      </c>
      <c r="G400" s="38" t="s">
        <v>22</v>
      </c>
      <c r="H400" s="38" t="s">
        <v>15</v>
      </c>
      <c r="I400" s="157">
        <v>407</v>
      </c>
      <c r="J400" t="s">
        <v>4035</v>
      </c>
    </row>
    <row r="401" spans="1:10" x14ac:dyDescent="0.25">
      <c r="A401" s="37" t="str">
        <f>C401&amp;"-"&amp;D401&amp;"-"&amp;E401&amp;"-"&amp;F401&amp;"-"&amp;CATALOGO[[#This Row],[Sub cuenta 3]]</f>
        <v>E-13-09-04-04</v>
      </c>
      <c r="B401" s="37" t="s">
        <v>355</v>
      </c>
      <c r="C401" s="37" t="s">
        <v>114</v>
      </c>
      <c r="D401" s="38" t="s">
        <v>89</v>
      </c>
      <c r="E401" s="38" t="s">
        <v>79</v>
      </c>
      <c r="F401" s="38" t="s">
        <v>26</v>
      </c>
      <c r="G401" s="38" t="s">
        <v>26</v>
      </c>
      <c r="H401" s="38" t="s">
        <v>15</v>
      </c>
      <c r="I401" s="157">
        <v>407</v>
      </c>
      <c r="J401" t="s">
        <v>4035</v>
      </c>
    </row>
    <row r="402" spans="1:10" x14ac:dyDescent="0.25">
      <c r="A402" s="37" t="str">
        <f>C402&amp;"-"&amp;D402&amp;"-"&amp;E402&amp;"-"&amp;F402&amp;"-"&amp;CATALOGO[[#This Row],[Sub cuenta 3]]</f>
        <v>E-13-09-04-05</v>
      </c>
      <c r="B402" s="37" t="s">
        <v>356</v>
      </c>
      <c r="C402" s="37" t="s">
        <v>114</v>
      </c>
      <c r="D402" s="38" t="s">
        <v>89</v>
      </c>
      <c r="E402" s="38" t="s">
        <v>79</v>
      </c>
      <c r="F402" s="38" t="s">
        <v>26</v>
      </c>
      <c r="G402" s="38" t="s">
        <v>62</v>
      </c>
      <c r="H402" s="38" t="s">
        <v>15</v>
      </c>
      <c r="I402" s="157">
        <v>407</v>
      </c>
      <c r="J402" t="s">
        <v>4035</v>
      </c>
    </row>
    <row r="403" spans="1:10" x14ac:dyDescent="0.25">
      <c r="A403" s="37" t="str">
        <f>C403&amp;"-"&amp;D403&amp;"-"&amp;E403&amp;"-"&amp;F403&amp;"-"&amp;CATALOGO[[#This Row],[Sub cuenta 3]]</f>
        <v>E-13-09-04-06</v>
      </c>
      <c r="B403" s="37" t="s">
        <v>357</v>
      </c>
      <c r="C403" s="37" t="s">
        <v>114</v>
      </c>
      <c r="D403" s="38" t="s">
        <v>89</v>
      </c>
      <c r="E403" s="38" t="s">
        <v>79</v>
      </c>
      <c r="F403" s="38" t="s">
        <v>26</v>
      </c>
      <c r="G403" s="38" t="s">
        <v>73</v>
      </c>
      <c r="H403" s="38" t="s">
        <v>15</v>
      </c>
      <c r="I403" s="157">
        <v>407</v>
      </c>
      <c r="J403" t="s">
        <v>4035</v>
      </c>
    </row>
    <row r="404" spans="1:10" x14ac:dyDescent="0.25">
      <c r="A404" s="37" t="str">
        <f>C404&amp;"-"&amp;D404&amp;"-"&amp;E404&amp;"-"&amp;F404&amp;"-"&amp;CATALOGO[[#This Row],[Sub cuenta 3]]</f>
        <v>E-13-09-04-07</v>
      </c>
      <c r="B404" s="37" t="s">
        <v>358</v>
      </c>
      <c r="C404" s="37" t="s">
        <v>114</v>
      </c>
      <c r="D404" s="38" t="s">
        <v>89</v>
      </c>
      <c r="E404" s="38" t="s">
        <v>79</v>
      </c>
      <c r="F404" s="38" t="s">
        <v>26</v>
      </c>
      <c r="G404" s="38" t="s">
        <v>75</v>
      </c>
      <c r="H404" s="38" t="s">
        <v>15</v>
      </c>
      <c r="I404" s="157">
        <v>407</v>
      </c>
      <c r="J404" t="s">
        <v>4035</v>
      </c>
    </row>
    <row r="405" spans="1:10" x14ac:dyDescent="0.25">
      <c r="A405" s="37" t="str">
        <f>C405&amp;"-"&amp;D405&amp;"-"&amp;E405&amp;"-"&amp;F405&amp;"-"&amp;CATALOGO[[#This Row],[Sub cuenta 3]]</f>
        <v>E-13-09-04-08</v>
      </c>
      <c r="B405" s="37" t="s">
        <v>359</v>
      </c>
      <c r="C405" s="37" t="s">
        <v>114</v>
      </c>
      <c r="D405" s="38" t="s">
        <v>89</v>
      </c>
      <c r="E405" s="38" t="s">
        <v>79</v>
      </c>
      <c r="F405" s="38" t="s">
        <v>26</v>
      </c>
      <c r="G405" s="38" t="s">
        <v>77</v>
      </c>
      <c r="H405" s="38" t="s">
        <v>15</v>
      </c>
      <c r="I405" s="157">
        <v>407</v>
      </c>
      <c r="J405" t="s">
        <v>4035</v>
      </c>
    </row>
    <row r="406" spans="1:10" x14ac:dyDescent="0.25">
      <c r="A406" s="37" t="str">
        <f>C406&amp;"-"&amp;D406&amp;"-"&amp;E406&amp;"-"&amp;F406&amp;"-"&amp;CATALOGO[[#This Row],[Sub cuenta 3]]</f>
        <v>E-13-09-04-09</v>
      </c>
      <c r="B406" s="37" t="s">
        <v>360</v>
      </c>
      <c r="C406" s="37" t="s">
        <v>114</v>
      </c>
      <c r="D406" s="38" t="s">
        <v>89</v>
      </c>
      <c r="E406" s="38" t="s">
        <v>79</v>
      </c>
      <c r="F406" s="38" t="s">
        <v>26</v>
      </c>
      <c r="G406" s="38" t="s">
        <v>79</v>
      </c>
      <c r="H406" s="38" t="s">
        <v>15</v>
      </c>
      <c r="I406" s="157">
        <v>407</v>
      </c>
      <c r="J406" t="s">
        <v>4035</v>
      </c>
    </row>
    <row r="407" spans="1:10" x14ac:dyDescent="0.25">
      <c r="A407" s="37" t="str">
        <f>C407&amp;"-"&amp;D407&amp;"-"&amp;E407&amp;"-"&amp;F407&amp;"-"&amp;CATALOGO[[#This Row],[Sub cuenta 3]]</f>
        <v>E-13-09-04-10</v>
      </c>
      <c r="B407" s="37" t="s">
        <v>361</v>
      </c>
      <c r="C407" s="37" t="s">
        <v>114</v>
      </c>
      <c r="D407" s="38" t="s">
        <v>89</v>
      </c>
      <c r="E407" s="38" t="s">
        <v>79</v>
      </c>
      <c r="F407" s="38" t="s">
        <v>26</v>
      </c>
      <c r="G407" s="38" t="s">
        <v>80</v>
      </c>
      <c r="H407" s="38" t="s">
        <v>15</v>
      </c>
      <c r="I407" s="157">
        <v>407</v>
      </c>
      <c r="J407" t="s">
        <v>4035</v>
      </c>
    </row>
    <row r="408" spans="1:10" x14ac:dyDescent="0.25">
      <c r="A408" s="37" t="str">
        <f>C408&amp;"-"&amp;D408&amp;"-"&amp;E408&amp;"-"&amp;F408&amp;"-"&amp;CATALOGO[[#This Row],[Sub cuenta 3]]</f>
        <v>E-13-09-04-11</v>
      </c>
      <c r="B408" s="37" t="s">
        <v>362</v>
      </c>
      <c r="C408" s="37" t="s">
        <v>114</v>
      </c>
      <c r="D408" s="38" t="s">
        <v>89</v>
      </c>
      <c r="E408" s="38" t="s">
        <v>79</v>
      </c>
      <c r="F408" s="38" t="s">
        <v>26</v>
      </c>
      <c r="G408" s="38" t="s">
        <v>82</v>
      </c>
      <c r="H408" s="38" t="s">
        <v>15</v>
      </c>
      <c r="I408" s="157">
        <v>407</v>
      </c>
      <c r="J408" t="s">
        <v>4035</v>
      </c>
    </row>
    <row r="409" spans="1:10" x14ac:dyDescent="0.25">
      <c r="A409" s="37" t="str">
        <f>C409&amp;"-"&amp;D409&amp;"-"&amp;E409&amp;"-"&amp;F409&amp;"-"&amp;CATALOGO[[#This Row],[Sub cuenta 3]]</f>
        <v>E-13-09-04-12</v>
      </c>
      <c r="B409" s="37" t="s">
        <v>363</v>
      </c>
      <c r="C409" s="37" t="s">
        <v>114</v>
      </c>
      <c r="D409" s="38" t="s">
        <v>89</v>
      </c>
      <c r="E409" s="38" t="s">
        <v>79</v>
      </c>
      <c r="F409" s="38" t="s">
        <v>26</v>
      </c>
      <c r="G409" s="38" t="s">
        <v>87</v>
      </c>
      <c r="H409" s="38" t="s">
        <v>15</v>
      </c>
      <c r="I409" s="157">
        <v>407</v>
      </c>
      <c r="J409" t="s">
        <v>4035</v>
      </c>
    </row>
    <row r="410" spans="1:10" x14ac:dyDescent="0.25">
      <c r="A410" s="135" t="str">
        <f>C410&amp;"-"&amp;D410&amp;"-"&amp;E410&amp;"-"&amp;F410&amp;"-"&amp;CATALOGO[[#This Row],[Sub cuenta 3]]</f>
        <v>E-13-09-04-13</v>
      </c>
      <c r="B410" s="135" t="s">
        <v>364</v>
      </c>
      <c r="C410" s="37" t="s">
        <v>114</v>
      </c>
      <c r="D410" s="38" t="s">
        <v>89</v>
      </c>
      <c r="E410" s="38" t="s">
        <v>79</v>
      </c>
      <c r="F410" s="38" t="s">
        <v>26</v>
      </c>
      <c r="G410" s="38" t="s">
        <v>89</v>
      </c>
      <c r="H410" s="38" t="s">
        <v>15</v>
      </c>
      <c r="I410" s="157">
        <v>407</v>
      </c>
      <c r="J410" t="s">
        <v>4035</v>
      </c>
    </row>
    <row r="411" spans="1:10" x14ac:dyDescent="0.25">
      <c r="A411" s="135" t="str">
        <f>C411&amp;"-"&amp;D411&amp;"-"&amp;E411&amp;"-"&amp;F411&amp;"-"&amp;CATALOGO[[#This Row],[Sub cuenta 3]]</f>
        <v>E-13-09-04-14</v>
      </c>
      <c r="B411" s="135" t="s">
        <v>365</v>
      </c>
      <c r="C411" s="37" t="s">
        <v>114</v>
      </c>
      <c r="D411" s="38" t="s">
        <v>89</v>
      </c>
      <c r="E411" s="38" t="s">
        <v>79</v>
      </c>
      <c r="F411" s="38" t="s">
        <v>26</v>
      </c>
      <c r="G411" s="38" t="s">
        <v>90</v>
      </c>
      <c r="H411" s="38" t="s">
        <v>15</v>
      </c>
      <c r="I411" s="157">
        <v>407</v>
      </c>
      <c r="J411" t="s">
        <v>4035</v>
      </c>
    </row>
    <row r="412" spans="1:10" x14ac:dyDescent="0.25">
      <c r="A412" s="37" t="str">
        <f>C412&amp;"-"&amp;D412&amp;"-"&amp;E412&amp;"-"&amp;F412&amp;"-"&amp;CATALOGO[[#This Row],[Sub cuenta 3]]</f>
        <v>E-13-09-05-00</v>
      </c>
      <c r="B412" s="37" t="s">
        <v>366</v>
      </c>
      <c r="C412" s="37" t="s">
        <v>114</v>
      </c>
      <c r="D412" s="38" t="s">
        <v>89</v>
      </c>
      <c r="E412" s="38" t="s">
        <v>79</v>
      </c>
      <c r="F412" s="38" t="s">
        <v>62</v>
      </c>
      <c r="G412" s="38" t="s">
        <v>11</v>
      </c>
      <c r="H412" s="38" t="s">
        <v>12</v>
      </c>
      <c r="I412" s="157">
        <v>407</v>
      </c>
      <c r="J412" t="s">
        <v>4035</v>
      </c>
    </row>
    <row r="413" spans="1:10" x14ac:dyDescent="0.25">
      <c r="A413" s="37" t="str">
        <f>C413&amp;"-"&amp;D413&amp;"-"&amp;E413&amp;"-"&amp;F413&amp;"-"&amp;CATALOGO[[#This Row],[Sub cuenta 3]]</f>
        <v>E-13-09-05-01</v>
      </c>
      <c r="B413" s="37" t="s">
        <v>367</v>
      </c>
      <c r="C413" s="37" t="s">
        <v>114</v>
      </c>
      <c r="D413" s="38" t="s">
        <v>89</v>
      </c>
      <c r="E413" s="38" t="s">
        <v>79</v>
      </c>
      <c r="F413" s="38" t="s">
        <v>62</v>
      </c>
      <c r="G413" s="38" t="s">
        <v>10</v>
      </c>
      <c r="H413" s="38" t="s">
        <v>15</v>
      </c>
      <c r="I413" s="157">
        <v>407</v>
      </c>
      <c r="J413" t="s">
        <v>4035</v>
      </c>
    </row>
    <row r="414" spans="1:10" x14ac:dyDescent="0.25">
      <c r="A414" s="37" t="str">
        <f>C414&amp;"-"&amp;D414&amp;"-"&amp;E414&amp;"-"&amp;F414&amp;"-"&amp;CATALOGO[[#This Row],[Sub cuenta 3]]</f>
        <v>E-13-09-05-02</v>
      </c>
      <c r="B414" s="37" t="s">
        <v>368</v>
      </c>
      <c r="C414" s="37" t="s">
        <v>114</v>
      </c>
      <c r="D414" s="38" t="s">
        <v>89</v>
      </c>
      <c r="E414" s="38" t="s">
        <v>79</v>
      </c>
      <c r="F414" s="38" t="s">
        <v>62</v>
      </c>
      <c r="G414" s="38" t="s">
        <v>17</v>
      </c>
      <c r="H414" s="38" t="s">
        <v>15</v>
      </c>
      <c r="I414" s="157">
        <v>407</v>
      </c>
      <c r="J414" t="s">
        <v>4035</v>
      </c>
    </row>
    <row r="415" spans="1:10" x14ac:dyDescent="0.25">
      <c r="A415" s="37" t="str">
        <f>C415&amp;"-"&amp;D415&amp;"-"&amp;E415&amp;"-"&amp;F415&amp;"-"&amp;CATALOGO[[#This Row],[Sub cuenta 3]]</f>
        <v>E-13-09-05-03</v>
      </c>
      <c r="B415" s="37" t="s">
        <v>369</v>
      </c>
      <c r="C415" s="37" t="s">
        <v>114</v>
      </c>
      <c r="D415" s="38" t="s">
        <v>89</v>
      </c>
      <c r="E415" s="38" t="s">
        <v>79</v>
      </c>
      <c r="F415" s="38" t="s">
        <v>62</v>
      </c>
      <c r="G415" s="38" t="s">
        <v>22</v>
      </c>
      <c r="H415" s="38" t="s">
        <v>15</v>
      </c>
      <c r="I415" s="157">
        <v>407</v>
      </c>
      <c r="J415" t="s">
        <v>4035</v>
      </c>
    </row>
    <row r="416" spans="1:10" x14ac:dyDescent="0.25">
      <c r="A416" s="37" t="str">
        <f>C416&amp;"-"&amp;D416&amp;"-"&amp;E416&amp;"-"&amp;F416&amp;"-"&amp;CATALOGO[[#This Row],[Sub cuenta 3]]</f>
        <v>E-13-09-05-04</v>
      </c>
      <c r="B416" s="37" t="s">
        <v>370</v>
      </c>
      <c r="C416" s="37" t="s">
        <v>114</v>
      </c>
      <c r="D416" s="38" t="s">
        <v>89</v>
      </c>
      <c r="E416" s="38" t="s">
        <v>79</v>
      </c>
      <c r="F416" s="38" t="s">
        <v>62</v>
      </c>
      <c r="G416" s="38" t="s">
        <v>26</v>
      </c>
      <c r="H416" s="38" t="s">
        <v>15</v>
      </c>
      <c r="I416" s="157">
        <v>407</v>
      </c>
      <c r="J416" t="s">
        <v>4035</v>
      </c>
    </row>
    <row r="417" spans="1:10" x14ac:dyDescent="0.25">
      <c r="A417" s="37" t="str">
        <f>C417&amp;"-"&amp;D417&amp;"-"&amp;E417&amp;"-"&amp;F417&amp;"-"&amp;CATALOGO[[#This Row],[Sub cuenta 3]]</f>
        <v>E-13-09-05-05</v>
      </c>
      <c r="B417" s="37" t="s">
        <v>371</v>
      </c>
      <c r="C417" s="37" t="s">
        <v>114</v>
      </c>
      <c r="D417" s="38" t="s">
        <v>89</v>
      </c>
      <c r="E417" s="38" t="s">
        <v>79</v>
      </c>
      <c r="F417" s="38" t="s">
        <v>62</v>
      </c>
      <c r="G417" s="38" t="s">
        <v>62</v>
      </c>
      <c r="H417" s="38" t="s">
        <v>15</v>
      </c>
      <c r="I417" s="157">
        <v>407</v>
      </c>
      <c r="J417" t="s">
        <v>4035</v>
      </c>
    </row>
    <row r="418" spans="1:10" x14ac:dyDescent="0.25">
      <c r="A418" s="37" t="str">
        <f>C418&amp;"-"&amp;D418&amp;"-"&amp;E418&amp;"-"&amp;F418&amp;"-"&amp;CATALOGO[[#This Row],[Sub cuenta 3]]</f>
        <v>E-13-09-05-06</v>
      </c>
      <c r="B418" s="37" t="s">
        <v>372</v>
      </c>
      <c r="C418" s="37" t="s">
        <v>114</v>
      </c>
      <c r="D418" s="38" t="s">
        <v>89</v>
      </c>
      <c r="E418" s="38" t="s">
        <v>79</v>
      </c>
      <c r="F418" s="38" t="s">
        <v>62</v>
      </c>
      <c r="G418" s="38" t="s">
        <v>73</v>
      </c>
      <c r="H418" s="38" t="s">
        <v>15</v>
      </c>
      <c r="I418" s="157">
        <v>407</v>
      </c>
      <c r="J418" t="s">
        <v>4035</v>
      </c>
    </row>
    <row r="419" spans="1:10" x14ac:dyDescent="0.25">
      <c r="A419" s="37" t="str">
        <f>C419&amp;"-"&amp;D419&amp;"-"&amp;E419&amp;"-"&amp;F419&amp;"-"&amp;CATALOGO[[#This Row],[Sub cuenta 3]]</f>
        <v>E-13-09-05-07</v>
      </c>
      <c r="B419" s="37" t="s">
        <v>373</v>
      </c>
      <c r="C419" s="37" t="s">
        <v>114</v>
      </c>
      <c r="D419" s="38" t="s">
        <v>89</v>
      </c>
      <c r="E419" s="38" t="s">
        <v>79</v>
      </c>
      <c r="F419" s="38" t="s">
        <v>62</v>
      </c>
      <c r="G419" s="38" t="s">
        <v>75</v>
      </c>
      <c r="H419" s="38" t="s">
        <v>15</v>
      </c>
      <c r="I419" s="157">
        <v>407</v>
      </c>
      <c r="J419" t="s">
        <v>4035</v>
      </c>
    </row>
    <row r="420" spans="1:10" x14ac:dyDescent="0.25">
      <c r="A420" s="37" t="str">
        <f>C420&amp;"-"&amp;D420&amp;"-"&amp;E420&amp;"-"&amp;F420&amp;"-"&amp;CATALOGO[[#This Row],[Sub cuenta 3]]</f>
        <v>E-13-09-05-08</v>
      </c>
      <c r="B420" s="37" t="s">
        <v>374</v>
      </c>
      <c r="C420" s="37" t="s">
        <v>114</v>
      </c>
      <c r="D420" s="38" t="s">
        <v>89</v>
      </c>
      <c r="E420" s="38" t="s">
        <v>79</v>
      </c>
      <c r="F420" s="38" t="s">
        <v>62</v>
      </c>
      <c r="G420" s="38" t="s">
        <v>77</v>
      </c>
      <c r="H420" s="38" t="s">
        <v>15</v>
      </c>
      <c r="I420" s="157">
        <v>407</v>
      </c>
      <c r="J420" t="s">
        <v>4035</v>
      </c>
    </row>
    <row r="421" spans="1:10" x14ac:dyDescent="0.25">
      <c r="A421" s="37" t="str">
        <f>C421&amp;"-"&amp;D421&amp;"-"&amp;E421&amp;"-"&amp;F421&amp;"-"&amp;CATALOGO[[#This Row],[Sub cuenta 3]]</f>
        <v>E-13-10-00-00</v>
      </c>
      <c r="B421" s="37" t="s">
        <v>375</v>
      </c>
      <c r="C421" s="37" t="s">
        <v>114</v>
      </c>
      <c r="D421" s="38" t="s">
        <v>89</v>
      </c>
      <c r="E421" s="38" t="s">
        <v>80</v>
      </c>
      <c r="F421" s="38" t="s">
        <v>11</v>
      </c>
      <c r="G421" s="38" t="s">
        <v>11</v>
      </c>
      <c r="H421" s="38" t="s">
        <v>12</v>
      </c>
      <c r="I421" s="157">
        <v>407</v>
      </c>
      <c r="J421" t="s">
        <v>4035</v>
      </c>
    </row>
    <row r="422" spans="1:10" x14ac:dyDescent="0.25">
      <c r="A422" s="37" t="str">
        <f>C422&amp;"-"&amp;D422&amp;"-"&amp;E422&amp;"-"&amp;F422&amp;"-"&amp;CATALOGO[[#This Row],[Sub cuenta 3]]</f>
        <v>E-13-10-01-00</v>
      </c>
      <c r="B422" s="37" t="s">
        <v>342</v>
      </c>
      <c r="C422" s="37" t="s">
        <v>114</v>
      </c>
      <c r="D422" s="38" t="s">
        <v>89</v>
      </c>
      <c r="E422" s="38" t="s">
        <v>80</v>
      </c>
      <c r="F422" s="38" t="s">
        <v>10</v>
      </c>
      <c r="G422" s="38" t="s">
        <v>11</v>
      </c>
      <c r="H422" s="38" t="s">
        <v>12</v>
      </c>
      <c r="I422" s="157">
        <v>407</v>
      </c>
      <c r="J422" t="s">
        <v>4035</v>
      </c>
    </row>
    <row r="423" spans="1:10" x14ac:dyDescent="0.25">
      <c r="A423" s="37" t="str">
        <f>C423&amp;"-"&amp;D423&amp;"-"&amp;E423&amp;"-"&amp;F423&amp;"-"&amp;CATALOGO[[#This Row],[Sub cuenta 3]]</f>
        <v>E-13-10-01-01</v>
      </c>
      <c r="B423" s="37" t="s">
        <v>376</v>
      </c>
      <c r="C423" s="37" t="s">
        <v>114</v>
      </c>
      <c r="D423" s="38" t="s">
        <v>89</v>
      </c>
      <c r="E423" s="38" t="s">
        <v>80</v>
      </c>
      <c r="F423" s="38" t="s">
        <v>10</v>
      </c>
      <c r="G423" s="38" t="s">
        <v>10</v>
      </c>
      <c r="H423" s="38" t="s">
        <v>15</v>
      </c>
      <c r="I423" s="157">
        <v>407</v>
      </c>
      <c r="J423" t="s">
        <v>4035</v>
      </c>
    </row>
    <row r="424" spans="1:10" x14ac:dyDescent="0.25">
      <c r="A424" s="37" t="str">
        <f>C424&amp;"-"&amp;D424&amp;"-"&amp;E424&amp;"-"&amp;F424&amp;"-"&amp;CATALOGO[[#This Row],[Sub cuenta 3]]</f>
        <v>E-13-10-01-02</v>
      </c>
      <c r="B424" s="37" t="s">
        <v>377</v>
      </c>
      <c r="C424" s="37" t="s">
        <v>114</v>
      </c>
      <c r="D424" s="38" t="s">
        <v>89</v>
      </c>
      <c r="E424" s="38" t="s">
        <v>80</v>
      </c>
      <c r="F424" s="38" t="s">
        <v>10</v>
      </c>
      <c r="G424" s="38" t="s">
        <v>17</v>
      </c>
      <c r="H424" s="38" t="s">
        <v>15</v>
      </c>
      <c r="I424" s="157">
        <v>407</v>
      </c>
      <c r="J424" t="s">
        <v>4035</v>
      </c>
    </row>
    <row r="425" spans="1:10" x14ac:dyDescent="0.25">
      <c r="A425" s="37" t="str">
        <f>C425&amp;"-"&amp;D425&amp;"-"&amp;E425&amp;"-"&amp;F425&amp;"-"&amp;CATALOGO[[#This Row],[Sub cuenta 3]]</f>
        <v>E-13-10-02-00</v>
      </c>
      <c r="B425" s="37" t="s">
        <v>378</v>
      </c>
      <c r="C425" s="37" t="s">
        <v>114</v>
      </c>
      <c r="D425" s="38" t="s">
        <v>89</v>
      </c>
      <c r="E425" s="38" t="s">
        <v>80</v>
      </c>
      <c r="F425" s="38" t="s">
        <v>17</v>
      </c>
      <c r="G425" s="38" t="s">
        <v>11</v>
      </c>
      <c r="H425" s="38" t="s">
        <v>15</v>
      </c>
      <c r="I425" s="157">
        <v>407</v>
      </c>
      <c r="J425" t="s">
        <v>4035</v>
      </c>
    </row>
    <row r="426" spans="1:10" x14ac:dyDescent="0.25">
      <c r="A426" s="37" t="str">
        <f>C426&amp;"-"&amp;D426&amp;"-"&amp;E426&amp;"-"&amp;F426&amp;"-"&amp;CATALOGO[[#This Row],[Sub cuenta 3]]</f>
        <v>E-13-11-00-00</v>
      </c>
      <c r="B426" s="37" t="s">
        <v>379</v>
      </c>
      <c r="C426" s="37" t="s">
        <v>114</v>
      </c>
      <c r="D426" s="38" t="s">
        <v>89</v>
      </c>
      <c r="E426" s="38" t="s">
        <v>82</v>
      </c>
      <c r="F426" s="38" t="s">
        <v>11</v>
      </c>
      <c r="G426" s="38" t="s">
        <v>11</v>
      </c>
      <c r="H426" s="38" t="s">
        <v>12</v>
      </c>
      <c r="I426" s="157">
        <v>407</v>
      </c>
      <c r="J426" t="s">
        <v>4035</v>
      </c>
    </row>
    <row r="427" spans="1:10" x14ac:dyDescent="0.25">
      <c r="A427" s="37" t="str">
        <f>C427&amp;"-"&amp;D427&amp;"-"&amp;E427&amp;"-"&amp;F427&amp;"-"&amp;CATALOGO[[#This Row],[Sub cuenta 3]]</f>
        <v>E-13-11-01-00</v>
      </c>
      <c r="B427" s="37" t="s">
        <v>380</v>
      </c>
      <c r="C427" s="37" t="s">
        <v>114</v>
      </c>
      <c r="D427" s="38" t="s">
        <v>89</v>
      </c>
      <c r="E427" s="38" t="s">
        <v>82</v>
      </c>
      <c r="F427" s="38" t="s">
        <v>10</v>
      </c>
      <c r="G427" s="38" t="s">
        <v>11</v>
      </c>
      <c r="H427" s="38" t="s">
        <v>15</v>
      </c>
      <c r="I427" s="157">
        <v>407</v>
      </c>
      <c r="J427" t="s">
        <v>4035</v>
      </c>
    </row>
    <row r="428" spans="1:10" x14ac:dyDescent="0.25">
      <c r="A428" s="37" t="str">
        <f>C428&amp;"-"&amp;D428&amp;"-"&amp;E428&amp;"-"&amp;F428&amp;"-"&amp;CATALOGO[[#This Row],[Sub cuenta 3]]</f>
        <v>E-13-11-02-00</v>
      </c>
      <c r="B428" s="37" t="s">
        <v>381</v>
      </c>
      <c r="C428" s="37" t="s">
        <v>114</v>
      </c>
      <c r="D428" s="38" t="s">
        <v>89</v>
      </c>
      <c r="E428" s="38" t="s">
        <v>82</v>
      </c>
      <c r="F428" s="38" t="s">
        <v>17</v>
      </c>
      <c r="G428" s="38" t="s">
        <v>11</v>
      </c>
      <c r="H428" s="38" t="s">
        <v>15</v>
      </c>
      <c r="I428" s="157">
        <v>407</v>
      </c>
      <c r="J428" t="s">
        <v>4035</v>
      </c>
    </row>
    <row r="429" spans="1:10" x14ac:dyDescent="0.25">
      <c r="A429" s="39" t="str">
        <f>C429&amp;"-"&amp;D429&amp;"-"&amp;E429&amp;"-"&amp;F429&amp;"-"&amp;CATALOGO[[#This Row],[Sub cuenta 3]]</f>
        <v>E-14-00-00-00</v>
      </c>
      <c r="B429" s="39" t="s">
        <v>279</v>
      </c>
      <c r="C429" s="37" t="s">
        <v>114</v>
      </c>
      <c r="D429" s="38" t="s">
        <v>90</v>
      </c>
      <c r="E429" s="38" t="s">
        <v>11</v>
      </c>
      <c r="F429" s="38" t="s">
        <v>11</v>
      </c>
      <c r="G429" s="36" t="s">
        <v>11</v>
      </c>
      <c r="H429" s="38" t="s">
        <v>12</v>
      </c>
      <c r="I429" s="157">
        <v>407</v>
      </c>
      <c r="J429" t="s">
        <v>4035</v>
      </c>
    </row>
    <row r="430" spans="1:10" x14ac:dyDescent="0.25">
      <c r="A430" s="37" t="str">
        <f>C430&amp;"-"&amp;D430&amp;"-"&amp;E430&amp;"-"&amp;F430&amp;"-"&amp;CATALOGO[[#This Row],[Sub cuenta 3]]</f>
        <v>E-14-01-00-00</v>
      </c>
      <c r="B430" s="37" t="s">
        <v>382</v>
      </c>
      <c r="C430" s="37" t="s">
        <v>114</v>
      </c>
      <c r="D430" s="38" t="s">
        <v>90</v>
      </c>
      <c r="E430" s="38" t="s">
        <v>10</v>
      </c>
      <c r="F430" s="38" t="s">
        <v>11</v>
      </c>
      <c r="G430" s="36" t="s">
        <v>11</v>
      </c>
      <c r="H430" s="38" t="s">
        <v>12</v>
      </c>
      <c r="I430" s="157">
        <v>407</v>
      </c>
      <c r="J430" t="s">
        <v>4035</v>
      </c>
    </row>
    <row r="431" spans="1:10" x14ac:dyDescent="0.25">
      <c r="A431" s="37" t="str">
        <f>C431&amp;"-"&amp;D431&amp;"-"&amp;E431&amp;"-"&amp;F431&amp;"-"&amp;CATALOGO[[#This Row],[Sub cuenta 3]]</f>
        <v>E-14-01-01-00</v>
      </c>
      <c r="B431" s="37" t="s">
        <v>383</v>
      </c>
      <c r="C431" s="37" t="s">
        <v>114</v>
      </c>
      <c r="D431" s="38" t="s">
        <v>90</v>
      </c>
      <c r="E431" s="38" t="s">
        <v>10</v>
      </c>
      <c r="F431" s="38" t="s">
        <v>10</v>
      </c>
      <c r="G431" s="36" t="s">
        <v>11</v>
      </c>
      <c r="H431" s="38" t="s">
        <v>15</v>
      </c>
      <c r="I431" s="157">
        <v>407</v>
      </c>
      <c r="J431" t="s">
        <v>4035</v>
      </c>
    </row>
    <row r="432" spans="1:10" x14ac:dyDescent="0.25">
      <c r="A432" s="37" t="str">
        <f>C432&amp;"-"&amp;D432&amp;"-"&amp;E432&amp;"-"&amp;F432&amp;"-"&amp;CATALOGO[[#This Row],[Sub cuenta 3]]</f>
        <v>E-14-01-02-00</v>
      </c>
      <c r="B432" s="37" t="s">
        <v>384</v>
      </c>
      <c r="C432" s="37" t="s">
        <v>114</v>
      </c>
      <c r="D432" s="38" t="s">
        <v>90</v>
      </c>
      <c r="E432" s="38" t="s">
        <v>10</v>
      </c>
      <c r="F432" s="38" t="s">
        <v>17</v>
      </c>
      <c r="G432" s="36" t="s">
        <v>11</v>
      </c>
      <c r="H432" s="38" t="s">
        <v>15</v>
      </c>
      <c r="I432" s="157">
        <v>407</v>
      </c>
      <c r="J432" t="s">
        <v>4035</v>
      </c>
    </row>
    <row r="433" spans="1:10" x14ac:dyDescent="0.25">
      <c r="A433" s="37" t="str">
        <f>C433&amp;"-"&amp;D433&amp;"-"&amp;E433&amp;"-"&amp;F433&amp;"-"&amp;CATALOGO[[#This Row],[Sub cuenta 3]]</f>
        <v>E-14-01-03-00</v>
      </c>
      <c r="B433" s="37" t="s">
        <v>385</v>
      </c>
      <c r="C433" s="37" t="s">
        <v>114</v>
      </c>
      <c r="D433" s="38" t="s">
        <v>90</v>
      </c>
      <c r="E433" s="38" t="s">
        <v>10</v>
      </c>
      <c r="F433" s="38" t="s">
        <v>22</v>
      </c>
      <c r="G433" s="36" t="s">
        <v>11</v>
      </c>
      <c r="H433" s="38" t="s">
        <v>15</v>
      </c>
      <c r="I433" s="157">
        <v>407</v>
      </c>
      <c r="J433" t="s">
        <v>4035</v>
      </c>
    </row>
    <row r="434" spans="1:10" x14ac:dyDescent="0.25">
      <c r="A434" s="37" t="str">
        <f>C434&amp;"-"&amp;D434&amp;"-"&amp;E434&amp;"-"&amp;F434&amp;"-"&amp;CATALOGO[[#This Row],[Sub cuenta 3]]</f>
        <v>E-14-01-04-00</v>
      </c>
      <c r="B434" s="37" t="s">
        <v>386</v>
      </c>
      <c r="C434" s="37" t="s">
        <v>114</v>
      </c>
      <c r="D434" s="38" t="s">
        <v>90</v>
      </c>
      <c r="E434" s="38" t="s">
        <v>10</v>
      </c>
      <c r="F434" s="38" t="s">
        <v>26</v>
      </c>
      <c r="G434" s="36" t="s">
        <v>11</v>
      </c>
      <c r="H434" s="38" t="s">
        <v>15</v>
      </c>
      <c r="I434" s="157">
        <v>407</v>
      </c>
      <c r="J434" t="s">
        <v>4035</v>
      </c>
    </row>
    <row r="435" spans="1:10" x14ac:dyDescent="0.25">
      <c r="A435" s="37" t="str">
        <f>C435&amp;"-"&amp;D435&amp;"-"&amp;E435&amp;"-"&amp;F435&amp;"-"&amp;CATALOGO[[#This Row],[Sub cuenta 3]]</f>
        <v>E-14-01-05-00</v>
      </c>
      <c r="B435" s="37" t="s">
        <v>387</v>
      </c>
      <c r="C435" s="37" t="s">
        <v>114</v>
      </c>
      <c r="D435" s="38" t="s">
        <v>90</v>
      </c>
      <c r="E435" s="38" t="s">
        <v>10</v>
      </c>
      <c r="F435" s="38" t="s">
        <v>62</v>
      </c>
      <c r="G435" s="36" t="s">
        <v>11</v>
      </c>
      <c r="H435" s="38" t="s">
        <v>15</v>
      </c>
      <c r="I435" s="157">
        <v>407</v>
      </c>
      <c r="J435" t="s">
        <v>4035</v>
      </c>
    </row>
    <row r="436" spans="1:10" x14ac:dyDescent="0.25">
      <c r="A436" s="37" t="str">
        <f>C436&amp;"-"&amp;D436&amp;"-"&amp;E436&amp;"-"&amp;F436&amp;"-"&amp;CATALOGO[[#This Row],[Sub cuenta 3]]</f>
        <v>E-14-02-00-00</v>
      </c>
      <c r="B436" s="37" t="s">
        <v>388</v>
      </c>
      <c r="C436" s="37" t="s">
        <v>114</v>
      </c>
      <c r="D436" s="38" t="s">
        <v>90</v>
      </c>
      <c r="E436" s="38" t="s">
        <v>17</v>
      </c>
      <c r="F436" s="38" t="s">
        <v>11</v>
      </c>
      <c r="G436" s="36" t="s">
        <v>11</v>
      </c>
      <c r="H436" s="38" t="s">
        <v>12</v>
      </c>
      <c r="I436" s="157">
        <v>407</v>
      </c>
      <c r="J436" t="s">
        <v>4035</v>
      </c>
    </row>
    <row r="437" spans="1:10" x14ac:dyDescent="0.25">
      <c r="A437" s="37" t="str">
        <f>C437&amp;"-"&amp;D437&amp;"-"&amp;E437&amp;"-"&amp;F437&amp;"-"&amp;CATALOGO[[#This Row],[Sub cuenta 3]]</f>
        <v>E-14-02-01-00</v>
      </c>
      <c r="B437" s="37" t="s">
        <v>389</v>
      </c>
      <c r="C437" s="37" t="s">
        <v>114</v>
      </c>
      <c r="D437" s="38" t="s">
        <v>90</v>
      </c>
      <c r="E437" s="38" t="s">
        <v>17</v>
      </c>
      <c r="F437" s="38" t="s">
        <v>10</v>
      </c>
      <c r="G437" s="36" t="s">
        <v>11</v>
      </c>
      <c r="H437" s="38" t="s">
        <v>15</v>
      </c>
      <c r="I437" s="157">
        <v>407</v>
      </c>
      <c r="J437" t="s">
        <v>4035</v>
      </c>
    </row>
    <row r="438" spans="1:10" x14ac:dyDescent="0.25">
      <c r="A438" s="37" t="str">
        <f>C438&amp;"-"&amp;D438&amp;"-"&amp;E438&amp;"-"&amp;F438&amp;"-"&amp;CATALOGO[[#This Row],[Sub cuenta 3]]</f>
        <v>E-14-02-02-00</v>
      </c>
      <c r="B438" s="37" t="s">
        <v>390</v>
      </c>
      <c r="C438" s="37" t="s">
        <v>114</v>
      </c>
      <c r="D438" s="38" t="s">
        <v>90</v>
      </c>
      <c r="E438" s="38" t="s">
        <v>17</v>
      </c>
      <c r="F438" s="38" t="s">
        <v>17</v>
      </c>
      <c r="G438" s="36" t="s">
        <v>11</v>
      </c>
      <c r="H438" s="38" t="s">
        <v>15</v>
      </c>
      <c r="I438" s="157">
        <v>407</v>
      </c>
      <c r="J438" t="s">
        <v>4035</v>
      </c>
    </row>
    <row r="439" spans="1:10" x14ac:dyDescent="0.25">
      <c r="A439" s="37" t="str">
        <f>C439&amp;"-"&amp;D439&amp;"-"&amp;E439&amp;"-"&amp;F439&amp;"-"&amp;CATALOGO[[#This Row],[Sub cuenta 3]]</f>
        <v>E-14-02-03-00</v>
      </c>
      <c r="B439" s="37" t="s">
        <v>391</v>
      </c>
      <c r="C439" s="37" t="s">
        <v>114</v>
      </c>
      <c r="D439" s="38" t="s">
        <v>90</v>
      </c>
      <c r="E439" s="38" t="s">
        <v>17</v>
      </c>
      <c r="F439" s="38" t="s">
        <v>22</v>
      </c>
      <c r="G439" s="36" t="s">
        <v>11</v>
      </c>
      <c r="H439" s="38" t="s">
        <v>15</v>
      </c>
      <c r="I439" s="157">
        <v>407</v>
      </c>
      <c r="J439" t="s">
        <v>4035</v>
      </c>
    </row>
    <row r="440" spans="1:10" x14ac:dyDescent="0.25">
      <c r="A440" s="37" t="str">
        <f>C440&amp;"-"&amp;D440&amp;"-"&amp;E440&amp;"-"&amp;F440&amp;"-"&amp;CATALOGO[[#This Row],[Sub cuenta 3]]</f>
        <v>E-14-02-04-00</v>
      </c>
      <c r="B440" s="37" t="s">
        <v>392</v>
      </c>
      <c r="C440" s="37" t="s">
        <v>114</v>
      </c>
      <c r="D440" s="38" t="s">
        <v>90</v>
      </c>
      <c r="E440" s="38" t="s">
        <v>17</v>
      </c>
      <c r="F440" s="38" t="s">
        <v>26</v>
      </c>
      <c r="G440" s="36" t="s">
        <v>11</v>
      </c>
      <c r="H440" s="38" t="s">
        <v>15</v>
      </c>
      <c r="I440" s="157">
        <v>407</v>
      </c>
      <c r="J440" t="s">
        <v>4035</v>
      </c>
    </row>
    <row r="441" spans="1:10" x14ac:dyDescent="0.25">
      <c r="A441" s="37" t="str">
        <f>C441&amp;"-"&amp;D441&amp;"-"&amp;E441&amp;"-"&amp;F441&amp;"-"&amp;CATALOGO[[#This Row],[Sub cuenta 3]]</f>
        <v>E-14-03-00-00</v>
      </c>
      <c r="B441" s="37" t="s">
        <v>393</v>
      </c>
      <c r="C441" s="37" t="s">
        <v>114</v>
      </c>
      <c r="D441" s="38" t="s">
        <v>90</v>
      </c>
      <c r="E441" s="38" t="s">
        <v>22</v>
      </c>
      <c r="F441" s="38" t="s">
        <v>11</v>
      </c>
      <c r="G441" s="36" t="s">
        <v>11</v>
      </c>
      <c r="H441" s="38" t="s">
        <v>12</v>
      </c>
      <c r="I441" s="157">
        <v>407</v>
      </c>
      <c r="J441" t="s">
        <v>4035</v>
      </c>
    </row>
    <row r="442" spans="1:10" x14ac:dyDescent="0.25">
      <c r="A442" s="37" t="str">
        <f>C442&amp;"-"&amp;D442&amp;"-"&amp;E442&amp;"-"&amp;F442&amp;"-"&amp;CATALOGO[[#This Row],[Sub cuenta 3]]</f>
        <v>E-14-03-01-00</v>
      </c>
      <c r="B442" s="37" t="s">
        <v>203</v>
      </c>
      <c r="C442" s="37" t="s">
        <v>114</v>
      </c>
      <c r="D442" s="38" t="s">
        <v>90</v>
      </c>
      <c r="E442" s="38" t="s">
        <v>22</v>
      </c>
      <c r="F442" s="38" t="s">
        <v>10</v>
      </c>
      <c r="G442" s="36" t="s">
        <v>11</v>
      </c>
      <c r="H442" s="38" t="s">
        <v>15</v>
      </c>
      <c r="I442" s="157">
        <v>407</v>
      </c>
      <c r="J442" t="s">
        <v>4035</v>
      </c>
    </row>
    <row r="443" spans="1:10" x14ac:dyDescent="0.25">
      <c r="A443" s="37" t="str">
        <f>C443&amp;"-"&amp;D443&amp;"-"&amp;E443&amp;"-"&amp;F443&amp;"-"&amp;CATALOGO[[#This Row],[Sub cuenta 3]]</f>
        <v>E-14-03-02-00</v>
      </c>
      <c r="B443" s="37" t="s">
        <v>205</v>
      </c>
      <c r="C443" s="37" t="s">
        <v>114</v>
      </c>
      <c r="D443" s="38" t="s">
        <v>90</v>
      </c>
      <c r="E443" s="38" t="s">
        <v>22</v>
      </c>
      <c r="F443" s="38" t="s">
        <v>17</v>
      </c>
      <c r="G443" s="36" t="s">
        <v>11</v>
      </c>
      <c r="H443" s="38" t="s">
        <v>15</v>
      </c>
      <c r="I443" s="157">
        <v>407</v>
      </c>
      <c r="J443" t="s">
        <v>4035</v>
      </c>
    </row>
    <row r="444" spans="1:10" x14ac:dyDescent="0.25">
      <c r="A444" s="37" t="str">
        <f>C444&amp;"-"&amp;D444&amp;"-"&amp;E444&amp;"-"&amp;F444&amp;"-"&amp;CATALOGO[[#This Row],[Sub cuenta 3]]</f>
        <v>E-14-03-02-01</v>
      </c>
      <c r="B444" s="37" t="s">
        <v>394</v>
      </c>
      <c r="C444" s="37" t="s">
        <v>114</v>
      </c>
      <c r="D444" s="38" t="s">
        <v>90</v>
      </c>
      <c r="E444" s="38" t="s">
        <v>22</v>
      </c>
      <c r="F444" s="38" t="s">
        <v>17</v>
      </c>
      <c r="G444" s="38" t="s">
        <v>10</v>
      </c>
      <c r="H444" s="38" t="s">
        <v>15</v>
      </c>
      <c r="I444" s="157">
        <v>407</v>
      </c>
      <c r="J444" t="s">
        <v>4035</v>
      </c>
    </row>
    <row r="445" spans="1:10" x14ac:dyDescent="0.25">
      <c r="A445" s="37" t="str">
        <f>C445&amp;"-"&amp;D445&amp;"-"&amp;E445&amp;"-"&amp;F445&amp;"-"&amp;CATALOGO[[#This Row],[Sub cuenta 3]]</f>
        <v>E-14-03-03-00</v>
      </c>
      <c r="B445" s="37" t="s">
        <v>208</v>
      </c>
      <c r="C445" s="37" t="s">
        <v>114</v>
      </c>
      <c r="D445" s="38" t="s">
        <v>90</v>
      </c>
      <c r="E445" s="38" t="s">
        <v>22</v>
      </c>
      <c r="F445" s="38" t="s">
        <v>22</v>
      </c>
      <c r="G445" s="36" t="s">
        <v>11</v>
      </c>
      <c r="H445" s="38" t="s">
        <v>12</v>
      </c>
      <c r="I445" s="157">
        <v>407</v>
      </c>
      <c r="J445" t="s">
        <v>4035</v>
      </c>
    </row>
    <row r="446" spans="1:10" x14ac:dyDescent="0.25">
      <c r="A446" s="37" t="str">
        <f>C446&amp;"-"&amp;D446&amp;"-"&amp;E446&amp;"-"&amp;F446&amp;"-"&amp;CATALOGO[[#This Row],[Sub cuenta 3]]</f>
        <v>E-14-03-03-01</v>
      </c>
      <c r="B446" s="37" t="s">
        <v>395</v>
      </c>
      <c r="C446" s="37" t="s">
        <v>114</v>
      </c>
      <c r="D446" s="38" t="s">
        <v>90</v>
      </c>
      <c r="E446" s="38" t="s">
        <v>22</v>
      </c>
      <c r="F446" s="38" t="s">
        <v>22</v>
      </c>
      <c r="G446" s="36" t="s">
        <v>10</v>
      </c>
      <c r="H446" s="38" t="s">
        <v>15</v>
      </c>
      <c r="I446" s="157">
        <v>407</v>
      </c>
      <c r="J446" t="s">
        <v>4035</v>
      </c>
    </row>
    <row r="447" spans="1:10" x14ac:dyDescent="0.25">
      <c r="A447" s="37" t="str">
        <f>C447&amp;"-"&amp;D447&amp;"-"&amp;E447&amp;"-"&amp;F447&amp;"-"&amp;CATALOGO[[#This Row],[Sub cuenta 3]]</f>
        <v>E-14-03-03-02</v>
      </c>
      <c r="B447" s="37" t="s">
        <v>396</v>
      </c>
      <c r="C447" s="37" t="s">
        <v>114</v>
      </c>
      <c r="D447" s="38" t="s">
        <v>90</v>
      </c>
      <c r="E447" s="38" t="s">
        <v>22</v>
      </c>
      <c r="F447" s="38" t="s">
        <v>22</v>
      </c>
      <c r="G447" s="36" t="s">
        <v>17</v>
      </c>
      <c r="H447" s="38" t="s">
        <v>15</v>
      </c>
      <c r="I447" s="157">
        <v>407</v>
      </c>
      <c r="J447" t="s">
        <v>4035</v>
      </c>
    </row>
    <row r="448" spans="1:10" x14ac:dyDescent="0.25">
      <c r="A448" s="37" t="str">
        <f>C448&amp;"-"&amp;D448&amp;"-"&amp;E448&amp;"-"&amp;F448&amp;"-"&amp;CATALOGO[[#This Row],[Sub cuenta 3]]</f>
        <v>E-14-03-03-03</v>
      </c>
      <c r="B448" s="37" t="s">
        <v>397</v>
      </c>
      <c r="C448" s="37" t="s">
        <v>114</v>
      </c>
      <c r="D448" s="38" t="s">
        <v>90</v>
      </c>
      <c r="E448" s="38" t="s">
        <v>22</v>
      </c>
      <c r="F448" s="38" t="s">
        <v>22</v>
      </c>
      <c r="G448" s="36" t="s">
        <v>22</v>
      </c>
      <c r="H448" s="38" t="s">
        <v>15</v>
      </c>
      <c r="I448" s="157">
        <v>407</v>
      </c>
      <c r="J448" t="s">
        <v>4035</v>
      </c>
    </row>
    <row r="449" spans="1:10" x14ac:dyDescent="0.25">
      <c r="A449" s="37" t="str">
        <f>C449&amp;"-"&amp;D449&amp;"-"&amp;E449&amp;"-"&amp;F449&amp;"-"&amp;CATALOGO[[#This Row],[Sub cuenta 3]]</f>
        <v>E-14-03-03-04</v>
      </c>
      <c r="B449" s="37" t="s">
        <v>398</v>
      </c>
      <c r="C449" s="37" t="s">
        <v>114</v>
      </c>
      <c r="D449" s="38" t="s">
        <v>90</v>
      </c>
      <c r="E449" s="38" t="s">
        <v>22</v>
      </c>
      <c r="F449" s="38" t="s">
        <v>22</v>
      </c>
      <c r="G449" s="36" t="s">
        <v>26</v>
      </c>
      <c r="H449" s="38" t="s">
        <v>15</v>
      </c>
      <c r="I449" s="157">
        <v>407</v>
      </c>
      <c r="J449" t="s">
        <v>4035</v>
      </c>
    </row>
    <row r="450" spans="1:10" x14ac:dyDescent="0.25">
      <c r="A450" s="37" t="str">
        <f>C450&amp;"-"&amp;D450&amp;"-"&amp;E450&amp;"-"&amp;F450&amp;"-"&amp;CATALOGO[[#This Row],[Sub cuenta 3]]</f>
        <v>E-14-03-03-05</v>
      </c>
      <c r="B450" s="37" t="s">
        <v>399</v>
      </c>
      <c r="C450" s="37" t="s">
        <v>114</v>
      </c>
      <c r="D450" s="38" t="s">
        <v>90</v>
      </c>
      <c r="E450" s="38" t="s">
        <v>22</v>
      </c>
      <c r="F450" s="38" t="s">
        <v>22</v>
      </c>
      <c r="G450" s="36" t="s">
        <v>62</v>
      </c>
      <c r="H450" s="38" t="s">
        <v>15</v>
      </c>
      <c r="I450" s="157">
        <v>407</v>
      </c>
      <c r="J450" t="s">
        <v>4035</v>
      </c>
    </row>
    <row r="451" spans="1:10" x14ac:dyDescent="0.25">
      <c r="A451" s="37" t="str">
        <f>C451&amp;"-"&amp;D451&amp;"-"&amp;E451&amp;"-"&amp;F451&amp;"-"&amp;CATALOGO[[#This Row],[Sub cuenta 3]]</f>
        <v>E-14-03-03-06</v>
      </c>
      <c r="B451" s="37" t="s">
        <v>213</v>
      </c>
      <c r="C451" s="37" t="s">
        <v>114</v>
      </c>
      <c r="D451" s="38" t="s">
        <v>90</v>
      </c>
      <c r="E451" s="38" t="s">
        <v>22</v>
      </c>
      <c r="F451" s="38" t="s">
        <v>22</v>
      </c>
      <c r="G451" s="36" t="s">
        <v>73</v>
      </c>
      <c r="H451" s="38" t="s">
        <v>15</v>
      </c>
      <c r="I451" s="157">
        <v>407</v>
      </c>
      <c r="J451" t="s">
        <v>4035</v>
      </c>
    </row>
    <row r="452" spans="1:10" x14ac:dyDescent="0.25">
      <c r="A452" s="37" t="str">
        <f>C452&amp;"-"&amp;D452&amp;"-"&amp;E452&amp;"-"&amp;F452&amp;"-"&amp;CATALOGO[[#This Row],[Sub cuenta 3]]</f>
        <v>E-14-03-03-07</v>
      </c>
      <c r="B452" s="37" t="s">
        <v>400</v>
      </c>
      <c r="C452" s="37" t="s">
        <v>114</v>
      </c>
      <c r="D452" s="38" t="s">
        <v>90</v>
      </c>
      <c r="E452" s="38" t="s">
        <v>22</v>
      </c>
      <c r="F452" s="38" t="s">
        <v>22</v>
      </c>
      <c r="G452" s="36" t="s">
        <v>75</v>
      </c>
      <c r="H452" s="38" t="s">
        <v>15</v>
      </c>
      <c r="I452" s="157">
        <v>407</v>
      </c>
      <c r="J452" t="s">
        <v>4035</v>
      </c>
    </row>
    <row r="453" spans="1:10" x14ac:dyDescent="0.25">
      <c r="A453" s="37" t="str">
        <f>C453&amp;"-"&amp;D453&amp;"-"&amp;E453&amp;"-"&amp;F453&amp;"-"&amp;CATALOGO[[#This Row],[Sub cuenta 3]]</f>
        <v>E-14-03-03-08</v>
      </c>
      <c r="B453" s="37" t="s">
        <v>401</v>
      </c>
      <c r="C453" s="37" t="s">
        <v>114</v>
      </c>
      <c r="D453" s="38" t="s">
        <v>90</v>
      </c>
      <c r="E453" s="38" t="s">
        <v>22</v>
      </c>
      <c r="F453" s="38" t="s">
        <v>22</v>
      </c>
      <c r="G453" s="36" t="s">
        <v>77</v>
      </c>
      <c r="H453" s="38" t="s">
        <v>15</v>
      </c>
      <c r="I453" s="157">
        <v>407</v>
      </c>
      <c r="J453" t="s">
        <v>4035</v>
      </c>
    </row>
    <row r="454" spans="1:10" x14ac:dyDescent="0.25">
      <c r="A454" s="37" t="str">
        <f>C454&amp;"-"&amp;D454&amp;"-"&amp;E454&amp;"-"&amp;F454&amp;"-"&amp;CATALOGO[[#This Row],[Sub cuenta 3]]</f>
        <v>E-14-03-03-09</v>
      </c>
      <c r="B454" s="37" t="s">
        <v>402</v>
      </c>
      <c r="C454" s="37" t="s">
        <v>114</v>
      </c>
      <c r="D454" s="38" t="s">
        <v>90</v>
      </c>
      <c r="E454" s="38" t="s">
        <v>22</v>
      </c>
      <c r="F454" s="38" t="s">
        <v>22</v>
      </c>
      <c r="G454" s="36" t="s">
        <v>79</v>
      </c>
      <c r="H454" s="38" t="s">
        <v>15</v>
      </c>
      <c r="I454" s="157">
        <v>407</v>
      </c>
      <c r="J454" t="s">
        <v>4035</v>
      </c>
    </row>
    <row r="455" spans="1:10" x14ac:dyDescent="0.25">
      <c r="A455" s="37" t="str">
        <f>C455&amp;"-"&amp;D455&amp;"-"&amp;E455&amp;"-"&amp;F455&amp;"-"&amp;CATALOGO[[#This Row],[Sub cuenta 3]]</f>
        <v>E-14-03-03-10</v>
      </c>
      <c r="B455" s="37" t="s">
        <v>403</v>
      </c>
      <c r="C455" s="37" t="s">
        <v>114</v>
      </c>
      <c r="D455" s="38" t="s">
        <v>90</v>
      </c>
      <c r="E455" s="38" t="s">
        <v>22</v>
      </c>
      <c r="F455" s="38" t="s">
        <v>22</v>
      </c>
      <c r="G455" s="36" t="s">
        <v>80</v>
      </c>
      <c r="H455" s="38" t="s">
        <v>15</v>
      </c>
      <c r="I455" s="157">
        <v>407</v>
      </c>
      <c r="J455" t="s">
        <v>4035</v>
      </c>
    </row>
    <row r="456" spans="1:10" x14ac:dyDescent="0.25">
      <c r="A456" s="37" t="str">
        <f>C456&amp;"-"&amp;D456&amp;"-"&amp;E456&amp;"-"&amp;F456&amp;"-"&amp;CATALOGO[[#This Row],[Sub cuenta 3]]</f>
        <v>E-14-03-03-11</v>
      </c>
      <c r="B456" s="37" t="s">
        <v>404</v>
      </c>
      <c r="C456" s="37" t="s">
        <v>114</v>
      </c>
      <c r="D456" s="38" t="s">
        <v>90</v>
      </c>
      <c r="E456" s="38" t="s">
        <v>22</v>
      </c>
      <c r="F456" s="38" t="s">
        <v>22</v>
      </c>
      <c r="G456" s="36" t="s">
        <v>82</v>
      </c>
      <c r="H456" s="38" t="s">
        <v>15</v>
      </c>
      <c r="I456" s="157">
        <v>407</v>
      </c>
      <c r="J456" t="s">
        <v>4035</v>
      </c>
    </row>
    <row r="457" spans="1:10" x14ac:dyDescent="0.25">
      <c r="A457" s="37" t="str">
        <f>C457&amp;"-"&amp;D457&amp;"-"&amp;E457&amp;"-"&amp;F457&amp;"-"&amp;CATALOGO[[#This Row],[Sub cuenta 3]]</f>
        <v>E-14-03-03-12</v>
      </c>
      <c r="B457" s="37" t="s">
        <v>405</v>
      </c>
      <c r="C457" s="37" t="s">
        <v>114</v>
      </c>
      <c r="D457" s="38" t="s">
        <v>90</v>
      </c>
      <c r="E457" s="38" t="s">
        <v>22</v>
      </c>
      <c r="F457" s="38" t="s">
        <v>22</v>
      </c>
      <c r="G457" s="36" t="s">
        <v>87</v>
      </c>
      <c r="H457" s="38" t="s">
        <v>15</v>
      </c>
      <c r="I457" s="157">
        <v>407</v>
      </c>
      <c r="J457" t="s">
        <v>4035</v>
      </c>
    </row>
    <row r="458" spans="1:10" x14ac:dyDescent="0.25">
      <c r="A458" s="37" t="str">
        <f>C458&amp;"-"&amp;D458&amp;"-"&amp;E458&amp;"-"&amp;F458&amp;"-"&amp;CATALOGO[[#This Row],[Sub cuenta 3]]</f>
        <v>E-14-03-03-13</v>
      </c>
      <c r="B458" s="37" t="s">
        <v>406</v>
      </c>
      <c r="C458" s="37" t="s">
        <v>114</v>
      </c>
      <c r="D458" s="38" t="s">
        <v>90</v>
      </c>
      <c r="E458" s="38" t="s">
        <v>22</v>
      </c>
      <c r="F458" s="38" t="s">
        <v>22</v>
      </c>
      <c r="G458" s="36" t="s">
        <v>89</v>
      </c>
      <c r="H458" s="38" t="s">
        <v>15</v>
      </c>
      <c r="I458" s="157">
        <v>407</v>
      </c>
      <c r="J458" t="s">
        <v>4035</v>
      </c>
    </row>
    <row r="459" spans="1:10" x14ac:dyDescent="0.25">
      <c r="A459" s="37" t="str">
        <f>C459&amp;"-"&amp;D459&amp;"-"&amp;E459&amp;"-"&amp;F459&amp;"-"&amp;CATALOGO[[#This Row],[Sub cuenta 3]]</f>
        <v>E-14-03-04-14</v>
      </c>
      <c r="B459" s="37" t="s">
        <v>214</v>
      </c>
      <c r="C459" s="37" t="s">
        <v>114</v>
      </c>
      <c r="D459" s="38" t="s">
        <v>90</v>
      </c>
      <c r="E459" s="38" t="s">
        <v>22</v>
      </c>
      <c r="F459" s="38" t="s">
        <v>26</v>
      </c>
      <c r="G459" s="36" t="s">
        <v>90</v>
      </c>
      <c r="H459" s="38" t="s">
        <v>15</v>
      </c>
      <c r="I459" s="157">
        <v>407</v>
      </c>
      <c r="J459" t="s">
        <v>4035</v>
      </c>
    </row>
    <row r="460" spans="1:10" x14ac:dyDescent="0.25">
      <c r="A460" s="37" t="str">
        <f>C460&amp;"-"&amp;D460&amp;"-"&amp;E460&amp;"-"&amp;F460&amp;"-"&amp;CATALOGO[[#This Row],[Sub cuenta 3]]</f>
        <v>E-14-04-00-00</v>
      </c>
      <c r="B460" s="37" t="s">
        <v>407</v>
      </c>
      <c r="C460" s="37" t="s">
        <v>114</v>
      </c>
      <c r="D460" s="38" t="s">
        <v>90</v>
      </c>
      <c r="E460" s="38" t="s">
        <v>26</v>
      </c>
      <c r="F460" s="38" t="s">
        <v>11</v>
      </c>
      <c r="G460" s="36" t="s">
        <v>11</v>
      </c>
      <c r="H460" s="38" t="s">
        <v>12</v>
      </c>
      <c r="I460" s="157">
        <v>407</v>
      </c>
      <c r="J460" t="s">
        <v>4035</v>
      </c>
    </row>
    <row r="461" spans="1:10" x14ac:dyDescent="0.25">
      <c r="A461" s="37" t="str">
        <f>C461&amp;"-"&amp;D461&amp;"-"&amp;E461&amp;"-"&amp;F461&amp;"-"&amp;CATALOGO[[#This Row],[Sub cuenta 3]]</f>
        <v>E-14-04-01-00</v>
      </c>
      <c r="B461" s="37" t="s">
        <v>408</v>
      </c>
      <c r="C461" s="37" t="s">
        <v>114</v>
      </c>
      <c r="D461" s="38" t="s">
        <v>90</v>
      </c>
      <c r="E461" s="38" t="s">
        <v>26</v>
      </c>
      <c r="F461" s="38" t="s">
        <v>10</v>
      </c>
      <c r="G461" s="36" t="s">
        <v>11</v>
      </c>
      <c r="H461" s="38" t="s">
        <v>12</v>
      </c>
      <c r="I461" s="157">
        <v>407</v>
      </c>
      <c r="J461" t="s">
        <v>4035</v>
      </c>
    </row>
    <row r="462" spans="1:10" x14ac:dyDescent="0.25">
      <c r="A462" s="37" t="str">
        <f>C462&amp;"-"&amp;D462&amp;"-"&amp;E462&amp;"-"&amp;F462&amp;"-"&amp;CATALOGO[[#This Row],[Sub cuenta 3]]</f>
        <v>E-14-04-01-01</v>
      </c>
      <c r="B462" s="37" t="s">
        <v>409</v>
      </c>
      <c r="C462" s="37" t="s">
        <v>114</v>
      </c>
      <c r="D462" s="38" t="s">
        <v>90</v>
      </c>
      <c r="E462" s="38" t="s">
        <v>26</v>
      </c>
      <c r="F462" s="38" t="s">
        <v>10</v>
      </c>
      <c r="G462" s="36" t="s">
        <v>10</v>
      </c>
      <c r="H462" s="38" t="s">
        <v>15</v>
      </c>
      <c r="I462" s="157">
        <v>407</v>
      </c>
      <c r="J462" t="s">
        <v>4035</v>
      </c>
    </row>
    <row r="463" spans="1:10" x14ac:dyDescent="0.25">
      <c r="A463" s="37" t="str">
        <f>C463&amp;"-"&amp;D463&amp;"-"&amp;E463&amp;"-"&amp;F463&amp;"-"&amp;CATALOGO[[#This Row],[Sub cuenta 3]]</f>
        <v>E-14-04-01-02</v>
      </c>
      <c r="B463" s="37" t="s">
        <v>410</v>
      </c>
      <c r="C463" s="37" t="s">
        <v>114</v>
      </c>
      <c r="D463" s="38" t="s">
        <v>90</v>
      </c>
      <c r="E463" s="38" t="s">
        <v>26</v>
      </c>
      <c r="F463" s="38" t="s">
        <v>10</v>
      </c>
      <c r="G463" s="36" t="s">
        <v>17</v>
      </c>
      <c r="H463" s="38" t="s">
        <v>15</v>
      </c>
      <c r="I463" s="157">
        <v>407</v>
      </c>
      <c r="J463" t="s">
        <v>4035</v>
      </c>
    </row>
    <row r="464" spans="1:10" x14ac:dyDescent="0.25">
      <c r="A464" s="37" t="str">
        <f>C464&amp;"-"&amp;D464&amp;"-"&amp;E464&amp;"-"&amp;F464&amp;"-"&amp;CATALOGO[[#This Row],[Sub cuenta 3]]</f>
        <v>E-14-04-01-03</v>
      </c>
      <c r="B464" s="37" t="s">
        <v>411</v>
      </c>
      <c r="C464" s="37" t="s">
        <v>114</v>
      </c>
      <c r="D464" s="38" t="s">
        <v>90</v>
      </c>
      <c r="E464" s="38" t="s">
        <v>26</v>
      </c>
      <c r="F464" s="38" t="s">
        <v>10</v>
      </c>
      <c r="G464" s="36" t="s">
        <v>22</v>
      </c>
      <c r="H464" s="38" t="s">
        <v>15</v>
      </c>
      <c r="I464" s="157">
        <v>407</v>
      </c>
      <c r="J464" t="s">
        <v>4035</v>
      </c>
    </row>
    <row r="465" spans="1:10" x14ac:dyDescent="0.25">
      <c r="A465" s="37" t="str">
        <f>C465&amp;"-"&amp;D465&amp;"-"&amp;E465&amp;"-"&amp;F465&amp;"-"&amp;CATALOGO[[#This Row],[Sub cuenta 3]]</f>
        <v>E-14-04-01-04</v>
      </c>
      <c r="B465" s="37" t="s">
        <v>412</v>
      </c>
      <c r="C465" s="37" t="s">
        <v>114</v>
      </c>
      <c r="D465" s="38" t="s">
        <v>90</v>
      </c>
      <c r="E465" s="38" t="s">
        <v>26</v>
      </c>
      <c r="F465" s="38" t="s">
        <v>10</v>
      </c>
      <c r="G465" s="36" t="s">
        <v>26</v>
      </c>
      <c r="H465" s="38" t="s">
        <v>15</v>
      </c>
      <c r="I465" s="157">
        <v>407</v>
      </c>
      <c r="J465" t="s">
        <v>4035</v>
      </c>
    </row>
    <row r="466" spans="1:10" x14ac:dyDescent="0.25">
      <c r="A466" s="37" t="str">
        <f>C466&amp;"-"&amp;D466&amp;"-"&amp;E466&amp;"-"&amp;F466&amp;"-"&amp;CATALOGO[[#This Row],[Sub cuenta 3]]</f>
        <v>E-14-04-02-00</v>
      </c>
      <c r="B466" s="37" t="s">
        <v>413</v>
      </c>
      <c r="C466" s="37" t="s">
        <v>114</v>
      </c>
      <c r="D466" s="38" t="s">
        <v>90</v>
      </c>
      <c r="E466" s="38" t="s">
        <v>26</v>
      </c>
      <c r="F466" s="38" t="s">
        <v>17</v>
      </c>
      <c r="G466" s="36" t="s">
        <v>11</v>
      </c>
      <c r="H466" s="38" t="s">
        <v>12</v>
      </c>
      <c r="I466" s="157">
        <v>407</v>
      </c>
      <c r="J466" t="s">
        <v>4035</v>
      </c>
    </row>
    <row r="467" spans="1:10" x14ac:dyDescent="0.25">
      <c r="A467" s="37" t="str">
        <f>C467&amp;"-"&amp;D467&amp;"-"&amp;E467&amp;"-"&amp;F467&amp;"-"&amp;CATALOGO[[#This Row],[Sub cuenta 3]]</f>
        <v>E-14-04-02-01</v>
      </c>
      <c r="B467" s="37" t="s">
        <v>414</v>
      </c>
      <c r="C467" s="37" t="s">
        <v>114</v>
      </c>
      <c r="D467" s="38" t="s">
        <v>90</v>
      </c>
      <c r="E467" s="38" t="s">
        <v>26</v>
      </c>
      <c r="F467" s="38" t="s">
        <v>17</v>
      </c>
      <c r="G467" s="36" t="s">
        <v>10</v>
      </c>
      <c r="H467" s="38" t="s">
        <v>15</v>
      </c>
      <c r="I467" s="157">
        <v>407</v>
      </c>
      <c r="J467" t="s">
        <v>4035</v>
      </c>
    </row>
    <row r="468" spans="1:10" x14ac:dyDescent="0.25">
      <c r="A468" s="37" t="str">
        <f>C468&amp;"-"&amp;D468&amp;"-"&amp;E468&amp;"-"&amp;F468&amp;"-"&amp;CATALOGO[[#This Row],[Sub cuenta 3]]</f>
        <v>E-14-04-02-02</v>
      </c>
      <c r="B468" s="37" t="s">
        <v>415</v>
      </c>
      <c r="C468" s="37" t="s">
        <v>114</v>
      </c>
      <c r="D468" s="38" t="s">
        <v>90</v>
      </c>
      <c r="E468" s="38" t="s">
        <v>26</v>
      </c>
      <c r="F468" s="38" t="s">
        <v>17</v>
      </c>
      <c r="G468" s="36" t="s">
        <v>17</v>
      </c>
      <c r="H468" s="38" t="s">
        <v>15</v>
      </c>
      <c r="I468" s="157">
        <v>407</v>
      </c>
      <c r="J468" t="s">
        <v>4035</v>
      </c>
    </row>
    <row r="469" spans="1:10" x14ac:dyDescent="0.25">
      <c r="A469" s="37" t="str">
        <f>C469&amp;"-"&amp;D469&amp;"-"&amp;E469&amp;"-"&amp;F469&amp;"-"&amp;CATALOGO[[#This Row],[Sub cuenta 3]]</f>
        <v>E-14-04-02-03</v>
      </c>
      <c r="B469" s="37" t="s">
        <v>416</v>
      </c>
      <c r="C469" s="37" t="s">
        <v>114</v>
      </c>
      <c r="D469" s="38" t="s">
        <v>90</v>
      </c>
      <c r="E469" s="38" t="s">
        <v>26</v>
      </c>
      <c r="F469" s="38" t="s">
        <v>17</v>
      </c>
      <c r="G469" s="36" t="s">
        <v>22</v>
      </c>
      <c r="H469" s="38" t="s">
        <v>15</v>
      </c>
      <c r="I469" s="157">
        <v>407</v>
      </c>
      <c r="J469" t="s">
        <v>4035</v>
      </c>
    </row>
    <row r="470" spans="1:10" x14ac:dyDescent="0.25">
      <c r="A470" s="37" t="str">
        <f>C470&amp;"-"&amp;D470&amp;"-"&amp;E470&amp;"-"&amp;F470&amp;"-"&amp;CATALOGO[[#This Row],[Sub cuenta 3]]</f>
        <v>E-14-04-02-04</v>
      </c>
      <c r="B470" s="37" t="s">
        <v>417</v>
      </c>
      <c r="C470" s="37" t="s">
        <v>114</v>
      </c>
      <c r="D470" s="38" t="s">
        <v>90</v>
      </c>
      <c r="E470" s="38" t="s">
        <v>26</v>
      </c>
      <c r="F470" s="38" t="s">
        <v>17</v>
      </c>
      <c r="G470" s="36" t="s">
        <v>26</v>
      </c>
      <c r="H470" s="38" t="s">
        <v>15</v>
      </c>
      <c r="I470" s="157">
        <v>407</v>
      </c>
      <c r="J470" t="s">
        <v>4035</v>
      </c>
    </row>
    <row r="471" spans="1:10" x14ac:dyDescent="0.25">
      <c r="A471" s="37" t="str">
        <f>C471&amp;"-"&amp;D471&amp;"-"&amp;E471&amp;"-"&amp;F471&amp;"-"&amp;CATALOGO[[#This Row],[Sub cuenta 3]]</f>
        <v>E-14-05-00-00</v>
      </c>
      <c r="B471" s="37" t="s">
        <v>418</v>
      </c>
      <c r="C471" s="37" t="s">
        <v>114</v>
      </c>
      <c r="D471" s="38" t="s">
        <v>90</v>
      </c>
      <c r="E471" s="38" t="s">
        <v>62</v>
      </c>
      <c r="F471" s="38" t="s">
        <v>11</v>
      </c>
      <c r="G471" s="36" t="s">
        <v>11</v>
      </c>
      <c r="H471" s="38" t="s">
        <v>12</v>
      </c>
      <c r="I471" s="157">
        <v>407</v>
      </c>
      <c r="J471" t="s">
        <v>4035</v>
      </c>
    </row>
    <row r="472" spans="1:10" x14ac:dyDescent="0.25">
      <c r="A472" s="37" t="str">
        <f>C472&amp;"-"&amp;D472&amp;"-"&amp;E472&amp;"-"&amp;F472&amp;"-"&amp;CATALOGO[[#This Row],[Sub cuenta 3]]</f>
        <v>E-14-05-01-00</v>
      </c>
      <c r="B472" s="37" t="s">
        <v>419</v>
      </c>
      <c r="C472" s="37" t="s">
        <v>114</v>
      </c>
      <c r="D472" s="38" t="s">
        <v>90</v>
      </c>
      <c r="E472" s="38" t="s">
        <v>62</v>
      </c>
      <c r="F472" s="38" t="s">
        <v>10</v>
      </c>
      <c r="G472" s="36" t="s">
        <v>11</v>
      </c>
      <c r="H472" s="38" t="s">
        <v>15</v>
      </c>
      <c r="I472" s="157">
        <v>407</v>
      </c>
      <c r="J472" t="s">
        <v>4035</v>
      </c>
    </row>
    <row r="473" spans="1:10" x14ac:dyDescent="0.25">
      <c r="A473" s="37" t="str">
        <f>C473&amp;"-"&amp;D473&amp;"-"&amp;E473&amp;"-"&amp;F473&amp;"-"&amp;CATALOGO[[#This Row],[Sub cuenta 3]]</f>
        <v>E-14-05-02-00</v>
      </c>
      <c r="B473" s="37" t="s">
        <v>420</v>
      </c>
      <c r="C473" s="37" t="s">
        <v>114</v>
      </c>
      <c r="D473" s="38" t="s">
        <v>90</v>
      </c>
      <c r="E473" s="38" t="s">
        <v>62</v>
      </c>
      <c r="F473" s="38" t="s">
        <v>17</v>
      </c>
      <c r="G473" s="36" t="s">
        <v>11</v>
      </c>
      <c r="H473" s="38" t="s">
        <v>15</v>
      </c>
      <c r="I473" s="157">
        <v>407</v>
      </c>
      <c r="J473" t="s">
        <v>4035</v>
      </c>
    </row>
    <row r="474" spans="1:10" x14ac:dyDescent="0.25">
      <c r="A474" s="37" t="str">
        <f>C474&amp;"-"&amp;D474&amp;"-"&amp;E474&amp;"-"&amp;F474&amp;"-"&amp;CATALOGO[[#This Row],[Sub cuenta 3]]</f>
        <v>E-14-05-03-00</v>
      </c>
      <c r="B474" s="37" t="s">
        <v>421</v>
      </c>
      <c r="C474" s="37" t="s">
        <v>114</v>
      </c>
      <c r="D474" s="38" t="s">
        <v>90</v>
      </c>
      <c r="E474" s="38" t="s">
        <v>62</v>
      </c>
      <c r="F474" s="38" t="s">
        <v>22</v>
      </c>
      <c r="G474" s="36" t="s">
        <v>11</v>
      </c>
      <c r="H474" s="38" t="s">
        <v>15</v>
      </c>
      <c r="I474" s="157">
        <v>407</v>
      </c>
      <c r="J474" t="s">
        <v>4035</v>
      </c>
    </row>
    <row r="475" spans="1:10" x14ac:dyDescent="0.25">
      <c r="A475" s="37" t="str">
        <f>C475&amp;"-"&amp;D475&amp;"-"&amp;E475&amp;"-"&amp;F475&amp;"-"&amp;CATALOGO[[#This Row],[Sub cuenta 3]]</f>
        <v>E-14-05-04-00</v>
      </c>
      <c r="B475" s="37" t="s">
        <v>422</v>
      </c>
      <c r="C475" s="37" t="s">
        <v>114</v>
      </c>
      <c r="D475" s="38" t="s">
        <v>90</v>
      </c>
      <c r="E475" s="38" t="s">
        <v>62</v>
      </c>
      <c r="F475" s="38" t="s">
        <v>26</v>
      </c>
      <c r="G475" s="36" t="s">
        <v>11</v>
      </c>
      <c r="H475" s="38" t="s">
        <v>15</v>
      </c>
      <c r="I475" s="157">
        <v>407</v>
      </c>
      <c r="J475" t="s">
        <v>4035</v>
      </c>
    </row>
    <row r="476" spans="1:10" x14ac:dyDescent="0.25">
      <c r="A476" s="37" t="str">
        <f>C476&amp;"-"&amp;D476&amp;"-"&amp;E476&amp;"-"&amp;F476&amp;"-"&amp;CATALOGO[[#This Row],[Sub cuenta 3]]</f>
        <v>E-14-06-00-00</v>
      </c>
      <c r="B476" s="37" t="s">
        <v>423</v>
      </c>
      <c r="C476" s="37" t="s">
        <v>114</v>
      </c>
      <c r="D476" s="38" t="s">
        <v>90</v>
      </c>
      <c r="E476" s="38" t="s">
        <v>73</v>
      </c>
      <c r="F476" s="38" t="s">
        <v>11</v>
      </c>
      <c r="G476" s="36" t="s">
        <v>11</v>
      </c>
      <c r="H476" s="38" t="s">
        <v>12</v>
      </c>
      <c r="I476" s="157">
        <v>407</v>
      </c>
      <c r="J476" t="s">
        <v>4035</v>
      </c>
    </row>
    <row r="477" spans="1:10" x14ac:dyDescent="0.25">
      <c r="A477" s="37" t="str">
        <f>C477&amp;"-"&amp;D477&amp;"-"&amp;E477&amp;"-"&amp;F477&amp;"-"&amp;CATALOGO[[#This Row],[Sub cuenta 3]]</f>
        <v>E-14-06-01-00</v>
      </c>
      <c r="B477" s="37" t="s">
        <v>424</v>
      </c>
      <c r="C477" s="37" t="s">
        <v>114</v>
      </c>
      <c r="D477" s="38" t="s">
        <v>90</v>
      </c>
      <c r="E477" s="38" t="s">
        <v>73</v>
      </c>
      <c r="F477" s="38" t="s">
        <v>10</v>
      </c>
      <c r="G477" s="36" t="s">
        <v>11</v>
      </c>
      <c r="H477" s="38" t="s">
        <v>15</v>
      </c>
      <c r="I477" s="157">
        <v>407</v>
      </c>
      <c r="J477" t="s">
        <v>4035</v>
      </c>
    </row>
    <row r="478" spans="1:10" x14ac:dyDescent="0.25">
      <c r="A478" s="37" t="str">
        <f>C478&amp;"-"&amp;D478&amp;"-"&amp;E478&amp;"-"&amp;F478&amp;"-"&amp;CATALOGO[[#This Row],[Sub cuenta 3]]</f>
        <v>E-14-06-02-00</v>
      </c>
      <c r="B478" s="37" t="s">
        <v>425</v>
      </c>
      <c r="C478" s="37" t="s">
        <v>114</v>
      </c>
      <c r="D478" s="38" t="s">
        <v>90</v>
      </c>
      <c r="E478" s="38" t="s">
        <v>73</v>
      </c>
      <c r="F478" s="38" t="s">
        <v>17</v>
      </c>
      <c r="G478" s="36" t="s">
        <v>11</v>
      </c>
      <c r="H478" s="38" t="s">
        <v>15</v>
      </c>
      <c r="I478" s="157">
        <v>407</v>
      </c>
      <c r="J478" t="s">
        <v>4035</v>
      </c>
    </row>
    <row r="479" spans="1:10" x14ac:dyDescent="0.25">
      <c r="A479" s="37" t="str">
        <f>C479&amp;"-"&amp;D479&amp;"-"&amp;E479&amp;"-"&amp;F479&amp;"-"&amp;CATALOGO[[#This Row],[Sub cuenta 3]]</f>
        <v>E-14-06-03-00</v>
      </c>
      <c r="B479" s="37" t="s">
        <v>426</v>
      </c>
      <c r="C479" s="37" t="s">
        <v>114</v>
      </c>
      <c r="D479" s="38" t="s">
        <v>90</v>
      </c>
      <c r="E479" s="38" t="s">
        <v>73</v>
      </c>
      <c r="F479" s="38" t="s">
        <v>22</v>
      </c>
      <c r="G479" s="36" t="s">
        <v>11</v>
      </c>
      <c r="H479" s="38" t="s">
        <v>15</v>
      </c>
      <c r="I479" s="157">
        <v>407</v>
      </c>
      <c r="J479" t="s">
        <v>4035</v>
      </c>
    </row>
    <row r="480" spans="1:10" x14ac:dyDescent="0.25">
      <c r="A480" s="37" t="str">
        <f>C480&amp;"-"&amp;D480&amp;"-"&amp;E480&amp;"-"&amp;F480&amp;"-"&amp;CATALOGO[[#This Row],[Sub cuenta 3]]</f>
        <v>E-14-06-04-00</v>
      </c>
      <c r="B480" s="37" t="s">
        <v>427</v>
      </c>
      <c r="C480" s="37" t="s">
        <v>114</v>
      </c>
      <c r="D480" s="38" t="s">
        <v>90</v>
      </c>
      <c r="E480" s="38" t="s">
        <v>73</v>
      </c>
      <c r="F480" s="38" t="s">
        <v>26</v>
      </c>
      <c r="G480" s="36" t="s">
        <v>11</v>
      </c>
      <c r="H480" s="38" t="s">
        <v>15</v>
      </c>
      <c r="I480" s="157">
        <v>407</v>
      </c>
      <c r="J480" t="s">
        <v>4035</v>
      </c>
    </row>
    <row r="481" spans="1:10" x14ac:dyDescent="0.25">
      <c r="A481" s="37" t="str">
        <f>C481&amp;"-"&amp;D481&amp;"-"&amp;E481&amp;"-"&amp;F481&amp;"-"&amp;CATALOGO[[#This Row],[Sub cuenta 3]]</f>
        <v>E-14-06-05-00</v>
      </c>
      <c r="B481" s="37" t="s">
        <v>428</v>
      </c>
      <c r="C481" s="37" t="s">
        <v>114</v>
      </c>
      <c r="D481" s="38" t="s">
        <v>90</v>
      </c>
      <c r="E481" s="38" t="s">
        <v>73</v>
      </c>
      <c r="F481" s="38" t="s">
        <v>62</v>
      </c>
      <c r="G481" s="36" t="s">
        <v>11</v>
      </c>
      <c r="H481" s="38" t="s">
        <v>15</v>
      </c>
      <c r="I481" s="157">
        <v>407</v>
      </c>
      <c r="J481" t="s">
        <v>4035</v>
      </c>
    </row>
    <row r="482" spans="1:10" x14ac:dyDescent="0.25">
      <c r="A482" s="37" t="str">
        <f>C482&amp;"-"&amp;D482&amp;"-"&amp;E482&amp;"-"&amp;F482&amp;"-"&amp;CATALOGO[[#This Row],[Sub cuenta 3]]</f>
        <v>E-14-07-00-00</v>
      </c>
      <c r="B482" s="37" t="s">
        <v>429</v>
      </c>
      <c r="C482" s="37" t="s">
        <v>114</v>
      </c>
      <c r="D482" s="38" t="s">
        <v>90</v>
      </c>
      <c r="E482" s="38" t="s">
        <v>75</v>
      </c>
      <c r="F482" s="38" t="s">
        <v>11</v>
      </c>
      <c r="G482" s="38" t="s">
        <v>11</v>
      </c>
      <c r="H482" s="38" t="s">
        <v>12</v>
      </c>
      <c r="I482" s="157">
        <v>407</v>
      </c>
      <c r="J482" t="s">
        <v>4035</v>
      </c>
    </row>
    <row r="483" spans="1:10" x14ac:dyDescent="0.25">
      <c r="A483" s="37" t="str">
        <f>C483&amp;"-"&amp;D483&amp;"-"&amp;E483&amp;"-"&amp;F483&amp;"-"&amp;CATALOGO[[#This Row],[Sub cuenta 3]]</f>
        <v>E-14-07-01-00</v>
      </c>
      <c r="B483" s="37" t="s">
        <v>430</v>
      </c>
      <c r="C483" s="37" t="s">
        <v>114</v>
      </c>
      <c r="D483" s="38" t="s">
        <v>90</v>
      </c>
      <c r="E483" s="38" t="s">
        <v>75</v>
      </c>
      <c r="F483" s="38" t="s">
        <v>10</v>
      </c>
      <c r="G483" s="38" t="s">
        <v>11</v>
      </c>
      <c r="H483" s="38" t="s">
        <v>12</v>
      </c>
      <c r="I483" s="157">
        <v>407</v>
      </c>
      <c r="J483" t="s">
        <v>4035</v>
      </c>
    </row>
    <row r="484" spans="1:10" x14ac:dyDescent="0.25">
      <c r="A484" s="37" t="str">
        <f>C484&amp;"-"&amp;D484&amp;"-"&amp;E484&amp;"-"&amp;F484&amp;"-"&amp;CATALOGO[[#This Row],[Sub cuenta 3]]</f>
        <v>E-14-07-01-01</v>
      </c>
      <c r="B484" s="37" t="s">
        <v>431</v>
      </c>
      <c r="C484" s="37" t="s">
        <v>114</v>
      </c>
      <c r="D484" s="38" t="s">
        <v>90</v>
      </c>
      <c r="E484" s="38" t="s">
        <v>75</v>
      </c>
      <c r="F484" s="38" t="s">
        <v>10</v>
      </c>
      <c r="G484" s="38" t="s">
        <v>10</v>
      </c>
      <c r="H484" s="38" t="s">
        <v>15</v>
      </c>
      <c r="I484" s="157">
        <v>407</v>
      </c>
      <c r="J484" t="s">
        <v>4035</v>
      </c>
    </row>
    <row r="485" spans="1:10" x14ac:dyDescent="0.25">
      <c r="A485" s="37" t="str">
        <f>C485&amp;"-"&amp;D485&amp;"-"&amp;E485&amp;"-"&amp;F485&amp;"-"&amp;CATALOGO[[#This Row],[Sub cuenta 3]]</f>
        <v>E-14-07-02-00</v>
      </c>
      <c r="B485" s="37" t="s">
        <v>432</v>
      </c>
      <c r="C485" s="37" t="s">
        <v>114</v>
      </c>
      <c r="D485" s="38" t="s">
        <v>90</v>
      </c>
      <c r="E485" s="38" t="s">
        <v>75</v>
      </c>
      <c r="F485" s="38" t="s">
        <v>17</v>
      </c>
      <c r="G485" s="38" t="s">
        <v>11</v>
      </c>
      <c r="H485" s="38" t="s">
        <v>12</v>
      </c>
      <c r="I485" s="157">
        <v>407</v>
      </c>
      <c r="J485" t="s">
        <v>4035</v>
      </c>
    </row>
    <row r="486" spans="1:10" x14ac:dyDescent="0.25">
      <c r="A486" s="37" t="str">
        <f>C486&amp;"-"&amp;D486&amp;"-"&amp;E486&amp;"-"&amp;F486&amp;"-"&amp;CATALOGO[[#This Row],[Sub cuenta 3]]</f>
        <v>E-14-07-02-01</v>
      </c>
      <c r="B486" s="37" t="s">
        <v>433</v>
      </c>
      <c r="C486" s="37" t="s">
        <v>114</v>
      </c>
      <c r="D486" s="38" t="s">
        <v>90</v>
      </c>
      <c r="E486" s="38" t="s">
        <v>75</v>
      </c>
      <c r="F486" s="38" t="s">
        <v>17</v>
      </c>
      <c r="G486" s="38" t="s">
        <v>10</v>
      </c>
      <c r="H486" s="38" t="s">
        <v>15</v>
      </c>
      <c r="I486" s="157">
        <v>407</v>
      </c>
      <c r="J486" t="s">
        <v>4035</v>
      </c>
    </row>
    <row r="487" spans="1:10" x14ac:dyDescent="0.25">
      <c r="A487" s="39" t="str">
        <f>C487&amp;"-"&amp;D487&amp;"-"&amp;E487&amp;"-"&amp;F487&amp;"-"&amp;CATALOGO[[#This Row],[Sub cuenta 3]]</f>
        <v>E-15-00-00-00</v>
      </c>
      <c r="B487" s="39" t="s">
        <v>434</v>
      </c>
      <c r="C487" s="37" t="s">
        <v>114</v>
      </c>
      <c r="D487" s="38" t="s">
        <v>435</v>
      </c>
      <c r="E487" s="38" t="s">
        <v>11</v>
      </c>
      <c r="F487" s="38" t="s">
        <v>11</v>
      </c>
      <c r="G487" s="38" t="s">
        <v>11</v>
      </c>
      <c r="H487" s="38" t="s">
        <v>12</v>
      </c>
      <c r="I487" s="157">
        <v>407</v>
      </c>
      <c r="J487" t="s">
        <v>4035</v>
      </c>
    </row>
    <row r="488" spans="1:10" x14ac:dyDescent="0.25">
      <c r="A488" s="37" t="str">
        <f>C488&amp;"-"&amp;D488&amp;"-"&amp;E488&amp;"-"&amp;F488&amp;"-"&amp;CATALOGO[[#This Row],[Sub cuenta 3]]</f>
        <v>E-15-01-00-00</v>
      </c>
      <c r="B488" s="37" t="s">
        <v>436</v>
      </c>
      <c r="C488" s="37" t="s">
        <v>114</v>
      </c>
      <c r="D488" s="38" t="s">
        <v>435</v>
      </c>
      <c r="E488" s="38" t="s">
        <v>10</v>
      </c>
      <c r="F488" s="38" t="s">
        <v>11</v>
      </c>
      <c r="G488" s="38" t="s">
        <v>11</v>
      </c>
      <c r="H488" s="38" t="s">
        <v>15</v>
      </c>
      <c r="I488" s="157">
        <v>407</v>
      </c>
      <c r="J488" t="s">
        <v>4035</v>
      </c>
    </row>
    <row r="489" spans="1:10" x14ac:dyDescent="0.25">
      <c r="A489" s="37" t="str">
        <f>C489&amp;"-"&amp;D489&amp;"-"&amp;E489&amp;"-"&amp;F489&amp;"-"&amp;CATALOGO[[#This Row],[Sub cuenta 3]]</f>
        <v>E-15-02-00-00</v>
      </c>
      <c r="B489" s="37" t="s">
        <v>437</v>
      </c>
      <c r="C489" s="37" t="s">
        <v>114</v>
      </c>
      <c r="D489" s="38" t="s">
        <v>435</v>
      </c>
      <c r="E489" s="38" t="s">
        <v>17</v>
      </c>
      <c r="F489" s="38" t="s">
        <v>11</v>
      </c>
      <c r="G489" s="38" t="s">
        <v>11</v>
      </c>
      <c r="H489" s="38" t="s">
        <v>15</v>
      </c>
      <c r="I489" s="157">
        <v>407</v>
      </c>
      <c r="J489" t="s">
        <v>4035</v>
      </c>
    </row>
    <row r="490" spans="1:10" x14ac:dyDescent="0.25">
      <c r="A490" s="37" t="str">
        <f>C490&amp;"-"&amp;D490&amp;"-"&amp;E490&amp;"-"&amp;F490&amp;"-"&amp;CATALOGO[[#This Row],[Sub cuenta 3]]</f>
        <v>E-15-03-00-00</v>
      </c>
      <c r="B490" s="37" t="s">
        <v>438</v>
      </c>
      <c r="C490" s="37" t="s">
        <v>114</v>
      </c>
      <c r="D490" s="38" t="s">
        <v>435</v>
      </c>
      <c r="E490" s="38" t="s">
        <v>22</v>
      </c>
      <c r="F490" s="38" t="s">
        <v>11</v>
      </c>
      <c r="G490" s="38" t="s">
        <v>11</v>
      </c>
      <c r="H490" s="38" t="s">
        <v>15</v>
      </c>
      <c r="I490" s="157">
        <v>407</v>
      </c>
      <c r="J490" t="s">
        <v>4035</v>
      </c>
    </row>
    <row r="491" spans="1:10" x14ac:dyDescent="0.25">
      <c r="A491" s="37" t="str">
        <f>C491&amp;"-"&amp;D491&amp;"-"&amp;E491&amp;"-"&amp;F491&amp;"-"&amp;CATALOGO[[#This Row],[Sub cuenta 3]]</f>
        <v>E-15-04-00-00</v>
      </c>
      <c r="B491" s="37" t="s">
        <v>439</v>
      </c>
      <c r="C491" s="37" t="s">
        <v>114</v>
      </c>
      <c r="D491" s="38" t="s">
        <v>435</v>
      </c>
      <c r="E491" s="38" t="s">
        <v>26</v>
      </c>
      <c r="F491" s="38" t="s">
        <v>11</v>
      </c>
      <c r="G491" s="38" t="s">
        <v>11</v>
      </c>
      <c r="H491" s="38" t="s">
        <v>15</v>
      </c>
      <c r="I491" s="157">
        <v>407</v>
      </c>
      <c r="J491" t="s">
        <v>4035</v>
      </c>
    </row>
    <row r="492" spans="1:10" x14ac:dyDescent="0.25">
      <c r="A492" s="37" t="str">
        <f>C492&amp;"-"&amp;D492&amp;"-"&amp;E492&amp;"-"&amp;F492&amp;"-"&amp;CATALOGO[[#This Row],[Sub cuenta 3]]</f>
        <v>E-15-05-00-00</v>
      </c>
      <c r="B492" s="37" t="s">
        <v>440</v>
      </c>
      <c r="C492" s="37" t="s">
        <v>114</v>
      </c>
      <c r="D492" s="38" t="s">
        <v>435</v>
      </c>
      <c r="E492" s="38" t="s">
        <v>62</v>
      </c>
      <c r="F492" s="38" t="s">
        <v>11</v>
      </c>
      <c r="G492" s="38" t="s">
        <v>11</v>
      </c>
      <c r="H492" s="38" t="s">
        <v>15</v>
      </c>
      <c r="I492" s="157">
        <v>407</v>
      </c>
      <c r="J492" t="s">
        <v>4035</v>
      </c>
    </row>
    <row r="493" spans="1:10" x14ac:dyDescent="0.25">
      <c r="A493" s="37" t="str">
        <f>C493&amp;"-"&amp;D493&amp;"-"&amp;E493&amp;"-"&amp;F493&amp;"-"&amp;CATALOGO[[#This Row],[Sub cuenta 3]]</f>
        <v>E-15-06-00-00</v>
      </c>
      <c r="B493" s="37" t="s">
        <v>441</v>
      </c>
      <c r="C493" s="37" t="s">
        <v>114</v>
      </c>
      <c r="D493" s="38" t="s">
        <v>435</v>
      </c>
      <c r="E493" s="38" t="s">
        <v>73</v>
      </c>
      <c r="F493" s="38" t="s">
        <v>11</v>
      </c>
      <c r="G493" s="38" t="s">
        <v>11</v>
      </c>
      <c r="H493" s="38" t="s">
        <v>15</v>
      </c>
      <c r="I493" s="157">
        <v>407</v>
      </c>
      <c r="J493" t="s">
        <v>4035</v>
      </c>
    </row>
    <row r="494" spans="1:10" x14ac:dyDescent="0.25">
      <c r="A494" s="37" t="str">
        <f>C494&amp;"-"&amp;D494&amp;"-"&amp;E494&amp;"-"&amp;F494&amp;"-"&amp;CATALOGO[[#This Row],[Sub cuenta 3]]</f>
        <v>E-15-07-00-00</v>
      </c>
      <c r="B494" s="37" t="s">
        <v>442</v>
      </c>
      <c r="C494" s="37" t="s">
        <v>114</v>
      </c>
      <c r="D494" s="38" t="s">
        <v>435</v>
      </c>
      <c r="E494" s="38" t="s">
        <v>75</v>
      </c>
      <c r="F494" s="38" t="s">
        <v>11</v>
      </c>
      <c r="G494" s="38" t="s">
        <v>11</v>
      </c>
      <c r="H494" s="38" t="s">
        <v>15</v>
      </c>
      <c r="I494" s="157">
        <v>407</v>
      </c>
      <c r="J494" t="s">
        <v>4035</v>
      </c>
    </row>
    <row r="495" spans="1:10" x14ac:dyDescent="0.25">
      <c r="A495" s="37" t="str">
        <f>C495&amp;"-"&amp;D495&amp;"-"&amp;E495&amp;"-"&amp;F495&amp;"-"&amp;CATALOGO[[#This Row],[Sub cuenta 3]]</f>
        <v>E-15-08-00-00</v>
      </c>
      <c r="B495" s="37" t="s">
        <v>443</v>
      </c>
      <c r="C495" s="37" t="s">
        <v>114</v>
      </c>
      <c r="D495" s="38" t="s">
        <v>435</v>
      </c>
      <c r="E495" s="38" t="s">
        <v>77</v>
      </c>
      <c r="F495" s="38" t="s">
        <v>11</v>
      </c>
      <c r="G495" s="38" t="s">
        <v>11</v>
      </c>
      <c r="H495" s="38" t="s">
        <v>15</v>
      </c>
      <c r="I495" s="157">
        <v>407</v>
      </c>
      <c r="J495" t="s">
        <v>4035</v>
      </c>
    </row>
    <row r="496" spans="1:10" x14ac:dyDescent="0.25">
      <c r="A496" s="37" t="str">
        <f>C496&amp;"-"&amp;D496&amp;"-"&amp;E496&amp;"-"&amp;F496&amp;"-"&amp;CATALOGO[[#This Row],[Sub cuenta 3]]</f>
        <v>E-15-09-00-00</v>
      </c>
      <c r="B496" s="37" t="s">
        <v>444</v>
      </c>
      <c r="C496" s="37" t="s">
        <v>114</v>
      </c>
      <c r="D496" s="38" t="s">
        <v>435</v>
      </c>
      <c r="E496" s="38" t="s">
        <v>79</v>
      </c>
      <c r="F496" s="38" t="s">
        <v>11</v>
      </c>
      <c r="G496" s="38" t="s">
        <v>11</v>
      </c>
      <c r="H496" s="38" t="s">
        <v>15</v>
      </c>
      <c r="I496" s="157">
        <v>407</v>
      </c>
      <c r="J496" t="s">
        <v>4035</v>
      </c>
    </row>
    <row r="497" spans="1:10" x14ac:dyDescent="0.25">
      <c r="A497" s="37" t="str">
        <f>C497&amp;"-"&amp;D497&amp;"-"&amp;E497&amp;"-"&amp;F497&amp;"-"&amp;CATALOGO[[#This Row],[Sub cuenta 3]]</f>
        <v>E-15-10-00-00</v>
      </c>
      <c r="B497" s="37" t="s">
        <v>445</v>
      </c>
      <c r="C497" s="37" t="s">
        <v>114</v>
      </c>
      <c r="D497" s="38" t="s">
        <v>435</v>
      </c>
      <c r="E497" s="38" t="s">
        <v>80</v>
      </c>
      <c r="F497" s="38" t="s">
        <v>11</v>
      </c>
      <c r="G497" s="38" t="s">
        <v>11</v>
      </c>
      <c r="H497" s="38" t="s">
        <v>15</v>
      </c>
      <c r="I497" s="157">
        <v>407</v>
      </c>
      <c r="J497" t="s">
        <v>4035</v>
      </c>
    </row>
    <row r="498" spans="1:10" x14ac:dyDescent="0.25">
      <c r="A498" s="39" t="str">
        <f>C498&amp;"-"&amp;D498&amp;"-"&amp;E498&amp;"-"&amp;F498&amp;"-"&amp;CATALOGO[[#This Row],[Sub cuenta 3]]</f>
        <v>E-16-00-00-00</v>
      </c>
      <c r="B498" s="39" t="s">
        <v>446</v>
      </c>
      <c r="C498" s="37" t="s">
        <v>114</v>
      </c>
      <c r="D498" s="38" t="s">
        <v>447</v>
      </c>
      <c r="E498" s="38" t="s">
        <v>11</v>
      </c>
      <c r="F498" s="38" t="s">
        <v>11</v>
      </c>
      <c r="G498" s="36" t="s">
        <v>11</v>
      </c>
      <c r="H498" s="38" t="s">
        <v>12</v>
      </c>
      <c r="I498" s="157">
        <v>407</v>
      </c>
      <c r="J498" t="s">
        <v>4035</v>
      </c>
    </row>
    <row r="499" spans="1:10" x14ac:dyDescent="0.25">
      <c r="A499" s="37" t="str">
        <f>C499&amp;"-"&amp;D499&amp;"-"&amp;E499&amp;"-"&amp;F499&amp;"-"&amp;CATALOGO[[#This Row],[Sub cuenta 3]]</f>
        <v>E-16-01-00-00</v>
      </c>
      <c r="B499" s="37" t="s">
        <v>448</v>
      </c>
      <c r="C499" s="37" t="s">
        <v>114</v>
      </c>
      <c r="D499" s="38" t="s">
        <v>447</v>
      </c>
      <c r="E499" s="38" t="s">
        <v>10</v>
      </c>
      <c r="F499" s="38" t="s">
        <v>11</v>
      </c>
      <c r="G499" s="36" t="s">
        <v>11</v>
      </c>
      <c r="H499" s="38" t="s">
        <v>15</v>
      </c>
      <c r="I499" s="157">
        <v>407</v>
      </c>
      <c r="J499" t="s">
        <v>4035</v>
      </c>
    </row>
    <row r="500" spans="1:10" x14ac:dyDescent="0.25">
      <c r="A500" s="37" t="str">
        <f>C500&amp;"-"&amp;D500&amp;"-"&amp;E500&amp;"-"&amp;F500&amp;"-"&amp;CATALOGO[[#This Row],[Sub cuenta 3]]</f>
        <v>E-16-02-00-00</v>
      </c>
      <c r="B500" s="37" t="s">
        <v>449</v>
      </c>
      <c r="C500" s="37" t="s">
        <v>114</v>
      </c>
      <c r="D500" s="38" t="s">
        <v>447</v>
      </c>
      <c r="E500" s="38" t="s">
        <v>17</v>
      </c>
      <c r="F500" s="38" t="s">
        <v>11</v>
      </c>
      <c r="G500" s="36" t="s">
        <v>11</v>
      </c>
      <c r="H500" s="38" t="s">
        <v>12</v>
      </c>
      <c r="I500" s="157">
        <v>407</v>
      </c>
      <c r="J500" t="s">
        <v>4035</v>
      </c>
    </row>
    <row r="501" spans="1:10" x14ac:dyDescent="0.25">
      <c r="A501" s="37" t="str">
        <f>C501&amp;"-"&amp;D501&amp;"-"&amp;E501&amp;"-"&amp;F501&amp;"-"&amp;CATALOGO[[#This Row],[Sub cuenta 3]]</f>
        <v>E-16-02-01-00</v>
      </c>
      <c r="B501" s="37" t="s">
        <v>450</v>
      </c>
      <c r="C501" s="37" t="s">
        <v>114</v>
      </c>
      <c r="D501" s="38" t="s">
        <v>447</v>
      </c>
      <c r="E501" s="38" t="s">
        <v>17</v>
      </c>
      <c r="F501" s="38" t="s">
        <v>10</v>
      </c>
      <c r="G501" s="36" t="s">
        <v>11</v>
      </c>
      <c r="H501" s="38" t="s">
        <v>15</v>
      </c>
      <c r="I501" s="157">
        <v>407</v>
      </c>
      <c r="J501" t="s">
        <v>4035</v>
      </c>
    </row>
    <row r="502" spans="1:10" x14ac:dyDescent="0.25">
      <c r="A502" s="37" t="str">
        <f>C502&amp;"-"&amp;D502&amp;"-"&amp;E502&amp;"-"&amp;F502&amp;"-"&amp;CATALOGO[[#This Row],[Sub cuenta 3]]</f>
        <v>E-16-02-02-00</v>
      </c>
      <c r="B502" s="37" t="s">
        <v>451</v>
      </c>
      <c r="C502" s="37" t="s">
        <v>114</v>
      </c>
      <c r="D502" s="38" t="s">
        <v>447</v>
      </c>
      <c r="E502" s="38" t="s">
        <v>17</v>
      </c>
      <c r="F502" s="38" t="s">
        <v>17</v>
      </c>
      <c r="G502" s="36" t="s">
        <v>11</v>
      </c>
      <c r="H502" s="38" t="s">
        <v>15</v>
      </c>
      <c r="I502" s="157">
        <v>407</v>
      </c>
      <c r="J502" t="s">
        <v>4035</v>
      </c>
    </row>
    <row r="503" spans="1:10" x14ac:dyDescent="0.25">
      <c r="A503" s="37" t="str">
        <f>C503&amp;"-"&amp;D503&amp;"-"&amp;E503&amp;"-"&amp;F503&amp;"-"&amp;CATALOGO[[#This Row],[Sub cuenta 3]]</f>
        <v>E-16-02-03-00</v>
      </c>
      <c r="B503" s="37" t="s">
        <v>452</v>
      </c>
      <c r="C503" s="37" t="s">
        <v>114</v>
      </c>
      <c r="D503" s="38" t="s">
        <v>447</v>
      </c>
      <c r="E503" s="38" t="s">
        <v>17</v>
      </c>
      <c r="F503" s="38" t="s">
        <v>22</v>
      </c>
      <c r="G503" s="36" t="s">
        <v>11</v>
      </c>
      <c r="H503" s="38" t="s">
        <v>15</v>
      </c>
      <c r="I503" s="157">
        <v>407</v>
      </c>
      <c r="J503" t="s">
        <v>4035</v>
      </c>
    </row>
    <row r="504" spans="1:10" x14ac:dyDescent="0.25">
      <c r="A504" s="37" t="str">
        <f>C504&amp;"-"&amp;D504&amp;"-"&amp;E504&amp;"-"&amp;F504&amp;"-"&amp;CATALOGO[[#This Row],[Sub cuenta 3]]</f>
        <v>E-16-02-04-00</v>
      </c>
      <c r="B504" s="37" t="s">
        <v>453</v>
      </c>
      <c r="C504" s="37" t="s">
        <v>114</v>
      </c>
      <c r="D504" s="38" t="s">
        <v>447</v>
      </c>
      <c r="E504" s="38" t="s">
        <v>17</v>
      </c>
      <c r="F504" s="38" t="s">
        <v>26</v>
      </c>
      <c r="G504" s="36" t="s">
        <v>11</v>
      </c>
      <c r="H504" s="38" t="s">
        <v>15</v>
      </c>
      <c r="I504" s="157">
        <v>407</v>
      </c>
      <c r="J504" t="s">
        <v>4035</v>
      </c>
    </row>
    <row r="505" spans="1:10" x14ac:dyDescent="0.25">
      <c r="A505" s="37" t="str">
        <f>C505&amp;"-"&amp;D505&amp;"-"&amp;E505&amp;"-"&amp;F505&amp;"-"&amp;CATALOGO[[#This Row],[Sub cuenta 3]]</f>
        <v>E-16-02-05-00</v>
      </c>
      <c r="B505" s="37" t="s">
        <v>454</v>
      </c>
      <c r="C505" s="37" t="s">
        <v>114</v>
      </c>
      <c r="D505" s="38" t="s">
        <v>447</v>
      </c>
      <c r="E505" s="38" t="s">
        <v>17</v>
      </c>
      <c r="F505" s="38" t="s">
        <v>62</v>
      </c>
      <c r="G505" s="36" t="s">
        <v>11</v>
      </c>
      <c r="H505" s="38" t="s">
        <v>15</v>
      </c>
      <c r="I505" s="157">
        <v>407</v>
      </c>
      <c r="J505" t="s">
        <v>4035</v>
      </c>
    </row>
    <row r="506" spans="1:10" x14ac:dyDescent="0.25">
      <c r="A506" s="37" t="str">
        <f>C506&amp;"-"&amp;D506&amp;"-"&amp;E506&amp;"-"&amp;F506&amp;"-"&amp;CATALOGO[[#This Row],[Sub cuenta 3]]</f>
        <v>E-16-03-00-00</v>
      </c>
      <c r="B506" s="37" t="s">
        <v>455</v>
      </c>
      <c r="C506" s="37" t="s">
        <v>114</v>
      </c>
      <c r="D506" s="38" t="s">
        <v>447</v>
      </c>
      <c r="E506" s="38" t="s">
        <v>22</v>
      </c>
      <c r="F506" s="38" t="s">
        <v>11</v>
      </c>
      <c r="G506" s="36" t="s">
        <v>11</v>
      </c>
      <c r="H506" s="38" t="s">
        <v>15</v>
      </c>
      <c r="I506" s="157">
        <v>407</v>
      </c>
      <c r="J506" t="s">
        <v>4035</v>
      </c>
    </row>
    <row r="507" spans="1:10" x14ac:dyDescent="0.25">
      <c r="A507" s="37" t="str">
        <f>C507&amp;"-"&amp;D507&amp;"-"&amp;E507&amp;"-"&amp;F507&amp;"-"&amp;CATALOGO[[#This Row],[Sub cuenta 3]]</f>
        <v>E-16-04-00-00</v>
      </c>
      <c r="B507" s="37" t="s">
        <v>178</v>
      </c>
      <c r="C507" s="37" t="s">
        <v>114</v>
      </c>
      <c r="D507" s="38" t="s">
        <v>447</v>
      </c>
      <c r="E507" s="38" t="s">
        <v>26</v>
      </c>
      <c r="F507" s="38" t="s">
        <v>11</v>
      </c>
      <c r="G507" s="36" t="s">
        <v>11</v>
      </c>
      <c r="H507" s="38" t="s">
        <v>15</v>
      </c>
      <c r="I507" s="157">
        <v>407</v>
      </c>
      <c r="J507" t="s">
        <v>4035</v>
      </c>
    </row>
    <row r="508" spans="1:10" x14ac:dyDescent="0.25">
      <c r="A508" s="37" t="str">
        <f>C508&amp;"-"&amp;D508&amp;"-"&amp;E508&amp;"-"&amp;F508&amp;"-"&amp;CATALOGO[[#This Row],[Sub cuenta 3]]</f>
        <v>E-16-05-00-00</v>
      </c>
      <c r="B508" s="37" t="s">
        <v>456</v>
      </c>
      <c r="C508" s="37" t="s">
        <v>114</v>
      </c>
      <c r="D508" s="38" t="s">
        <v>447</v>
      </c>
      <c r="E508" s="38" t="s">
        <v>62</v>
      </c>
      <c r="F508" s="38" t="s">
        <v>11</v>
      </c>
      <c r="G508" s="36" t="s">
        <v>11</v>
      </c>
      <c r="H508" s="38" t="s">
        <v>15</v>
      </c>
      <c r="I508" s="157">
        <v>407</v>
      </c>
      <c r="J508" t="s">
        <v>4035</v>
      </c>
    </row>
    <row r="509" spans="1:10" x14ac:dyDescent="0.25">
      <c r="A509" s="37" t="str">
        <f>C509&amp;"-"&amp;D509&amp;"-"&amp;E509&amp;"-"&amp;F509&amp;"-"&amp;CATALOGO[[#This Row],[Sub cuenta 3]]</f>
        <v>E-16-06-00-00</v>
      </c>
      <c r="B509" s="37" t="s">
        <v>457</v>
      </c>
      <c r="C509" s="37" t="s">
        <v>114</v>
      </c>
      <c r="D509" s="38" t="s">
        <v>447</v>
      </c>
      <c r="E509" s="38" t="s">
        <v>73</v>
      </c>
      <c r="F509" s="38" t="s">
        <v>11</v>
      </c>
      <c r="G509" s="36" t="s">
        <v>11</v>
      </c>
      <c r="H509" s="38" t="s">
        <v>15</v>
      </c>
      <c r="I509" s="157">
        <v>407</v>
      </c>
      <c r="J509" t="s">
        <v>4035</v>
      </c>
    </row>
    <row r="510" spans="1:10" x14ac:dyDescent="0.25">
      <c r="A510" s="37" t="str">
        <f>C510&amp;"-"&amp;D510&amp;"-"&amp;E510&amp;"-"&amp;F510&amp;"-"&amp;CATALOGO[[#This Row],[Sub cuenta 3]]</f>
        <v>E-16-07-00-00</v>
      </c>
      <c r="B510" s="37" t="s">
        <v>178</v>
      </c>
      <c r="C510" s="37" t="s">
        <v>114</v>
      </c>
      <c r="D510" s="38" t="s">
        <v>447</v>
      </c>
      <c r="E510" s="38" t="s">
        <v>75</v>
      </c>
      <c r="F510" s="38" t="s">
        <v>11</v>
      </c>
      <c r="G510" s="36" t="s">
        <v>11</v>
      </c>
      <c r="H510" s="38" t="s">
        <v>15</v>
      </c>
      <c r="I510" s="157">
        <v>407</v>
      </c>
      <c r="J510" t="s">
        <v>4035</v>
      </c>
    </row>
    <row r="511" spans="1:10" x14ac:dyDescent="0.25">
      <c r="A511" s="37" t="str">
        <f>C511&amp;"-"&amp;D511&amp;"-"&amp;E511&amp;"-"&amp;F511&amp;"-"&amp;CATALOGO[[#This Row],[Sub cuenta 3]]</f>
        <v>E-16-08-00-00</v>
      </c>
      <c r="B511" s="37" t="s">
        <v>178</v>
      </c>
      <c r="C511" s="37" t="s">
        <v>114</v>
      </c>
      <c r="D511" s="38" t="s">
        <v>447</v>
      </c>
      <c r="E511" s="38" t="s">
        <v>77</v>
      </c>
      <c r="F511" s="38" t="s">
        <v>11</v>
      </c>
      <c r="G511" s="36" t="s">
        <v>11</v>
      </c>
      <c r="H511" s="38" t="s">
        <v>15</v>
      </c>
      <c r="I511" s="157">
        <v>407</v>
      </c>
      <c r="J511" t="s">
        <v>4035</v>
      </c>
    </row>
    <row r="512" spans="1:10" x14ac:dyDescent="0.25">
      <c r="A512" s="37" t="str">
        <f>C512&amp;"-"&amp;D512&amp;"-"&amp;E512&amp;"-"&amp;F512&amp;"-"&amp;CATALOGO[[#This Row],[Sub cuenta 3]]</f>
        <v>E-16-09-00-00</v>
      </c>
      <c r="B512" s="38" t="s">
        <v>457</v>
      </c>
      <c r="C512" s="37" t="s">
        <v>114</v>
      </c>
      <c r="D512" s="38" t="s">
        <v>447</v>
      </c>
      <c r="E512" s="38" t="s">
        <v>79</v>
      </c>
      <c r="F512" s="38" t="s">
        <v>11</v>
      </c>
      <c r="G512" s="36" t="s">
        <v>11</v>
      </c>
      <c r="H512" s="38" t="s">
        <v>15</v>
      </c>
      <c r="I512" s="157">
        <v>407</v>
      </c>
      <c r="J512" t="s">
        <v>4035</v>
      </c>
    </row>
    <row r="513" spans="1:10" x14ac:dyDescent="0.25">
      <c r="A513" s="37" t="str">
        <f>C513&amp;"-"&amp;D513&amp;"-"&amp;E513&amp;"-"&amp;F513&amp;"-"&amp;CATALOGO[[#This Row],[Sub cuenta 3]]</f>
        <v>E-16-10-00-00</v>
      </c>
      <c r="B513" s="37" t="s">
        <v>458</v>
      </c>
      <c r="C513" s="37" t="s">
        <v>114</v>
      </c>
      <c r="D513" s="38" t="s">
        <v>447</v>
      </c>
      <c r="E513" s="38" t="s">
        <v>80</v>
      </c>
      <c r="F513" s="38" t="s">
        <v>11</v>
      </c>
      <c r="G513" s="36" t="s">
        <v>11</v>
      </c>
      <c r="H513" s="38" t="s">
        <v>12</v>
      </c>
      <c r="I513" s="157">
        <v>407</v>
      </c>
      <c r="J513" t="s">
        <v>4035</v>
      </c>
    </row>
    <row r="514" spans="1:10" x14ac:dyDescent="0.25">
      <c r="A514" s="37" t="str">
        <f>C514&amp;"-"&amp;D514&amp;"-"&amp;E514&amp;"-"&amp;F514&amp;"-"&amp;CATALOGO[[#This Row],[Sub cuenta 3]]</f>
        <v>E-16-10-01-00</v>
      </c>
      <c r="B514" s="37" t="s">
        <v>459</v>
      </c>
      <c r="C514" s="37" t="s">
        <v>114</v>
      </c>
      <c r="D514" s="38" t="s">
        <v>447</v>
      </c>
      <c r="E514" s="38" t="s">
        <v>80</v>
      </c>
      <c r="F514" s="38" t="s">
        <v>10</v>
      </c>
      <c r="G514" s="38" t="s">
        <v>11</v>
      </c>
      <c r="H514" s="38" t="s">
        <v>15</v>
      </c>
      <c r="I514" s="157">
        <v>407</v>
      </c>
      <c r="J514" t="s">
        <v>4035</v>
      </c>
    </row>
    <row r="515" spans="1:10" s="7" customFormat="1" x14ac:dyDescent="0.25">
      <c r="A515" s="37" t="str">
        <f>C515&amp;"-"&amp;D515&amp;"-"&amp;E515&amp;"-"&amp;F515&amp;"-"&amp;CATALOGO[[#This Row],[Sub cuenta 3]]</f>
        <v>E-16-10-02-00</v>
      </c>
      <c r="B515" s="37" t="s">
        <v>460</v>
      </c>
      <c r="C515" s="37" t="s">
        <v>114</v>
      </c>
      <c r="D515" s="38" t="s">
        <v>447</v>
      </c>
      <c r="E515" s="38" t="s">
        <v>80</v>
      </c>
      <c r="F515" s="38" t="s">
        <v>17</v>
      </c>
      <c r="G515" s="38" t="s">
        <v>11</v>
      </c>
      <c r="H515" s="38" t="s">
        <v>15</v>
      </c>
      <c r="I515" s="157">
        <v>407</v>
      </c>
      <c r="J515" t="s">
        <v>4035</v>
      </c>
    </row>
    <row r="516" spans="1:10" x14ac:dyDescent="0.25">
      <c r="A516" s="39" t="str">
        <f>C516&amp;"-"&amp;D516&amp;"-"&amp;E516&amp;"-"&amp;F516&amp;"-"&amp;CATALOGO[[#This Row],[Sub cuenta 3]]</f>
        <v>E-17-00-00-00</v>
      </c>
      <c r="B516" s="39" t="s">
        <v>461</v>
      </c>
      <c r="C516" s="7" t="s">
        <v>114</v>
      </c>
      <c r="D516" s="70" t="s">
        <v>462</v>
      </c>
      <c r="E516" s="70" t="s">
        <v>11</v>
      </c>
      <c r="F516" s="70" t="s">
        <v>11</v>
      </c>
      <c r="G516" s="70" t="s">
        <v>11</v>
      </c>
      <c r="H516" s="70" t="s">
        <v>12</v>
      </c>
      <c r="I516" s="157">
        <v>407</v>
      </c>
      <c r="J516" t="s">
        <v>4035</v>
      </c>
    </row>
    <row r="517" spans="1:10" x14ac:dyDescent="0.25">
      <c r="A517" s="37" t="str">
        <f>C517&amp;"-"&amp;D517&amp;"-"&amp;E517&amp;"-"&amp;F517&amp;"-"&amp;CATALOGO[[#This Row],[Sub cuenta 3]]</f>
        <v>E-17-01-00-00</v>
      </c>
      <c r="B517" s="37" t="s">
        <v>463</v>
      </c>
      <c r="C517" s="37" t="s">
        <v>114</v>
      </c>
      <c r="D517" s="38" t="s">
        <v>462</v>
      </c>
      <c r="E517" s="38" t="s">
        <v>10</v>
      </c>
      <c r="F517" s="38" t="s">
        <v>11</v>
      </c>
      <c r="G517" s="38" t="s">
        <v>11</v>
      </c>
      <c r="H517" s="38" t="s">
        <v>12</v>
      </c>
      <c r="I517" s="157">
        <v>407</v>
      </c>
      <c r="J517" t="s">
        <v>4035</v>
      </c>
    </row>
    <row r="518" spans="1:10" x14ac:dyDescent="0.25">
      <c r="A518" s="37" t="str">
        <f>C518&amp;"-"&amp;D518&amp;"-"&amp;E518&amp;"-"&amp;F518&amp;"-"&amp;CATALOGO[[#This Row],[Sub cuenta 3]]</f>
        <v>E-17-01-01-00</v>
      </c>
      <c r="B518" s="37" t="s">
        <v>464</v>
      </c>
      <c r="C518" s="37" t="s">
        <v>114</v>
      </c>
      <c r="D518" s="38" t="s">
        <v>462</v>
      </c>
      <c r="E518" s="38" t="s">
        <v>10</v>
      </c>
      <c r="F518" s="38" t="s">
        <v>10</v>
      </c>
      <c r="G518" s="38" t="s">
        <v>11</v>
      </c>
      <c r="H518" s="38" t="s">
        <v>15</v>
      </c>
      <c r="I518" s="157">
        <v>407</v>
      </c>
      <c r="J518" t="s">
        <v>4035</v>
      </c>
    </row>
    <row r="519" spans="1:10" x14ac:dyDescent="0.25">
      <c r="A519" s="37" t="str">
        <f>C519&amp;"-"&amp;D519&amp;"-"&amp;E519&amp;"-"&amp;F519&amp;"-"&amp;CATALOGO[[#This Row],[Sub cuenta 3]]</f>
        <v>E-17-01-02-00</v>
      </c>
      <c r="B519" s="37" t="s">
        <v>465</v>
      </c>
      <c r="C519" s="37" t="s">
        <v>114</v>
      </c>
      <c r="D519" s="38" t="s">
        <v>462</v>
      </c>
      <c r="E519" s="38" t="s">
        <v>10</v>
      </c>
      <c r="F519" s="38" t="s">
        <v>17</v>
      </c>
      <c r="G519" s="38" t="s">
        <v>11</v>
      </c>
      <c r="H519" s="38" t="s">
        <v>15</v>
      </c>
      <c r="I519" s="157">
        <v>407</v>
      </c>
      <c r="J519" t="s">
        <v>4035</v>
      </c>
    </row>
    <row r="520" spans="1:10" x14ac:dyDescent="0.25">
      <c r="A520" s="37" t="str">
        <f>C520&amp;"-"&amp;D520&amp;"-"&amp;E520&amp;"-"&amp;F520&amp;"-"&amp;CATALOGO[[#This Row],[Sub cuenta 3]]</f>
        <v>E-17-01-03-00</v>
      </c>
      <c r="B520" s="37" t="s">
        <v>466</v>
      </c>
      <c r="C520" s="37" t="s">
        <v>114</v>
      </c>
      <c r="D520" s="38" t="s">
        <v>462</v>
      </c>
      <c r="E520" s="38" t="s">
        <v>10</v>
      </c>
      <c r="F520" s="38" t="s">
        <v>22</v>
      </c>
      <c r="G520" s="38" t="s">
        <v>11</v>
      </c>
      <c r="H520" s="38" t="s">
        <v>15</v>
      </c>
      <c r="I520" s="157">
        <v>407</v>
      </c>
      <c r="J520" t="s">
        <v>4035</v>
      </c>
    </row>
    <row r="521" spans="1:10" x14ac:dyDescent="0.25">
      <c r="A521" s="37" t="str">
        <f>C521&amp;"-"&amp;D521&amp;"-"&amp;E521&amp;"-"&amp;F521&amp;"-"&amp;CATALOGO[[#This Row],[Sub cuenta 3]]</f>
        <v>E-17-01-04-00</v>
      </c>
      <c r="B521" s="37" t="s">
        <v>467</v>
      </c>
      <c r="C521" s="37" t="s">
        <v>114</v>
      </c>
      <c r="D521" s="38" t="s">
        <v>462</v>
      </c>
      <c r="E521" s="38" t="s">
        <v>10</v>
      </c>
      <c r="F521" s="38" t="s">
        <v>26</v>
      </c>
      <c r="G521" s="38" t="s">
        <v>11</v>
      </c>
      <c r="H521" s="38" t="s">
        <v>15</v>
      </c>
      <c r="I521" s="157">
        <v>407</v>
      </c>
      <c r="J521" t="s">
        <v>4035</v>
      </c>
    </row>
    <row r="522" spans="1:10" x14ac:dyDescent="0.25">
      <c r="A522" s="37" t="str">
        <f>C522&amp;"-"&amp;D522&amp;"-"&amp;E522&amp;"-"&amp;F522&amp;"-"&amp;CATALOGO[[#This Row],[Sub cuenta 3]]</f>
        <v>E-17-01-05-00</v>
      </c>
      <c r="B522" s="37" t="s">
        <v>468</v>
      </c>
      <c r="C522" s="37" t="s">
        <v>114</v>
      </c>
      <c r="D522" s="38" t="s">
        <v>462</v>
      </c>
      <c r="E522" s="38" t="s">
        <v>10</v>
      </c>
      <c r="F522" s="38" t="s">
        <v>62</v>
      </c>
      <c r="G522" s="38" t="s">
        <v>11</v>
      </c>
      <c r="H522" s="38" t="s">
        <v>15</v>
      </c>
      <c r="I522" s="157">
        <v>407</v>
      </c>
      <c r="J522" t="s">
        <v>4035</v>
      </c>
    </row>
    <row r="523" spans="1:10" x14ac:dyDescent="0.25">
      <c r="A523" s="37" t="str">
        <f>C523&amp;"-"&amp;D523&amp;"-"&amp;E523&amp;"-"&amp;F523&amp;"-"&amp;CATALOGO[[#This Row],[Sub cuenta 3]]</f>
        <v>E-17-01-06-00</v>
      </c>
      <c r="B523" s="37" t="s">
        <v>469</v>
      </c>
      <c r="C523" s="37" t="s">
        <v>114</v>
      </c>
      <c r="D523" s="38" t="s">
        <v>462</v>
      </c>
      <c r="E523" s="38" t="s">
        <v>10</v>
      </c>
      <c r="F523" s="38" t="s">
        <v>73</v>
      </c>
      <c r="G523" s="38" t="s">
        <v>11</v>
      </c>
      <c r="H523" s="38" t="s">
        <v>15</v>
      </c>
      <c r="I523" s="157">
        <v>407</v>
      </c>
      <c r="J523" t="s">
        <v>4035</v>
      </c>
    </row>
    <row r="524" spans="1:10" x14ac:dyDescent="0.25">
      <c r="A524" s="37" t="str">
        <f>C524&amp;"-"&amp;D524&amp;"-"&amp;E524&amp;"-"&amp;F524&amp;"-"&amp;CATALOGO[[#This Row],[Sub cuenta 3]]</f>
        <v>E-17-01-07-00</v>
      </c>
      <c r="B524" s="37" t="s">
        <v>470</v>
      </c>
      <c r="C524" s="37" t="s">
        <v>114</v>
      </c>
      <c r="D524" s="38" t="s">
        <v>462</v>
      </c>
      <c r="E524" s="38" t="s">
        <v>10</v>
      </c>
      <c r="F524" s="38" t="s">
        <v>75</v>
      </c>
      <c r="G524" s="38" t="s">
        <v>11</v>
      </c>
      <c r="H524" s="38" t="s">
        <v>15</v>
      </c>
      <c r="I524" s="157">
        <v>407</v>
      </c>
      <c r="J524" t="s">
        <v>4035</v>
      </c>
    </row>
    <row r="525" spans="1:10" x14ac:dyDescent="0.25">
      <c r="A525" s="37" t="str">
        <f>C525&amp;"-"&amp;D525&amp;"-"&amp;E525&amp;"-"&amp;F525&amp;"-"&amp;CATALOGO[[#This Row],[Sub cuenta 3]]</f>
        <v>E-17-01-08-00</v>
      </c>
      <c r="B525" s="37" t="s">
        <v>471</v>
      </c>
      <c r="C525" s="37" t="s">
        <v>114</v>
      </c>
      <c r="D525" s="38" t="s">
        <v>462</v>
      </c>
      <c r="E525" s="38" t="s">
        <v>10</v>
      </c>
      <c r="F525" s="38" t="s">
        <v>77</v>
      </c>
      <c r="G525" s="38" t="s">
        <v>11</v>
      </c>
      <c r="H525" s="38" t="s">
        <v>15</v>
      </c>
      <c r="I525" s="157">
        <v>407</v>
      </c>
      <c r="J525" t="s">
        <v>4035</v>
      </c>
    </row>
    <row r="526" spans="1:10" x14ac:dyDescent="0.25">
      <c r="A526" s="37" t="str">
        <f>C526&amp;"-"&amp;D526&amp;"-"&amp;E526&amp;"-"&amp;F526&amp;"-"&amp;CATALOGO[[#This Row],[Sub cuenta 3]]</f>
        <v>E-17-01-09-00</v>
      </c>
      <c r="B526" s="37" t="s">
        <v>472</v>
      </c>
      <c r="C526" s="37" t="s">
        <v>114</v>
      </c>
      <c r="D526" s="38" t="s">
        <v>462</v>
      </c>
      <c r="E526" s="38" t="s">
        <v>10</v>
      </c>
      <c r="F526" s="38" t="s">
        <v>79</v>
      </c>
      <c r="G526" s="38" t="s">
        <v>11</v>
      </c>
      <c r="H526" s="38" t="s">
        <v>15</v>
      </c>
      <c r="I526" s="157">
        <v>407</v>
      </c>
      <c r="J526" t="s">
        <v>4035</v>
      </c>
    </row>
    <row r="527" spans="1:10" x14ac:dyDescent="0.25">
      <c r="A527" s="37" t="str">
        <f>C527&amp;"-"&amp;D527&amp;"-"&amp;E527&amp;"-"&amp;F527&amp;"-"&amp;CATALOGO[[#This Row],[Sub cuenta 3]]</f>
        <v>E-17-01-10-00</v>
      </c>
      <c r="B527" s="37" t="s">
        <v>473</v>
      </c>
      <c r="C527" s="37" t="s">
        <v>114</v>
      </c>
      <c r="D527" s="38" t="s">
        <v>462</v>
      </c>
      <c r="E527" s="38" t="s">
        <v>10</v>
      </c>
      <c r="F527" s="38" t="s">
        <v>80</v>
      </c>
      <c r="G527" s="38" t="s">
        <v>11</v>
      </c>
      <c r="H527" s="38" t="s">
        <v>15</v>
      </c>
      <c r="I527" s="157">
        <v>407</v>
      </c>
      <c r="J527" t="s">
        <v>4035</v>
      </c>
    </row>
    <row r="528" spans="1:10" x14ac:dyDescent="0.25">
      <c r="A528" s="37" t="str">
        <f>C528&amp;"-"&amp;D528&amp;"-"&amp;E528&amp;"-"&amp;F528&amp;"-"&amp;CATALOGO[[#This Row],[Sub cuenta 3]]</f>
        <v>E-17-01-11-00</v>
      </c>
      <c r="B528" s="37" t="s">
        <v>474</v>
      </c>
      <c r="C528" s="37" t="s">
        <v>114</v>
      </c>
      <c r="D528" s="38" t="s">
        <v>462</v>
      </c>
      <c r="E528" s="38" t="s">
        <v>10</v>
      </c>
      <c r="F528" s="38" t="s">
        <v>82</v>
      </c>
      <c r="G528" s="38" t="s">
        <v>11</v>
      </c>
      <c r="H528" s="38" t="s">
        <v>15</v>
      </c>
      <c r="I528" s="157">
        <v>407</v>
      </c>
      <c r="J528" t="s">
        <v>4035</v>
      </c>
    </row>
    <row r="529" spans="1:10" x14ac:dyDescent="0.25">
      <c r="A529" s="37" t="str">
        <f>C529&amp;"-"&amp;D529&amp;"-"&amp;E529&amp;"-"&amp;F529&amp;"-"&amp;CATALOGO[[#This Row],[Sub cuenta 3]]</f>
        <v>E-17-01-12-00</v>
      </c>
      <c r="B529" s="37" t="s">
        <v>475</v>
      </c>
      <c r="C529" s="37" t="s">
        <v>114</v>
      </c>
      <c r="D529" s="38" t="s">
        <v>462</v>
      </c>
      <c r="E529" s="38" t="s">
        <v>10</v>
      </c>
      <c r="F529" s="38" t="s">
        <v>87</v>
      </c>
      <c r="G529" s="38" t="s">
        <v>11</v>
      </c>
      <c r="H529" s="38" t="s">
        <v>15</v>
      </c>
      <c r="I529" s="157">
        <v>407</v>
      </c>
      <c r="J529" t="s">
        <v>4035</v>
      </c>
    </row>
    <row r="530" spans="1:10" x14ac:dyDescent="0.25">
      <c r="A530" s="37" t="str">
        <f>C530&amp;"-"&amp;D530&amp;"-"&amp;E530&amp;"-"&amp;F530&amp;"-"&amp;CATALOGO[[#This Row],[Sub cuenta 3]]</f>
        <v>E-17-01-13-00</v>
      </c>
      <c r="B530" s="37" t="s">
        <v>476</v>
      </c>
      <c r="C530" s="37" t="s">
        <v>114</v>
      </c>
      <c r="D530" s="38" t="s">
        <v>462</v>
      </c>
      <c r="E530" s="38" t="s">
        <v>10</v>
      </c>
      <c r="F530" s="38" t="s">
        <v>89</v>
      </c>
      <c r="G530" s="38" t="s">
        <v>11</v>
      </c>
      <c r="H530" s="38" t="s">
        <v>15</v>
      </c>
      <c r="I530" s="157">
        <v>407</v>
      </c>
      <c r="J530" t="s">
        <v>4035</v>
      </c>
    </row>
    <row r="531" spans="1:10" x14ac:dyDescent="0.25">
      <c r="A531" s="37" t="str">
        <f>C531&amp;"-"&amp;D531&amp;"-"&amp;E531&amp;"-"&amp;F531&amp;"-"&amp;CATALOGO[[#This Row],[Sub cuenta 3]]</f>
        <v>E-17-01-14-00</v>
      </c>
      <c r="B531" s="37" t="s">
        <v>477</v>
      </c>
      <c r="C531" s="37" t="s">
        <v>114</v>
      </c>
      <c r="D531" s="38" t="s">
        <v>462</v>
      </c>
      <c r="E531" s="38" t="s">
        <v>10</v>
      </c>
      <c r="F531" s="38" t="s">
        <v>90</v>
      </c>
      <c r="G531" s="38" t="s">
        <v>11</v>
      </c>
      <c r="H531" s="38" t="s">
        <v>15</v>
      </c>
      <c r="I531" s="157">
        <v>407</v>
      </c>
      <c r="J531" t="s">
        <v>4035</v>
      </c>
    </row>
    <row r="532" spans="1:10" x14ac:dyDescent="0.25">
      <c r="A532" s="37" t="str">
        <f>C532&amp;"-"&amp;D532&amp;"-"&amp;E532&amp;"-"&amp;F532&amp;"-"&amp;CATALOGO[[#This Row],[Sub cuenta 3]]</f>
        <v>E-17-01-15-00</v>
      </c>
      <c r="B532" s="37" t="s">
        <v>478</v>
      </c>
      <c r="C532" s="37" t="s">
        <v>114</v>
      </c>
      <c r="D532" s="38" t="s">
        <v>462</v>
      </c>
      <c r="E532" s="38" t="s">
        <v>10</v>
      </c>
      <c r="F532" s="38" t="s">
        <v>435</v>
      </c>
      <c r="G532" s="38" t="s">
        <v>11</v>
      </c>
      <c r="H532" s="38" t="s">
        <v>15</v>
      </c>
      <c r="I532" s="157">
        <v>407</v>
      </c>
      <c r="J532" t="s">
        <v>4035</v>
      </c>
    </row>
    <row r="533" spans="1:10" x14ac:dyDescent="0.25">
      <c r="A533" s="37" t="str">
        <f>C533&amp;"-"&amp;D533&amp;"-"&amp;E533&amp;"-"&amp;F533&amp;"-"&amp;CATALOGO[[#This Row],[Sub cuenta 3]]</f>
        <v>E-17-01-16-00</v>
      </c>
      <c r="B533" s="37" t="s">
        <v>479</v>
      </c>
      <c r="C533" s="37" t="s">
        <v>114</v>
      </c>
      <c r="D533" s="38" t="s">
        <v>462</v>
      </c>
      <c r="E533" s="38" t="s">
        <v>10</v>
      </c>
      <c r="F533" s="38" t="s">
        <v>447</v>
      </c>
      <c r="G533" s="38" t="s">
        <v>11</v>
      </c>
      <c r="H533" s="38" t="s">
        <v>15</v>
      </c>
      <c r="I533" s="157">
        <v>407</v>
      </c>
      <c r="J533" t="s">
        <v>4035</v>
      </c>
    </row>
    <row r="534" spans="1:10" x14ac:dyDescent="0.25">
      <c r="A534" s="37" t="str">
        <f>C534&amp;"-"&amp;D534&amp;"-"&amp;E534&amp;"-"&amp;F534&amp;"-"&amp;CATALOGO[[#This Row],[Sub cuenta 3]]</f>
        <v>E-17-01-17-00</v>
      </c>
      <c r="B534" s="37" t="s">
        <v>480</v>
      </c>
      <c r="C534" s="37" t="s">
        <v>114</v>
      </c>
      <c r="D534" s="38" t="s">
        <v>462</v>
      </c>
      <c r="E534" s="38" t="s">
        <v>10</v>
      </c>
      <c r="F534" s="38" t="s">
        <v>462</v>
      </c>
      <c r="G534" s="38" t="s">
        <v>11</v>
      </c>
      <c r="H534" s="38" t="s">
        <v>15</v>
      </c>
      <c r="I534" s="157">
        <v>407</v>
      </c>
      <c r="J534" t="s">
        <v>4035</v>
      </c>
    </row>
    <row r="535" spans="1:10" x14ac:dyDescent="0.25">
      <c r="A535" s="37" t="str">
        <f>C535&amp;"-"&amp;D535&amp;"-"&amp;E535&amp;"-"&amp;F535&amp;"-"&amp;CATALOGO[[#This Row],[Sub cuenta 3]]</f>
        <v>E-17-01-18-00</v>
      </c>
      <c r="B535" s="37" t="s">
        <v>481</v>
      </c>
      <c r="C535" s="37" t="s">
        <v>114</v>
      </c>
      <c r="D535" s="38" t="s">
        <v>462</v>
      </c>
      <c r="E535" s="38" t="s">
        <v>10</v>
      </c>
      <c r="F535" s="38" t="s">
        <v>482</v>
      </c>
      <c r="G535" s="38" t="s">
        <v>11</v>
      </c>
      <c r="H535" s="38" t="s">
        <v>15</v>
      </c>
      <c r="I535" s="157">
        <v>407</v>
      </c>
      <c r="J535" t="s">
        <v>4035</v>
      </c>
    </row>
    <row r="536" spans="1:10" x14ac:dyDescent="0.25">
      <c r="A536" s="37" t="str">
        <f>C536&amp;"-"&amp;D536&amp;"-"&amp;E536&amp;"-"&amp;F536&amp;"-"&amp;CATALOGO[[#This Row],[Sub cuenta 3]]</f>
        <v>E-17-01-19-00</v>
      </c>
      <c r="B536" s="37" t="s">
        <v>483</v>
      </c>
      <c r="C536" s="37" t="s">
        <v>114</v>
      </c>
      <c r="D536" s="38" t="s">
        <v>462</v>
      </c>
      <c r="E536" s="38" t="s">
        <v>10</v>
      </c>
      <c r="F536" s="38" t="s">
        <v>484</v>
      </c>
      <c r="G536" s="38" t="s">
        <v>11</v>
      </c>
      <c r="H536" s="38" t="s">
        <v>15</v>
      </c>
      <c r="I536" s="157">
        <v>407</v>
      </c>
      <c r="J536" t="s">
        <v>4035</v>
      </c>
    </row>
    <row r="537" spans="1:10" x14ac:dyDescent="0.25">
      <c r="A537" s="37" t="str">
        <f>C537&amp;"-"&amp;D537&amp;"-"&amp;E537&amp;"-"&amp;F537&amp;"-"&amp;CATALOGO[[#This Row],[Sub cuenta 3]]</f>
        <v>E-17-02-00-00</v>
      </c>
      <c r="B537" s="37" t="s">
        <v>485</v>
      </c>
      <c r="C537" s="37" t="s">
        <v>114</v>
      </c>
      <c r="D537" s="38" t="s">
        <v>462</v>
      </c>
      <c r="E537" s="38" t="s">
        <v>17</v>
      </c>
      <c r="F537" s="38" t="s">
        <v>11</v>
      </c>
      <c r="G537" s="38" t="s">
        <v>11</v>
      </c>
      <c r="H537" s="38" t="s">
        <v>12</v>
      </c>
      <c r="I537" s="157">
        <v>407</v>
      </c>
      <c r="J537" t="s">
        <v>4035</v>
      </c>
    </row>
    <row r="538" spans="1:10" x14ac:dyDescent="0.25">
      <c r="A538" s="37" t="str">
        <f>C538&amp;"-"&amp;D538&amp;"-"&amp;E538&amp;"-"&amp;F538&amp;"-"&amp;CATALOGO[[#This Row],[Sub cuenta 3]]</f>
        <v>E-17-02-01-00</v>
      </c>
      <c r="B538" s="37" t="s">
        <v>486</v>
      </c>
      <c r="C538" s="37" t="s">
        <v>114</v>
      </c>
      <c r="D538" s="38" t="s">
        <v>462</v>
      </c>
      <c r="E538" s="38" t="s">
        <v>17</v>
      </c>
      <c r="F538" s="38" t="s">
        <v>10</v>
      </c>
      <c r="G538" s="38" t="s">
        <v>11</v>
      </c>
      <c r="H538" s="38" t="s">
        <v>15</v>
      </c>
      <c r="I538" s="157">
        <v>407</v>
      </c>
      <c r="J538" t="s">
        <v>4035</v>
      </c>
    </row>
    <row r="539" spans="1:10" x14ac:dyDescent="0.25">
      <c r="A539" s="37" t="str">
        <f>C539&amp;"-"&amp;D539&amp;"-"&amp;E539&amp;"-"&amp;F539&amp;"-"&amp;CATALOGO[[#This Row],[Sub cuenta 3]]</f>
        <v>E-17-02-02-00</v>
      </c>
      <c r="B539" s="37" t="s">
        <v>487</v>
      </c>
      <c r="C539" s="37" t="s">
        <v>114</v>
      </c>
      <c r="D539" s="38" t="s">
        <v>462</v>
      </c>
      <c r="E539" s="38" t="s">
        <v>17</v>
      </c>
      <c r="F539" s="38" t="s">
        <v>17</v>
      </c>
      <c r="G539" s="38" t="s">
        <v>11</v>
      </c>
      <c r="H539" s="38" t="s">
        <v>15</v>
      </c>
      <c r="I539" s="157">
        <v>407</v>
      </c>
      <c r="J539" t="s">
        <v>4035</v>
      </c>
    </row>
    <row r="540" spans="1:10" x14ac:dyDescent="0.25">
      <c r="A540" s="37" t="str">
        <f>C540&amp;"-"&amp;D540&amp;"-"&amp;E540&amp;"-"&amp;F540&amp;"-"&amp;CATALOGO[[#This Row],[Sub cuenta 3]]</f>
        <v>E-17-02-03-00</v>
      </c>
      <c r="B540" s="37" t="s">
        <v>488</v>
      </c>
      <c r="C540" s="37" t="s">
        <v>114</v>
      </c>
      <c r="D540" s="38" t="s">
        <v>462</v>
      </c>
      <c r="E540" s="38" t="s">
        <v>17</v>
      </c>
      <c r="F540" s="38" t="s">
        <v>22</v>
      </c>
      <c r="G540" s="38" t="s">
        <v>11</v>
      </c>
      <c r="H540" s="38" t="s">
        <v>15</v>
      </c>
      <c r="I540" s="157">
        <v>407</v>
      </c>
      <c r="J540" t="s">
        <v>4035</v>
      </c>
    </row>
    <row r="541" spans="1:10" x14ac:dyDescent="0.25">
      <c r="A541" s="37" t="str">
        <f>C541&amp;"-"&amp;D541&amp;"-"&amp;E541&amp;"-"&amp;F541&amp;"-"&amp;CATALOGO[[#This Row],[Sub cuenta 3]]</f>
        <v>E-17-02-04-00</v>
      </c>
      <c r="B541" s="37" t="s">
        <v>489</v>
      </c>
      <c r="C541" s="37" t="s">
        <v>114</v>
      </c>
      <c r="D541" s="38" t="s">
        <v>462</v>
      </c>
      <c r="E541" s="38" t="s">
        <v>17</v>
      </c>
      <c r="F541" s="38" t="s">
        <v>26</v>
      </c>
      <c r="G541" s="38" t="s">
        <v>11</v>
      </c>
      <c r="H541" s="38" t="s">
        <v>15</v>
      </c>
      <c r="I541" s="157">
        <v>407</v>
      </c>
      <c r="J541" t="s">
        <v>4035</v>
      </c>
    </row>
    <row r="542" spans="1:10" x14ac:dyDescent="0.25">
      <c r="A542" s="37" t="str">
        <f>C542&amp;"-"&amp;D542&amp;"-"&amp;E542&amp;"-"&amp;F542&amp;"-"&amp;CATALOGO[[#This Row],[Sub cuenta 3]]</f>
        <v>E-17-02-05-00</v>
      </c>
      <c r="B542" s="37" t="s">
        <v>490</v>
      </c>
      <c r="C542" s="37" t="s">
        <v>114</v>
      </c>
      <c r="D542" s="38" t="s">
        <v>462</v>
      </c>
      <c r="E542" s="38" t="s">
        <v>17</v>
      </c>
      <c r="F542" s="38" t="s">
        <v>62</v>
      </c>
      <c r="G542" s="38" t="s">
        <v>11</v>
      </c>
      <c r="H542" s="38" t="s">
        <v>15</v>
      </c>
      <c r="I542" s="157">
        <v>407</v>
      </c>
      <c r="J542" t="s">
        <v>4035</v>
      </c>
    </row>
    <row r="543" spans="1:10" x14ac:dyDescent="0.25">
      <c r="A543" s="37" t="str">
        <f>C543&amp;"-"&amp;D543&amp;"-"&amp;E543&amp;"-"&amp;F543&amp;"-"&amp;CATALOGO[[#This Row],[Sub cuenta 3]]</f>
        <v>E-17-02-06-00</v>
      </c>
      <c r="B543" s="37" t="s">
        <v>491</v>
      </c>
      <c r="C543" s="37" t="s">
        <v>114</v>
      </c>
      <c r="D543" s="38" t="s">
        <v>462</v>
      </c>
      <c r="E543" s="38" t="s">
        <v>17</v>
      </c>
      <c r="F543" s="38" t="s">
        <v>73</v>
      </c>
      <c r="G543" s="38" t="s">
        <v>11</v>
      </c>
      <c r="H543" s="38" t="s">
        <v>15</v>
      </c>
      <c r="I543" s="157">
        <v>407</v>
      </c>
      <c r="J543" t="s">
        <v>4035</v>
      </c>
    </row>
    <row r="544" spans="1:10" x14ac:dyDescent="0.25">
      <c r="A544" s="37" t="str">
        <f>C544&amp;"-"&amp;D544&amp;"-"&amp;E544&amp;"-"&amp;F544&amp;"-"&amp;CATALOGO[[#This Row],[Sub cuenta 3]]</f>
        <v>E-17-02-07-00</v>
      </c>
      <c r="B544" s="37" t="s">
        <v>492</v>
      </c>
      <c r="C544" s="37" t="s">
        <v>114</v>
      </c>
      <c r="D544" s="38" t="s">
        <v>462</v>
      </c>
      <c r="E544" s="38" t="s">
        <v>17</v>
      </c>
      <c r="F544" s="38" t="s">
        <v>75</v>
      </c>
      <c r="G544" s="38" t="s">
        <v>11</v>
      </c>
      <c r="H544" s="38" t="s">
        <v>15</v>
      </c>
      <c r="I544" s="157">
        <v>407</v>
      </c>
      <c r="J544" t="s">
        <v>4035</v>
      </c>
    </row>
    <row r="545" spans="1:10" x14ac:dyDescent="0.25">
      <c r="A545" s="37" t="str">
        <f>C545&amp;"-"&amp;D545&amp;"-"&amp;E545&amp;"-"&amp;F545&amp;"-"&amp;CATALOGO[[#This Row],[Sub cuenta 3]]</f>
        <v>E-17-03-00-00</v>
      </c>
      <c r="B545" s="37" t="s">
        <v>493</v>
      </c>
      <c r="C545" s="37" t="s">
        <v>114</v>
      </c>
      <c r="D545" s="38" t="s">
        <v>462</v>
      </c>
      <c r="E545" s="38" t="s">
        <v>22</v>
      </c>
      <c r="F545" s="38" t="s">
        <v>11</v>
      </c>
      <c r="G545" s="38" t="s">
        <v>11</v>
      </c>
      <c r="H545" s="38" t="s">
        <v>12</v>
      </c>
      <c r="I545" s="157">
        <v>407</v>
      </c>
      <c r="J545" t="s">
        <v>4035</v>
      </c>
    </row>
    <row r="546" spans="1:10" x14ac:dyDescent="0.25">
      <c r="A546" s="37" t="str">
        <f>C546&amp;"-"&amp;D546&amp;"-"&amp;E546&amp;"-"&amp;F546&amp;"-"&amp;CATALOGO[[#This Row],[Sub cuenta 3]]</f>
        <v>E-17-03-01-00</v>
      </c>
      <c r="B546" s="37" t="s">
        <v>178</v>
      </c>
      <c r="C546" s="37" t="s">
        <v>114</v>
      </c>
      <c r="D546" s="38" t="s">
        <v>462</v>
      </c>
      <c r="E546" s="38" t="s">
        <v>22</v>
      </c>
      <c r="F546" s="38" t="s">
        <v>10</v>
      </c>
      <c r="G546" s="38" t="s">
        <v>11</v>
      </c>
      <c r="H546" s="38" t="s">
        <v>15</v>
      </c>
      <c r="I546" s="157">
        <v>407</v>
      </c>
      <c r="J546" t="s">
        <v>4035</v>
      </c>
    </row>
    <row r="547" spans="1:10" x14ac:dyDescent="0.25">
      <c r="A547" s="37" t="str">
        <f>C547&amp;"-"&amp;D547&amp;"-"&amp;E547&amp;"-"&amp;F547&amp;"-"&amp;CATALOGO[[#This Row],[Sub cuenta 3]]</f>
        <v>E-17-03-02-00</v>
      </c>
      <c r="B547" s="37" t="s">
        <v>178</v>
      </c>
      <c r="C547" s="37" t="s">
        <v>114</v>
      </c>
      <c r="D547" s="38" t="s">
        <v>462</v>
      </c>
      <c r="E547" s="38" t="s">
        <v>22</v>
      </c>
      <c r="F547" s="38" t="s">
        <v>17</v>
      </c>
      <c r="G547" s="38" t="s">
        <v>11</v>
      </c>
      <c r="H547" s="38" t="s">
        <v>15</v>
      </c>
      <c r="I547" s="157">
        <v>407</v>
      </c>
      <c r="J547" t="s">
        <v>4035</v>
      </c>
    </row>
    <row r="548" spans="1:10" x14ac:dyDescent="0.25">
      <c r="A548" s="37" t="str">
        <f>C548&amp;"-"&amp;D548&amp;"-"&amp;E548&amp;"-"&amp;F548&amp;"-"&amp;CATALOGO[[#This Row],[Sub cuenta 3]]</f>
        <v>E-17-03-03-00</v>
      </c>
      <c r="B548" s="37" t="s">
        <v>178</v>
      </c>
      <c r="C548" s="37" t="s">
        <v>114</v>
      </c>
      <c r="D548" s="38" t="s">
        <v>462</v>
      </c>
      <c r="E548" s="38" t="s">
        <v>22</v>
      </c>
      <c r="F548" s="38" t="s">
        <v>22</v>
      </c>
      <c r="G548" s="38" t="s">
        <v>11</v>
      </c>
      <c r="H548" s="38" t="s">
        <v>15</v>
      </c>
      <c r="I548" s="157">
        <v>407</v>
      </c>
      <c r="J548" t="s">
        <v>4035</v>
      </c>
    </row>
    <row r="549" spans="1:10" x14ac:dyDescent="0.25">
      <c r="A549" s="37" t="str">
        <f>C549&amp;"-"&amp;D549&amp;"-"&amp;E549&amp;"-"&amp;F549&amp;"-"&amp;CATALOGO[[#This Row],[Sub cuenta 3]]</f>
        <v>E-17-03-04-00</v>
      </c>
      <c r="B549" s="37" t="s">
        <v>178</v>
      </c>
      <c r="C549" s="37" t="s">
        <v>114</v>
      </c>
      <c r="D549" s="38" t="s">
        <v>462</v>
      </c>
      <c r="E549" s="38" t="s">
        <v>22</v>
      </c>
      <c r="F549" s="38" t="s">
        <v>26</v>
      </c>
      <c r="G549" s="38" t="s">
        <v>11</v>
      </c>
      <c r="H549" s="38" t="s">
        <v>15</v>
      </c>
      <c r="I549" s="157">
        <v>407</v>
      </c>
      <c r="J549" t="s">
        <v>4035</v>
      </c>
    </row>
    <row r="550" spans="1:10" x14ac:dyDescent="0.25">
      <c r="A550" s="37" t="str">
        <f>C550&amp;"-"&amp;D550&amp;"-"&amp;E550&amp;"-"&amp;F550&amp;"-"&amp;CATALOGO[[#This Row],[Sub cuenta 3]]</f>
        <v>E-17-03-05-00</v>
      </c>
      <c r="B550" s="37" t="s">
        <v>178</v>
      </c>
      <c r="C550" s="37" t="s">
        <v>114</v>
      </c>
      <c r="D550" s="38" t="s">
        <v>462</v>
      </c>
      <c r="E550" s="38" t="s">
        <v>22</v>
      </c>
      <c r="F550" s="38" t="s">
        <v>62</v>
      </c>
      <c r="G550" s="38" t="s">
        <v>11</v>
      </c>
      <c r="H550" s="38" t="s">
        <v>15</v>
      </c>
      <c r="I550" s="157">
        <v>407</v>
      </c>
      <c r="J550" t="s">
        <v>4035</v>
      </c>
    </row>
    <row r="551" spans="1:10" x14ac:dyDescent="0.25">
      <c r="A551" s="37" t="str">
        <f>C551&amp;"-"&amp;D551&amp;"-"&amp;E551&amp;"-"&amp;F551&amp;"-"&amp;CATALOGO[[#This Row],[Sub cuenta 3]]</f>
        <v>E-17-04-00-00</v>
      </c>
      <c r="B551" s="37" t="s">
        <v>494</v>
      </c>
      <c r="C551" s="37" t="s">
        <v>114</v>
      </c>
      <c r="D551" s="38" t="s">
        <v>462</v>
      </c>
      <c r="E551" s="38" t="s">
        <v>26</v>
      </c>
      <c r="F551" s="38" t="s">
        <v>11</v>
      </c>
      <c r="G551" s="38" t="s">
        <v>11</v>
      </c>
      <c r="H551" s="38" t="s">
        <v>12</v>
      </c>
      <c r="I551" s="157">
        <v>407</v>
      </c>
      <c r="J551" t="s">
        <v>4035</v>
      </c>
    </row>
    <row r="552" spans="1:10" x14ac:dyDescent="0.25">
      <c r="A552" s="37" t="str">
        <f>C552&amp;"-"&amp;D552&amp;"-"&amp;E552&amp;"-"&amp;F552&amp;"-"&amp;CATALOGO[[#This Row],[Sub cuenta 3]]</f>
        <v>E-17-04-01-00</v>
      </c>
      <c r="B552" s="37" t="s">
        <v>495</v>
      </c>
      <c r="C552" s="37" t="s">
        <v>114</v>
      </c>
      <c r="D552" s="38" t="s">
        <v>462</v>
      </c>
      <c r="E552" s="38" t="s">
        <v>26</v>
      </c>
      <c r="F552" s="38" t="s">
        <v>10</v>
      </c>
      <c r="G552" s="38" t="s">
        <v>11</v>
      </c>
      <c r="H552" s="38" t="s">
        <v>15</v>
      </c>
      <c r="I552" s="157">
        <v>407</v>
      </c>
      <c r="J552" t="s">
        <v>4035</v>
      </c>
    </row>
    <row r="553" spans="1:10" x14ac:dyDescent="0.25">
      <c r="A553" s="37" t="str">
        <f>C553&amp;"-"&amp;D553&amp;"-"&amp;E553&amp;"-"&amp;F553&amp;"-"&amp;CATALOGO[[#This Row],[Sub cuenta 3]]</f>
        <v>E-17-04-02-00</v>
      </c>
      <c r="B553" s="37" t="s">
        <v>496</v>
      </c>
      <c r="C553" s="37" t="s">
        <v>114</v>
      </c>
      <c r="D553" s="38" t="s">
        <v>462</v>
      </c>
      <c r="E553" s="38" t="s">
        <v>26</v>
      </c>
      <c r="F553" s="38" t="s">
        <v>17</v>
      </c>
      <c r="G553" s="38" t="s">
        <v>11</v>
      </c>
      <c r="H553" s="38" t="s">
        <v>15</v>
      </c>
      <c r="I553" s="157">
        <v>407</v>
      </c>
      <c r="J553" t="s">
        <v>4035</v>
      </c>
    </row>
    <row r="554" spans="1:10" x14ac:dyDescent="0.25">
      <c r="A554" s="37" t="str">
        <f>C554&amp;"-"&amp;D554&amp;"-"&amp;E554&amp;"-"&amp;F554&amp;"-"&amp;CATALOGO[[#This Row],[Sub cuenta 3]]</f>
        <v>E-17-04-03-00</v>
      </c>
      <c r="B554" s="37" t="s">
        <v>497</v>
      </c>
      <c r="C554" s="37" t="s">
        <v>114</v>
      </c>
      <c r="D554" s="38" t="s">
        <v>462</v>
      </c>
      <c r="E554" s="38" t="s">
        <v>26</v>
      </c>
      <c r="F554" s="38" t="s">
        <v>22</v>
      </c>
      <c r="G554" s="38" t="s">
        <v>11</v>
      </c>
      <c r="H554" s="38" t="s">
        <v>15</v>
      </c>
      <c r="I554" s="157">
        <v>407</v>
      </c>
      <c r="J554" t="s">
        <v>4035</v>
      </c>
    </row>
    <row r="555" spans="1:10" x14ac:dyDescent="0.25">
      <c r="A555" s="37" t="str">
        <f>C555&amp;"-"&amp;D555&amp;"-"&amp;E555&amp;"-"&amp;F555&amp;"-"&amp;CATALOGO[[#This Row],[Sub cuenta 3]]</f>
        <v>E-17-04-04-00</v>
      </c>
      <c r="B555" s="37" t="s">
        <v>498</v>
      </c>
      <c r="C555" s="37" t="s">
        <v>114</v>
      </c>
      <c r="D555" s="38" t="s">
        <v>462</v>
      </c>
      <c r="E555" s="38" t="s">
        <v>26</v>
      </c>
      <c r="F555" s="38" t="s">
        <v>26</v>
      </c>
      <c r="G555" s="38" t="s">
        <v>11</v>
      </c>
      <c r="H555" s="38" t="s">
        <v>15</v>
      </c>
      <c r="I555" s="157">
        <v>407</v>
      </c>
      <c r="J555" t="s">
        <v>4035</v>
      </c>
    </row>
    <row r="556" spans="1:10" x14ac:dyDescent="0.25">
      <c r="A556" s="37" t="str">
        <f>C556&amp;"-"&amp;D556&amp;"-"&amp;E556&amp;"-"&amp;F556&amp;"-"&amp;CATALOGO[[#This Row],[Sub cuenta 3]]</f>
        <v>E-17-05-00-00</v>
      </c>
      <c r="B556" s="37" t="s">
        <v>499</v>
      </c>
      <c r="C556" s="37" t="s">
        <v>114</v>
      </c>
      <c r="D556" s="38" t="s">
        <v>462</v>
      </c>
      <c r="E556" s="38" t="s">
        <v>62</v>
      </c>
      <c r="F556" s="38" t="s">
        <v>11</v>
      </c>
      <c r="G556" s="38" t="s">
        <v>11</v>
      </c>
      <c r="H556" s="38" t="s">
        <v>12</v>
      </c>
      <c r="I556" s="157">
        <v>407</v>
      </c>
      <c r="J556" t="s">
        <v>4035</v>
      </c>
    </row>
    <row r="557" spans="1:10" x14ac:dyDescent="0.25">
      <c r="A557" s="37" t="str">
        <f>C557&amp;"-"&amp;D557&amp;"-"&amp;E557&amp;"-"&amp;F557&amp;"-"&amp;CATALOGO[[#This Row],[Sub cuenta 3]]</f>
        <v>E-17-05-01-00</v>
      </c>
      <c r="B557" s="37" t="s">
        <v>500</v>
      </c>
      <c r="C557" s="37" t="s">
        <v>114</v>
      </c>
      <c r="D557" s="38" t="s">
        <v>462</v>
      </c>
      <c r="E557" s="38" t="s">
        <v>62</v>
      </c>
      <c r="F557" s="38" t="s">
        <v>10</v>
      </c>
      <c r="G557" s="38" t="s">
        <v>11</v>
      </c>
      <c r="H557" s="38" t="s">
        <v>15</v>
      </c>
      <c r="I557" s="157">
        <v>407</v>
      </c>
      <c r="J557" t="s">
        <v>4035</v>
      </c>
    </row>
    <row r="558" spans="1:10" x14ac:dyDescent="0.25">
      <c r="A558" s="37" t="str">
        <f>C558&amp;"-"&amp;D558&amp;"-"&amp;E558&amp;"-"&amp;F558&amp;"-"&amp;CATALOGO[[#This Row],[Sub cuenta 3]]</f>
        <v>E-17-05-02-00</v>
      </c>
      <c r="B558" s="37" t="s">
        <v>501</v>
      </c>
      <c r="C558" s="37" t="s">
        <v>114</v>
      </c>
      <c r="D558" s="38" t="s">
        <v>462</v>
      </c>
      <c r="E558" s="38" t="s">
        <v>62</v>
      </c>
      <c r="F558" s="38" t="s">
        <v>17</v>
      </c>
      <c r="G558" s="38" t="s">
        <v>11</v>
      </c>
      <c r="H558" s="38" t="s">
        <v>15</v>
      </c>
      <c r="I558" s="157">
        <v>407</v>
      </c>
      <c r="J558" t="s">
        <v>4035</v>
      </c>
    </row>
    <row r="559" spans="1:10" x14ac:dyDescent="0.25">
      <c r="A559" s="37" t="str">
        <f>C559&amp;"-"&amp;D559&amp;"-"&amp;E559&amp;"-"&amp;F559&amp;"-"&amp;CATALOGO[[#This Row],[Sub cuenta 3]]</f>
        <v>E-17-06-00-00</v>
      </c>
      <c r="B559" s="37" t="s">
        <v>502</v>
      </c>
      <c r="C559" s="37" t="s">
        <v>114</v>
      </c>
      <c r="D559" s="38" t="s">
        <v>462</v>
      </c>
      <c r="E559" s="38" t="s">
        <v>73</v>
      </c>
      <c r="F559" s="38" t="s">
        <v>11</v>
      </c>
      <c r="G559" s="38" t="s">
        <v>11</v>
      </c>
      <c r="H559" s="38" t="s">
        <v>15</v>
      </c>
      <c r="I559" s="157">
        <v>407</v>
      </c>
      <c r="J559" t="s">
        <v>4035</v>
      </c>
    </row>
    <row r="560" spans="1:10" x14ac:dyDescent="0.25">
      <c r="A560" s="37" t="str">
        <f>C560&amp;"-"&amp;D560&amp;"-"&amp;E560&amp;"-"&amp;F560&amp;"-"&amp;CATALOGO[[#This Row],[Sub cuenta 3]]</f>
        <v>E-17-07-00-00</v>
      </c>
      <c r="B560" s="37" t="s">
        <v>503</v>
      </c>
      <c r="C560" s="37" t="s">
        <v>114</v>
      </c>
      <c r="D560" s="38" t="s">
        <v>462</v>
      </c>
      <c r="E560" s="38" t="s">
        <v>75</v>
      </c>
      <c r="F560" s="38" t="s">
        <v>11</v>
      </c>
      <c r="G560" s="38" t="s">
        <v>11</v>
      </c>
      <c r="H560" s="38" t="s">
        <v>15</v>
      </c>
      <c r="I560" s="157">
        <v>407</v>
      </c>
      <c r="J560" t="s">
        <v>4035</v>
      </c>
    </row>
    <row r="561" spans="1:10" x14ac:dyDescent="0.25">
      <c r="A561" s="35" t="str">
        <f>C561&amp;"-"&amp;D561&amp;"-"&amp;E561&amp;"-"&amp;F561&amp;"-"&amp;CATALOGO[[#This Row],[Sub cuenta 3]]</f>
        <v>E-18-00-00-00</v>
      </c>
      <c r="B561" s="35" t="s">
        <v>504</v>
      </c>
      <c r="C561" s="37" t="s">
        <v>114</v>
      </c>
      <c r="D561" s="38" t="s">
        <v>482</v>
      </c>
      <c r="E561" s="38" t="s">
        <v>11</v>
      </c>
      <c r="F561" s="38" t="s">
        <v>11</v>
      </c>
      <c r="G561" s="36" t="s">
        <v>11</v>
      </c>
      <c r="H561" s="38" t="s">
        <v>12</v>
      </c>
      <c r="I561" s="157">
        <v>407</v>
      </c>
      <c r="J561" t="s">
        <v>4035</v>
      </c>
    </row>
    <row r="562" spans="1:10" x14ac:dyDescent="0.25">
      <c r="A562" s="37" t="str">
        <f>C562&amp;"-"&amp;D562&amp;"-"&amp;E562&amp;"-"&amp;F562&amp;"-"&amp;CATALOGO[[#This Row],[Sub cuenta 3]]</f>
        <v>E-18-01-00-00</v>
      </c>
      <c r="B562" s="37" t="s">
        <v>505</v>
      </c>
      <c r="C562" s="37" t="s">
        <v>114</v>
      </c>
      <c r="D562" s="38" t="s">
        <v>482</v>
      </c>
      <c r="E562" s="38" t="s">
        <v>10</v>
      </c>
      <c r="F562" s="38" t="s">
        <v>11</v>
      </c>
      <c r="G562" s="36" t="s">
        <v>11</v>
      </c>
      <c r="H562" s="38" t="s">
        <v>15</v>
      </c>
      <c r="I562" s="157">
        <v>407</v>
      </c>
      <c r="J562" t="s">
        <v>4035</v>
      </c>
    </row>
    <row r="563" spans="1:10" x14ac:dyDescent="0.25">
      <c r="A563" s="37" t="str">
        <f>C563&amp;"-"&amp;D563&amp;"-"&amp;E563&amp;"-"&amp;F563&amp;"-"&amp;CATALOGO[[#This Row],[Sub cuenta 3]]</f>
        <v>E-18-02-00-00</v>
      </c>
      <c r="B563" s="37" t="s">
        <v>506</v>
      </c>
      <c r="C563" s="37" t="s">
        <v>114</v>
      </c>
      <c r="D563" s="38" t="s">
        <v>482</v>
      </c>
      <c r="E563" s="38" t="s">
        <v>17</v>
      </c>
      <c r="F563" s="38" t="s">
        <v>11</v>
      </c>
      <c r="G563" s="36" t="s">
        <v>11</v>
      </c>
      <c r="H563" s="38" t="s">
        <v>12</v>
      </c>
      <c r="I563" s="157">
        <v>407</v>
      </c>
      <c r="J563" t="s">
        <v>4035</v>
      </c>
    </row>
    <row r="564" spans="1:10" x14ac:dyDescent="0.25">
      <c r="A564" s="37" t="str">
        <f>C564&amp;"-"&amp;D564&amp;"-"&amp;E564&amp;"-"&amp;F564&amp;"-"&amp;CATALOGO[[#This Row],[Sub cuenta 3]]</f>
        <v>E-18-02-01-00</v>
      </c>
      <c r="B564" s="37" t="s">
        <v>507</v>
      </c>
      <c r="C564" s="37" t="s">
        <v>114</v>
      </c>
      <c r="D564" s="38" t="s">
        <v>482</v>
      </c>
      <c r="E564" s="38" t="s">
        <v>17</v>
      </c>
      <c r="F564" s="38" t="s">
        <v>10</v>
      </c>
      <c r="G564" s="36" t="s">
        <v>11</v>
      </c>
      <c r="H564" s="38" t="s">
        <v>15</v>
      </c>
      <c r="I564" s="157">
        <v>407</v>
      </c>
      <c r="J564" t="s">
        <v>4035</v>
      </c>
    </row>
    <row r="565" spans="1:10" x14ac:dyDescent="0.25">
      <c r="A565" s="37" t="str">
        <f>C565&amp;"-"&amp;D565&amp;"-"&amp;E565&amp;"-"&amp;F565&amp;"-"&amp;CATALOGO[[#This Row],[Sub cuenta 3]]</f>
        <v>E-18-02-02-00</v>
      </c>
      <c r="B565" s="37" t="s">
        <v>508</v>
      </c>
      <c r="C565" s="37" t="s">
        <v>114</v>
      </c>
      <c r="D565" s="38" t="s">
        <v>482</v>
      </c>
      <c r="E565" s="38" t="s">
        <v>17</v>
      </c>
      <c r="F565" s="38" t="s">
        <v>17</v>
      </c>
      <c r="G565" s="36" t="s">
        <v>11</v>
      </c>
      <c r="H565" s="38" t="s">
        <v>15</v>
      </c>
      <c r="I565" s="157">
        <v>407</v>
      </c>
      <c r="J565" t="s">
        <v>4035</v>
      </c>
    </row>
    <row r="566" spans="1:10" x14ac:dyDescent="0.25">
      <c r="A566" s="37" t="str">
        <f>C566&amp;"-"&amp;D566&amp;"-"&amp;E566&amp;"-"&amp;F566&amp;"-"&amp;CATALOGO[[#This Row],[Sub cuenta 3]]</f>
        <v>E-18-02-03-00</v>
      </c>
      <c r="B566" s="37" t="s">
        <v>509</v>
      </c>
      <c r="C566" s="37" t="s">
        <v>114</v>
      </c>
      <c r="D566" s="38" t="s">
        <v>482</v>
      </c>
      <c r="E566" s="38" t="s">
        <v>17</v>
      </c>
      <c r="F566" s="38" t="s">
        <v>22</v>
      </c>
      <c r="G566" s="36" t="s">
        <v>11</v>
      </c>
      <c r="H566" s="38" t="s">
        <v>15</v>
      </c>
      <c r="I566" s="157">
        <v>407</v>
      </c>
      <c r="J566" t="s">
        <v>4035</v>
      </c>
    </row>
    <row r="567" spans="1:10" x14ac:dyDescent="0.25">
      <c r="A567" s="37" t="str">
        <f>C567&amp;"-"&amp;D567&amp;"-"&amp;E567&amp;"-"&amp;F567&amp;"-"&amp;CATALOGO[[#This Row],[Sub cuenta 3]]</f>
        <v>E-18-02-04-00</v>
      </c>
      <c r="B567" s="37" t="s">
        <v>510</v>
      </c>
      <c r="C567" s="37" t="s">
        <v>114</v>
      </c>
      <c r="D567" s="38" t="s">
        <v>482</v>
      </c>
      <c r="E567" s="38" t="s">
        <v>17</v>
      </c>
      <c r="F567" s="38" t="s">
        <v>26</v>
      </c>
      <c r="G567" s="36" t="s">
        <v>11</v>
      </c>
      <c r="H567" s="38" t="s">
        <v>15</v>
      </c>
      <c r="I567" s="157">
        <v>407</v>
      </c>
      <c r="J567" t="s">
        <v>4035</v>
      </c>
    </row>
    <row r="568" spans="1:10" x14ac:dyDescent="0.25">
      <c r="A568" s="135" t="str">
        <f>C568&amp;"-"&amp;D568&amp;"-"&amp;E568&amp;"-"&amp;F568&amp;"-"&amp;CATALOGO[[#This Row],[Sub cuenta 3]]</f>
        <v>E-18-02-05-00</v>
      </c>
      <c r="B568" s="135" t="s">
        <v>511</v>
      </c>
      <c r="C568" s="37" t="s">
        <v>114</v>
      </c>
      <c r="D568" s="38" t="s">
        <v>482</v>
      </c>
      <c r="E568" s="38" t="s">
        <v>17</v>
      </c>
      <c r="F568" s="38" t="s">
        <v>62</v>
      </c>
      <c r="G568" s="36" t="s">
        <v>11</v>
      </c>
      <c r="H568" s="38" t="s">
        <v>15</v>
      </c>
      <c r="I568" s="157">
        <v>407</v>
      </c>
      <c r="J568" t="s">
        <v>4035</v>
      </c>
    </row>
    <row r="569" spans="1:10" x14ac:dyDescent="0.25">
      <c r="A569" s="135" t="str">
        <f>C569&amp;"-"&amp;D569&amp;"-"&amp;E569&amp;"-"&amp;F569&amp;"-"&amp;CATALOGO[[#This Row],[Sub cuenta 3]]</f>
        <v>E-18-02-06-00</v>
      </c>
      <c r="B569" s="135" t="s">
        <v>512</v>
      </c>
      <c r="C569" s="37" t="s">
        <v>114</v>
      </c>
      <c r="D569" s="38" t="s">
        <v>482</v>
      </c>
      <c r="E569" s="38" t="s">
        <v>17</v>
      </c>
      <c r="F569" s="38" t="s">
        <v>73</v>
      </c>
      <c r="G569" s="36" t="s">
        <v>11</v>
      </c>
      <c r="H569" s="38" t="s">
        <v>15</v>
      </c>
      <c r="I569" s="157">
        <v>407</v>
      </c>
      <c r="J569" t="s">
        <v>4035</v>
      </c>
    </row>
    <row r="570" spans="1:10" x14ac:dyDescent="0.25">
      <c r="A570" s="37" t="str">
        <f>C570&amp;"-"&amp;D570&amp;"-"&amp;E570&amp;"-"&amp;F570&amp;"-"&amp;CATALOGO[[#This Row],[Sub cuenta 3]]</f>
        <v>E-18-03-00-00</v>
      </c>
      <c r="B570" s="37" t="s">
        <v>513</v>
      </c>
      <c r="C570" s="37" t="s">
        <v>114</v>
      </c>
      <c r="D570" s="38" t="s">
        <v>482</v>
      </c>
      <c r="E570" s="38" t="s">
        <v>22</v>
      </c>
      <c r="F570" s="38" t="s">
        <v>11</v>
      </c>
      <c r="G570" s="36" t="s">
        <v>11</v>
      </c>
      <c r="H570" s="38" t="s">
        <v>15</v>
      </c>
      <c r="I570" s="157">
        <v>407</v>
      </c>
      <c r="J570" t="s">
        <v>4035</v>
      </c>
    </row>
    <row r="571" spans="1:10" x14ac:dyDescent="0.25">
      <c r="A571" s="37" t="str">
        <f>C571&amp;"-"&amp;D571&amp;"-"&amp;E571&amp;"-"&amp;F571&amp;"-"&amp;CATALOGO[[#This Row],[Sub cuenta 3]]</f>
        <v>E-18-04-00-00</v>
      </c>
      <c r="B571" s="37" t="s">
        <v>514</v>
      </c>
      <c r="C571" s="37" t="s">
        <v>114</v>
      </c>
      <c r="D571" s="38" t="s">
        <v>482</v>
      </c>
      <c r="E571" s="38" t="s">
        <v>26</v>
      </c>
      <c r="F571" s="38" t="s">
        <v>11</v>
      </c>
      <c r="G571" s="36" t="s">
        <v>11</v>
      </c>
      <c r="H571" s="38" t="s">
        <v>12</v>
      </c>
      <c r="I571" s="157">
        <v>407</v>
      </c>
      <c r="J571" t="s">
        <v>4035</v>
      </c>
    </row>
    <row r="572" spans="1:10" x14ac:dyDescent="0.25">
      <c r="A572" s="37" t="str">
        <f>C572&amp;"-"&amp;D572&amp;"-"&amp;E572&amp;"-"&amp;F572&amp;"-"&amp;CATALOGO[[#This Row],[Sub cuenta 3]]</f>
        <v>E-18-04-01-00</v>
      </c>
      <c r="B572" s="37" t="s">
        <v>515</v>
      </c>
      <c r="C572" s="37" t="s">
        <v>114</v>
      </c>
      <c r="D572" s="38" t="s">
        <v>482</v>
      </c>
      <c r="E572" s="38" t="s">
        <v>26</v>
      </c>
      <c r="F572" s="38" t="s">
        <v>10</v>
      </c>
      <c r="G572" s="36" t="s">
        <v>11</v>
      </c>
      <c r="H572" s="38" t="s">
        <v>15</v>
      </c>
      <c r="I572" s="157">
        <v>407</v>
      </c>
      <c r="J572" t="s">
        <v>4035</v>
      </c>
    </row>
    <row r="573" spans="1:10" x14ac:dyDescent="0.25">
      <c r="A573" s="37" t="str">
        <f>C573&amp;"-"&amp;D573&amp;"-"&amp;E573&amp;"-"&amp;F573&amp;"-"&amp;CATALOGO[[#This Row],[Sub cuenta 3]]</f>
        <v>E-18-04-02-00</v>
      </c>
      <c r="B573" s="37" t="s">
        <v>516</v>
      </c>
      <c r="C573" s="37" t="s">
        <v>114</v>
      </c>
      <c r="D573" s="38" t="s">
        <v>482</v>
      </c>
      <c r="E573" s="38" t="s">
        <v>26</v>
      </c>
      <c r="F573" s="38" t="s">
        <v>17</v>
      </c>
      <c r="G573" s="36" t="s">
        <v>11</v>
      </c>
      <c r="H573" s="38" t="s">
        <v>15</v>
      </c>
      <c r="I573" s="157">
        <v>407</v>
      </c>
      <c r="J573" t="s">
        <v>4035</v>
      </c>
    </row>
    <row r="574" spans="1:10" x14ac:dyDescent="0.25">
      <c r="A574" s="37" t="str">
        <f>C574&amp;"-"&amp;D574&amp;"-"&amp;E574&amp;"-"&amp;F574&amp;"-"&amp;CATALOGO[[#This Row],[Sub cuenta 3]]</f>
        <v>E-18-04-03-00</v>
      </c>
      <c r="B574" s="37" t="s">
        <v>517</v>
      </c>
      <c r="C574" s="37" t="s">
        <v>114</v>
      </c>
      <c r="D574" s="38" t="s">
        <v>482</v>
      </c>
      <c r="E574" s="38" t="s">
        <v>26</v>
      </c>
      <c r="F574" s="38" t="s">
        <v>22</v>
      </c>
      <c r="G574" s="36" t="s">
        <v>11</v>
      </c>
      <c r="H574" s="38" t="s">
        <v>15</v>
      </c>
      <c r="I574" s="157">
        <v>407</v>
      </c>
      <c r="J574" t="s">
        <v>4035</v>
      </c>
    </row>
    <row r="575" spans="1:10" x14ac:dyDescent="0.25">
      <c r="A575" s="37" t="str">
        <f>C575&amp;"-"&amp;D575&amp;"-"&amp;E575&amp;"-"&amp;F575&amp;"-"&amp;CATALOGO[[#This Row],[Sub cuenta 3]]</f>
        <v>E-18-04-04-00</v>
      </c>
      <c r="B575" s="37" t="s">
        <v>518</v>
      </c>
      <c r="C575" s="37" t="s">
        <v>114</v>
      </c>
      <c r="D575" s="38" t="s">
        <v>482</v>
      </c>
      <c r="E575" s="38" t="s">
        <v>26</v>
      </c>
      <c r="F575" s="38" t="s">
        <v>26</v>
      </c>
      <c r="G575" s="36" t="s">
        <v>11</v>
      </c>
      <c r="H575" s="38" t="s">
        <v>15</v>
      </c>
      <c r="I575" s="157">
        <v>407</v>
      </c>
      <c r="J575" t="s">
        <v>4035</v>
      </c>
    </row>
    <row r="576" spans="1:10" x14ac:dyDescent="0.25">
      <c r="A576" s="37" t="str">
        <f>C576&amp;"-"&amp;D576&amp;"-"&amp;E576&amp;"-"&amp;F576&amp;"-"&amp;CATALOGO[[#This Row],[Sub cuenta 3]]</f>
        <v>E-18-04-05-00</v>
      </c>
      <c r="B576" s="37" t="s">
        <v>519</v>
      </c>
      <c r="C576" s="37" t="s">
        <v>114</v>
      </c>
      <c r="D576" s="38" t="s">
        <v>482</v>
      </c>
      <c r="E576" s="38" t="s">
        <v>26</v>
      </c>
      <c r="F576" s="38" t="s">
        <v>62</v>
      </c>
      <c r="G576" s="36" t="s">
        <v>11</v>
      </c>
      <c r="H576" s="38" t="s">
        <v>15</v>
      </c>
      <c r="I576" s="157">
        <v>407</v>
      </c>
      <c r="J576" t="s">
        <v>4035</v>
      </c>
    </row>
    <row r="577" spans="1:10" x14ac:dyDescent="0.25">
      <c r="A577" s="37" t="str">
        <f>C577&amp;"-"&amp;D577&amp;"-"&amp;E577&amp;"-"&amp;F577&amp;"-"&amp;CATALOGO[[#This Row],[Sub cuenta 3]]</f>
        <v>E-18-04-06-00</v>
      </c>
      <c r="B577" s="37" t="s">
        <v>520</v>
      </c>
      <c r="C577" s="37" t="s">
        <v>114</v>
      </c>
      <c r="D577" s="38" t="s">
        <v>482</v>
      </c>
      <c r="E577" s="38" t="s">
        <v>26</v>
      </c>
      <c r="F577" s="38" t="s">
        <v>73</v>
      </c>
      <c r="G577" s="36" t="s">
        <v>11</v>
      </c>
      <c r="H577" s="38" t="s">
        <v>15</v>
      </c>
      <c r="I577" s="157">
        <v>407</v>
      </c>
      <c r="J577" t="s">
        <v>4035</v>
      </c>
    </row>
    <row r="578" spans="1:10" x14ac:dyDescent="0.25">
      <c r="A578" s="37" t="str">
        <f>C578&amp;"-"&amp;D578&amp;"-"&amp;E578&amp;"-"&amp;F578&amp;"-"&amp;CATALOGO[[#This Row],[Sub cuenta 3]]</f>
        <v>E-18-04-07-00</v>
      </c>
      <c r="B578" s="37" t="s">
        <v>521</v>
      </c>
      <c r="C578" s="37" t="s">
        <v>114</v>
      </c>
      <c r="D578" s="38" t="s">
        <v>482</v>
      </c>
      <c r="E578" s="38" t="s">
        <v>26</v>
      </c>
      <c r="F578" s="38" t="s">
        <v>75</v>
      </c>
      <c r="G578" s="36" t="s">
        <v>11</v>
      </c>
      <c r="H578" s="38" t="s">
        <v>15</v>
      </c>
      <c r="I578" s="157">
        <v>407</v>
      </c>
      <c r="J578" t="s">
        <v>4035</v>
      </c>
    </row>
    <row r="579" spans="1:10" x14ac:dyDescent="0.25">
      <c r="A579" s="37" t="str">
        <f>C579&amp;"-"&amp;D579&amp;"-"&amp;E579&amp;"-"&amp;F579&amp;"-"&amp;CATALOGO[[#This Row],[Sub cuenta 3]]</f>
        <v>E-18-04-08-00</v>
      </c>
      <c r="B579" s="37" t="s">
        <v>522</v>
      </c>
      <c r="C579" s="37" t="s">
        <v>114</v>
      </c>
      <c r="D579" s="38" t="s">
        <v>482</v>
      </c>
      <c r="E579" s="38" t="s">
        <v>26</v>
      </c>
      <c r="F579" s="38" t="s">
        <v>77</v>
      </c>
      <c r="G579" s="36" t="s">
        <v>11</v>
      </c>
      <c r="H579" s="38" t="s">
        <v>15</v>
      </c>
      <c r="I579" s="157">
        <v>407</v>
      </c>
      <c r="J579" t="s">
        <v>4035</v>
      </c>
    </row>
    <row r="580" spans="1:10" x14ac:dyDescent="0.25">
      <c r="A580" s="37" t="str">
        <f>C580&amp;"-"&amp;D580&amp;"-"&amp;E580&amp;"-"&amp;F580&amp;"-"&amp;CATALOGO[[#This Row],[Sub cuenta 3]]</f>
        <v>E-18-05-00-00</v>
      </c>
      <c r="B580" s="37" t="s">
        <v>523</v>
      </c>
      <c r="C580" s="37" t="s">
        <v>114</v>
      </c>
      <c r="D580" s="38" t="s">
        <v>482</v>
      </c>
      <c r="E580" s="38" t="s">
        <v>62</v>
      </c>
      <c r="F580" s="38" t="s">
        <v>11</v>
      </c>
      <c r="G580" s="36" t="s">
        <v>11</v>
      </c>
      <c r="H580" s="38" t="s">
        <v>15</v>
      </c>
      <c r="I580" s="157">
        <v>407</v>
      </c>
      <c r="J580" t="s">
        <v>4035</v>
      </c>
    </row>
    <row r="581" spans="1:10" x14ac:dyDescent="0.25">
      <c r="A581" s="135" t="str">
        <f>C581&amp;"-"&amp;D581&amp;"-"&amp;E581&amp;"-"&amp;F581&amp;"-"&amp;CATALOGO[[#This Row],[Sub cuenta 3]]</f>
        <v>E-18-06-00-00</v>
      </c>
      <c r="B581" s="37" t="s">
        <v>493</v>
      </c>
      <c r="C581" s="37" t="s">
        <v>114</v>
      </c>
      <c r="D581" s="38" t="s">
        <v>482</v>
      </c>
      <c r="E581" s="38" t="s">
        <v>73</v>
      </c>
      <c r="F581" s="38" t="s">
        <v>11</v>
      </c>
      <c r="G581" s="36" t="s">
        <v>11</v>
      </c>
      <c r="H581" s="38" t="s">
        <v>12</v>
      </c>
      <c r="I581" s="157">
        <v>407</v>
      </c>
      <c r="J581" t="s">
        <v>4035</v>
      </c>
    </row>
    <row r="582" spans="1:10" x14ac:dyDescent="0.25">
      <c r="A582" s="135" t="str">
        <f>C582&amp;"-"&amp;D582&amp;"-"&amp;E582&amp;"-"&amp;F582&amp;"-"&amp;CATALOGO[[#This Row],[Sub cuenta 3]]</f>
        <v>E-18-06-01-00</v>
      </c>
      <c r="B582" s="37" t="s">
        <v>524</v>
      </c>
      <c r="C582" s="37" t="s">
        <v>114</v>
      </c>
      <c r="D582" s="38" t="s">
        <v>482</v>
      </c>
      <c r="E582" s="38" t="s">
        <v>73</v>
      </c>
      <c r="F582" s="38" t="s">
        <v>10</v>
      </c>
      <c r="G582" s="36" t="s">
        <v>11</v>
      </c>
      <c r="H582" s="38" t="s">
        <v>15</v>
      </c>
      <c r="I582" s="157">
        <v>407</v>
      </c>
      <c r="J582" t="s">
        <v>4035</v>
      </c>
    </row>
    <row r="583" spans="1:10" x14ac:dyDescent="0.25">
      <c r="A583" s="135" t="str">
        <f>C583&amp;"-"&amp;D583&amp;"-"&amp;E583&amp;"-"&amp;F583&amp;"-"&amp;CATALOGO[[#This Row],[Sub cuenta 3]]</f>
        <v>E-18-06-02-00</v>
      </c>
      <c r="B583" s="37" t="s">
        <v>525</v>
      </c>
      <c r="C583" s="37" t="s">
        <v>114</v>
      </c>
      <c r="D583" s="38" t="s">
        <v>482</v>
      </c>
      <c r="E583" s="38" t="s">
        <v>73</v>
      </c>
      <c r="F583" s="38" t="s">
        <v>17</v>
      </c>
      <c r="G583" s="36" t="s">
        <v>11</v>
      </c>
      <c r="H583" s="38" t="s">
        <v>15</v>
      </c>
      <c r="I583" s="157">
        <v>407</v>
      </c>
      <c r="J583" t="s">
        <v>4035</v>
      </c>
    </row>
    <row r="584" spans="1:10" x14ac:dyDescent="0.25">
      <c r="A584" s="135" t="str">
        <f>C584&amp;"-"&amp;D584&amp;"-"&amp;E584&amp;"-"&amp;F584&amp;"-"&amp;CATALOGO[[#This Row],[Sub cuenta 3]]</f>
        <v>E-18-06-03-00</v>
      </c>
      <c r="B584" s="37" t="s">
        <v>526</v>
      </c>
      <c r="C584" s="37" t="s">
        <v>114</v>
      </c>
      <c r="D584" s="38" t="s">
        <v>482</v>
      </c>
      <c r="E584" s="38" t="s">
        <v>73</v>
      </c>
      <c r="F584" s="38" t="s">
        <v>22</v>
      </c>
      <c r="G584" s="36" t="s">
        <v>11</v>
      </c>
      <c r="H584" s="38" t="s">
        <v>15</v>
      </c>
      <c r="I584" s="157">
        <v>407</v>
      </c>
      <c r="J584" t="s">
        <v>4035</v>
      </c>
    </row>
    <row r="585" spans="1:10" x14ac:dyDescent="0.25">
      <c r="A585" s="135" t="str">
        <f>C585&amp;"-"&amp;D585&amp;"-"&amp;E585&amp;"-"&amp;F585&amp;"-"&amp;CATALOGO[[#This Row],[Sub cuenta 3]]</f>
        <v>E-18-06-04-00</v>
      </c>
      <c r="B585" s="37" t="s">
        <v>527</v>
      </c>
      <c r="C585" s="37" t="s">
        <v>114</v>
      </c>
      <c r="D585" s="38" t="s">
        <v>482</v>
      </c>
      <c r="E585" s="38" t="s">
        <v>73</v>
      </c>
      <c r="F585" s="38" t="s">
        <v>26</v>
      </c>
      <c r="G585" s="36" t="s">
        <v>11</v>
      </c>
      <c r="H585" s="38" t="s">
        <v>15</v>
      </c>
      <c r="I585" s="157">
        <v>407</v>
      </c>
      <c r="J585" t="s">
        <v>4035</v>
      </c>
    </row>
    <row r="586" spans="1:10" x14ac:dyDescent="0.25">
      <c r="A586" s="135" t="str">
        <f>C586&amp;"-"&amp;D586&amp;"-"&amp;E586&amp;"-"&amp;F586&amp;"-"&amp;CATALOGO[[#This Row],[Sub cuenta 3]]</f>
        <v>E-18-06-05-00</v>
      </c>
      <c r="B586" s="37" t="s">
        <v>528</v>
      </c>
      <c r="C586" s="37" t="s">
        <v>114</v>
      </c>
      <c r="D586" s="38" t="s">
        <v>482</v>
      </c>
      <c r="E586" s="38" t="s">
        <v>73</v>
      </c>
      <c r="F586" s="38" t="s">
        <v>62</v>
      </c>
      <c r="G586" s="36" t="s">
        <v>11</v>
      </c>
      <c r="H586" s="38" t="s">
        <v>15</v>
      </c>
      <c r="I586" s="157">
        <v>407</v>
      </c>
      <c r="J586" t="s">
        <v>4035</v>
      </c>
    </row>
    <row r="587" spans="1:10" x14ac:dyDescent="0.25">
      <c r="A587" s="39" t="str">
        <f>C587&amp;"-"&amp;D587&amp;"-"&amp;E587&amp;"-"&amp;F587&amp;"-"&amp;CATALOGO[[#This Row],[Sub cuenta 3]]</f>
        <v>E-19-00-00-00</v>
      </c>
      <c r="B587" s="7" t="s">
        <v>323</v>
      </c>
      <c r="C587" s="37" t="s">
        <v>114</v>
      </c>
      <c r="D587" s="38" t="s">
        <v>484</v>
      </c>
      <c r="E587" s="38" t="s">
        <v>11</v>
      </c>
      <c r="F587" s="38" t="s">
        <v>11</v>
      </c>
      <c r="G587" s="38" t="s">
        <v>11</v>
      </c>
      <c r="H587" s="38" t="s">
        <v>12</v>
      </c>
      <c r="I587" s="157">
        <v>407</v>
      </c>
      <c r="J587" t="s">
        <v>4035</v>
      </c>
    </row>
    <row r="588" spans="1:10" x14ac:dyDescent="0.25">
      <c r="A588" s="37" t="str">
        <f>C588&amp;"-"&amp;D588&amp;"-"&amp;E588&amp;"-"&amp;F588&amp;"-"&amp;CATALOGO[[#This Row],[Sub cuenta 3]]</f>
        <v>E-19-01-00-00</v>
      </c>
      <c r="B588" s="37" t="s">
        <v>529</v>
      </c>
      <c r="C588" s="37" t="s">
        <v>114</v>
      </c>
      <c r="D588" s="38" t="s">
        <v>484</v>
      </c>
      <c r="E588" s="38" t="s">
        <v>10</v>
      </c>
      <c r="F588" s="38" t="s">
        <v>11</v>
      </c>
      <c r="G588" s="38" t="s">
        <v>11</v>
      </c>
      <c r="H588" s="38" t="s">
        <v>12</v>
      </c>
      <c r="I588" s="157">
        <v>407</v>
      </c>
      <c r="J588" t="s">
        <v>4035</v>
      </c>
    </row>
    <row r="589" spans="1:10" x14ac:dyDescent="0.25">
      <c r="A589" s="37" t="str">
        <f>C589&amp;"-"&amp;D589&amp;"-"&amp;E589&amp;"-"&amp;F589&amp;"-"&amp;CATALOGO[[#This Row],[Sub cuenta 3]]</f>
        <v>E-19-01-01-00</v>
      </c>
      <c r="B589" s="37" t="s">
        <v>530</v>
      </c>
      <c r="C589" s="37" t="s">
        <v>114</v>
      </c>
      <c r="D589" s="38" t="s">
        <v>484</v>
      </c>
      <c r="E589" s="38" t="s">
        <v>10</v>
      </c>
      <c r="F589" s="38" t="s">
        <v>10</v>
      </c>
      <c r="G589" s="38" t="s">
        <v>11</v>
      </c>
      <c r="H589" s="38" t="s">
        <v>12</v>
      </c>
      <c r="I589" s="157">
        <v>407</v>
      </c>
      <c r="J589" t="s">
        <v>4035</v>
      </c>
    </row>
    <row r="590" spans="1:10" x14ac:dyDescent="0.25">
      <c r="A590" s="37" t="str">
        <f>C590&amp;"-"&amp;D590&amp;"-"&amp;E590&amp;"-"&amp;F590&amp;"-"&amp;CATALOGO[[#This Row],[Sub cuenta 3]]</f>
        <v>E-19-01-01-01</v>
      </c>
      <c r="B590" s="37" t="s">
        <v>531</v>
      </c>
      <c r="C590" s="37" t="s">
        <v>114</v>
      </c>
      <c r="D590" s="38" t="s">
        <v>484</v>
      </c>
      <c r="E590" s="38" t="s">
        <v>10</v>
      </c>
      <c r="F590" s="38" t="s">
        <v>10</v>
      </c>
      <c r="G590" s="38" t="s">
        <v>10</v>
      </c>
      <c r="H590" s="38" t="s">
        <v>15</v>
      </c>
      <c r="I590" s="157">
        <v>407</v>
      </c>
      <c r="J590" t="s">
        <v>4035</v>
      </c>
    </row>
    <row r="591" spans="1:10" x14ac:dyDescent="0.25">
      <c r="A591" s="37" t="str">
        <f>C591&amp;"-"&amp;D591&amp;"-"&amp;E591&amp;"-"&amp;F591&amp;"-"&amp;CATALOGO[[#This Row],[Sub cuenta 3]]</f>
        <v>E-19-01-01-02</v>
      </c>
      <c r="B591" s="37" t="s">
        <v>532</v>
      </c>
      <c r="C591" s="37" t="s">
        <v>114</v>
      </c>
      <c r="D591" s="38" t="s">
        <v>484</v>
      </c>
      <c r="E591" s="38" t="s">
        <v>10</v>
      </c>
      <c r="F591" s="38" t="s">
        <v>10</v>
      </c>
      <c r="G591" s="38" t="s">
        <v>17</v>
      </c>
      <c r="H591" s="38" t="s">
        <v>15</v>
      </c>
      <c r="I591" s="157">
        <v>407</v>
      </c>
      <c r="J591" t="s">
        <v>4035</v>
      </c>
    </row>
    <row r="592" spans="1:10" x14ac:dyDescent="0.25">
      <c r="A592" s="37" t="str">
        <f>C592&amp;"-"&amp;D592&amp;"-"&amp;E592&amp;"-"&amp;F592&amp;"-"&amp;CATALOGO[[#This Row],[Sub cuenta 3]]</f>
        <v>E-19-01-02-00</v>
      </c>
      <c r="B592" s="37" t="s">
        <v>533</v>
      </c>
      <c r="C592" s="37" t="s">
        <v>114</v>
      </c>
      <c r="D592" s="38" t="s">
        <v>484</v>
      </c>
      <c r="E592" s="38" t="s">
        <v>10</v>
      </c>
      <c r="F592" s="38" t="s">
        <v>17</v>
      </c>
      <c r="G592" s="38" t="s">
        <v>11</v>
      </c>
      <c r="H592" s="38" t="s">
        <v>12</v>
      </c>
      <c r="I592" s="157">
        <v>407</v>
      </c>
      <c r="J592" t="s">
        <v>4035</v>
      </c>
    </row>
    <row r="593" spans="1:10" x14ac:dyDescent="0.25">
      <c r="A593" s="37" t="str">
        <f>C593&amp;"-"&amp;D593&amp;"-"&amp;E593&amp;"-"&amp;F593&amp;"-"&amp;CATALOGO[[#This Row],[Sub cuenta 3]]</f>
        <v>E-19-01-02-01</v>
      </c>
      <c r="B593" s="37" t="s">
        <v>534</v>
      </c>
      <c r="C593" s="37" t="s">
        <v>114</v>
      </c>
      <c r="D593" s="38" t="s">
        <v>484</v>
      </c>
      <c r="E593" s="38" t="s">
        <v>10</v>
      </c>
      <c r="F593" s="38" t="s">
        <v>17</v>
      </c>
      <c r="G593" s="38" t="s">
        <v>10</v>
      </c>
      <c r="H593" s="38" t="s">
        <v>15</v>
      </c>
      <c r="I593" s="157">
        <v>407</v>
      </c>
      <c r="J593" t="s">
        <v>4035</v>
      </c>
    </row>
    <row r="594" spans="1:10" x14ac:dyDescent="0.25">
      <c r="A594" s="37" t="str">
        <f>C594&amp;"-"&amp;D594&amp;"-"&amp;E594&amp;"-"&amp;F594&amp;"-"&amp;CATALOGO[[#This Row],[Sub cuenta 3]]</f>
        <v>E-19-01-02-02</v>
      </c>
      <c r="B594" s="37" t="s">
        <v>535</v>
      </c>
      <c r="C594" s="37" t="s">
        <v>114</v>
      </c>
      <c r="D594" s="38" t="s">
        <v>484</v>
      </c>
      <c r="E594" s="38" t="s">
        <v>10</v>
      </c>
      <c r="F594" s="38" t="s">
        <v>17</v>
      </c>
      <c r="G594" s="38" t="s">
        <v>17</v>
      </c>
      <c r="H594" s="38" t="s">
        <v>15</v>
      </c>
      <c r="I594" s="157">
        <v>407</v>
      </c>
      <c r="J594" t="s">
        <v>4035</v>
      </c>
    </row>
    <row r="595" spans="1:10" x14ac:dyDescent="0.25">
      <c r="A595" s="37" t="str">
        <f>C595&amp;"-"&amp;D595&amp;"-"&amp;E595&amp;"-"&amp;F595&amp;"-"&amp;CATALOGO[[#This Row],[Sub cuenta 3]]</f>
        <v>E-19-01-02-03</v>
      </c>
      <c r="B595" s="37" t="s">
        <v>536</v>
      </c>
      <c r="C595" s="37" t="s">
        <v>114</v>
      </c>
      <c r="D595" s="38" t="s">
        <v>484</v>
      </c>
      <c r="E595" s="38" t="s">
        <v>10</v>
      </c>
      <c r="F595" s="38" t="s">
        <v>17</v>
      </c>
      <c r="G595" s="38" t="s">
        <v>22</v>
      </c>
      <c r="H595" s="38" t="s">
        <v>15</v>
      </c>
      <c r="I595" s="157">
        <v>407</v>
      </c>
      <c r="J595" t="s">
        <v>4035</v>
      </c>
    </row>
    <row r="596" spans="1:10" x14ac:dyDescent="0.25">
      <c r="A596" s="37" t="str">
        <f>C596&amp;"-"&amp;D596&amp;"-"&amp;E596&amp;"-"&amp;F596&amp;"-"&amp;CATALOGO[[#This Row],[Sub cuenta 3]]</f>
        <v>E-19-01-02-04</v>
      </c>
      <c r="B596" s="37" t="s">
        <v>537</v>
      </c>
      <c r="C596" s="37" t="s">
        <v>114</v>
      </c>
      <c r="D596" s="38" t="s">
        <v>484</v>
      </c>
      <c r="E596" s="38" t="s">
        <v>10</v>
      </c>
      <c r="F596" s="38" t="s">
        <v>17</v>
      </c>
      <c r="G596" s="38" t="s">
        <v>26</v>
      </c>
      <c r="H596" s="38" t="s">
        <v>15</v>
      </c>
      <c r="I596" s="157">
        <v>407</v>
      </c>
      <c r="J596" t="s">
        <v>4035</v>
      </c>
    </row>
    <row r="597" spans="1:10" x14ac:dyDescent="0.25">
      <c r="A597" s="37" t="str">
        <f>C597&amp;"-"&amp;D597&amp;"-"&amp;E597&amp;"-"&amp;F597&amp;"-"&amp;CATALOGO[[#This Row],[Sub cuenta 3]]</f>
        <v>E-19-01-02-05</v>
      </c>
      <c r="B597" s="37" t="s">
        <v>538</v>
      </c>
      <c r="C597" s="37" t="s">
        <v>114</v>
      </c>
      <c r="D597" s="38" t="s">
        <v>484</v>
      </c>
      <c r="E597" s="38" t="s">
        <v>10</v>
      </c>
      <c r="F597" s="38" t="s">
        <v>17</v>
      </c>
      <c r="G597" s="38" t="s">
        <v>62</v>
      </c>
      <c r="H597" s="38" t="s">
        <v>15</v>
      </c>
      <c r="I597" s="157">
        <v>407</v>
      </c>
      <c r="J597" t="s">
        <v>4035</v>
      </c>
    </row>
    <row r="598" spans="1:10" x14ac:dyDescent="0.25">
      <c r="A598" s="37" t="str">
        <f>C598&amp;"-"&amp;D598&amp;"-"&amp;E598&amp;"-"&amp;F598&amp;"-"&amp;CATALOGO[[#This Row],[Sub cuenta 3]]</f>
        <v>E-19-01-02-06</v>
      </c>
      <c r="B598" s="37" t="s">
        <v>539</v>
      </c>
      <c r="C598" s="37" t="s">
        <v>114</v>
      </c>
      <c r="D598" s="38" t="s">
        <v>484</v>
      </c>
      <c r="E598" s="38" t="s">
        <v>10</v>
      </c>
      <c r="F598" s="38" t="s">
        <v>17</v>
      </c>
      <c r="G598" s="38" t="s">
        <v>73</v>
      </c>
      <c r="H598" s="38" t="s">
        <v>15</v>
      </c>
      <c r="I598" s="157">
        <v>407</v>
      </c>
      <c r="J598" t="s">
        <v>4035</v>
      </c>
    </row>
    <row r="599" spans="1:10" x14ac:dyDescent="0.25">
      <c r="A599" s="37" t="str">
        <f>C599&amp;"-"&amp;D599&amp;"-"&amp;E599&amp;"-"&amp;F599&amp;"-"&amp;CATALOGO[[#This Row],[Sub cuenta 3]]</f>
        <v>E-19-01-02-07</v>
      </c>
      <c r="B599" s="37" t="s">
        <v>540</v>
      </c>
      <c r="C599" s="37" t="s">
        <v>114</v>
      </c>
      <c r="D599" s="38" t="s">
        <v>484</v>
      </c>
      <c r="E599" s="38" t="s">
        <v>10</v>
      </c>
      <c r="F599" s="38" t="s">
        <v>17</v>
      </c>
      <c r="G599" s="38" t="s">
        <v>75</v>
      </c>
      <c r="H599" s="38" t="s">
        <v>15</v>
      </c>
      <c r="I599" s="157">
        <v>407</v>
      </c>
      <c r="J599" t="s">
        <v>4035</v>
      </c>
    </row>
    <row r="600" spans="1:10" x14ac:dyDescent="0.25">
      <c r="A600" s="37" t="str">
        <f>C600&amp;"-"&amp;D600&amp;"-"&amp;E600&amp;"-"&amp;F600&amp;"-"&amp;CATALOGO[[#This Row],[Sub cuenta 3]]</f>
        <v>E-19-01-03-00</v>
      </c>
      <c r="B600" s="37" t="s">
        <v>541</v>
      </c>
      <c r="C600" s="37" t="s">
        <v>114</v>
      </c>
      <c r="D600" s="38" t="s">
        <v>484</v>
      </c>
      <c r="E600" s="38" t="s">
        <v>10</v>
      </c>
      <c r="F600" s="38" t="s">
        <v>22</v>
      </c>
      <c r="G600" s="38" t="s">
        <v>11</v>
      </c>
      <c r="H600" s="38" t="s">
        <v>12</v>
      </c>
      <c r="I600" s="157">
        <v>407</v>
      </c>
      <c r="J600" t="s">
        <v>4035</v>
      </c>
    </row>
    <row r="601" spans="1:10" x14ac:dyDescent="0.25">
      <c r="A601" s="37" t="str">
        <f>C601&amp;"-"&amp;D601&amp;"-"&amp;E601&amp;"-"&amp;F601&amp;"-"&amp;CATALOGO[[#This Row],[Sub cuenta 3]]</f>
        <v>E-19-01-03-01</v>
      </c>
      <c r="B601" s="37" t="s">
        <v>542</v>
      </c>
      <c r="C601" s="37" t="s">
        <v>114</v>
      </c>
      <c r="D601" s="38" t="s">
        <v>484</v>
      </c>
      <c r="E601" s="38" t="s">
        <v>10</v>
      </c>
      <c r="F601" s="38" t="s">
        <v>22</v>
      </c>
      <c r="G601" s="38" t="s">
        <v>10</v>
      </c>
      <c r="H601" s="38" t="s">
        <v>15</v>
      </c>
      <c r="I601" s="157">
        <v>407</v>
      </c>
      <c r="J601" t="s">
        <v>4035</v>
      </c>
    </row>
    <row r="602" spans="1:10" x14ac:dyDescent="0.25">
      <c r="A602" s="37" t="str">
        <f>C602&amp;"-"&amp;D602&amp;"-"&amp;E602&amp;"-"&amp;F602&amp;"-"&amp;CATALOGO[[#This Row],[Sub cuenta 3]]</f>
        <v>E-19-01-03-02</v>
      </c>
      <c r="B602" s="37" t="s">
        <v>543</v>
      </c>
      <c r="C602" s="37" t="s">
        <v>114</v>
      </c>
      <c r="D602" s="38" t="s">
        <v>484</v>
      </c>
      <c r="E602" s="38" t="s">
        <v>10</v>
      </c>
      <c r="F602" s="38" t="s">
        <v>22</v>
      </c>
      <c r="G602" s="38" t="s">
        <v>17</v>
      </c>
      <c r="H602" s="38" t="s">
        <v>15</v>
      </c>
      <c r="I602" s="157">
        <v>407</v>
      </c>
      <c r="J602" t="s">
        <v>4035</v>
      </c>
    </row>
    <row r="603" spans="1:10" x14ac:dyDescent="0.25">
      <c r="A603" s="37" t="str">
        <f>C603&amp;"-"&amp;D603&amp;"-"&amp;E603&amp;"-"&amp;F603&amp;"-"&amp;CATALOGO[[#This Row],[Sub cuenta 3]]</f>
        <v>E-19-01-03-03</v>
      </c>
      <c r="B603" s="37" t="s">
        <v>544</v>
      </c>
      <c r="C603" s="37" t="s">
        <v>114</v>
      </c>
      <c r="D603" s="38" t="s">
        <v>484</v>
      </c>
      <c r="E603" s="38" t="s">
        <v>10</v>
      </c>
      <c r="F603" s="38" t="s">
        <v>22</v>
      </c>
      <c r="G603" s="38" t="s">
        <v>22</v>
      </c>
      <c r="H603" s="38" t="s">
        <v>15</v>
      </c>
      <c r="I603" s="157">
        <v>407</v>
      </c>
      <c r="J603" t="s">
        <v>4035</v>
      </c>
    </row>
    <row r="604" spans="1:10" x14ac:dyDescent="0.25">
      <c r="A604" s="37" t="str">
        <f>C604&amp;"-"&amp;D604&amp;"-"&amp;E604&amp;"-"&amp;F604&amp;"-"&amp;CATALOGO[[#This Row],[Sub cuenta 3]]</f>
        <v>E-19-01-03-04</v>
      </c>
      <c r="B604" s="37" t="s">
        <v>545</v>
      </c>
      <c r="C604" s="37" t="s">
        <v>114</v>
      </c>
      <c r="D604" s="38" t="s">
        <v>484</v>
      </c>
      <c r="E604" s="38" t="s">
        <v>10</v>
      </c>
      <c r="F604" s="38" t="s">
        <v>22</v>
      </c>
      <c r="G604" s="38" t="s">
        <v>26</v>
      </c>
      <c r="H604" s="38" t="s">
        <v>15</v>
      </c>
      <c r="I604" s="157">
        <v>407</v>
      </c>
      <c r="J604" t="s">
        <v>4035</v>
      </c>
    </row>
    <row r="605" spans="1:10" x14ac:dyDescent="0.25">
      <c r="A605" s="37" t="str">
        <f>C605&amp;"-"&amp;D605&amp;"-"&amp;E605&amp;"-"&amp;F605&amp;"-"&amp;CATALOGO[[#This Row],[Sub cuenta 3]]</f>
        <v>E-19-01-03-05</v>
      </c>
      <c r="B605" s="37" t="s">
        <v>546</v>
      </c>
      <c r="C605" s="37" t="s">
        <v>114</v>
      </c>
      <c r="D605" s="38" t="s">
        <v>484</v>
      </c>
      <c r="E605" s="38" t="s">
        <v>10</v>
      </c>
      <c r="F605" s="38" t="s">
        <v>22</v>
      </c>
      <c r="G605" s="38" t="s">
        <v>62</v>
      </c>
      <c r="H605" s="38" t="s">
        <v>15</v>
      </c>
      <c r="I605" s="157">
        <v>407</v>
      </c>
      <c r="J605" t="s">
        <v>4035</v>
      </c>
    </row>
    <row r="606" spans="1:10" x14ac:dyDescent="0.25">
      <c r="A606" s="37" t="str">
        <f>C606&amp;"-"&amp;D606&amp;"-"&amp;E606&amp;"-"&amp;F606&amp;"-"&amp;CATALOGO[[#This Row],[Sub cuenta 3]]</f>
        <v>E-19-01-03-06</v>
      </c>
      <c r="B606" s="37" t="s">
        <v>547</v>
      </c>
      <c r="C606" s="37" t="s">
        <v>114</v>
      </c>
      <c r="D606" s="38" t="s">
        <v>484</v>
      </c>
      <c r="E606" s="38" t="s">
        <v>10</v>
      </c>
      <c r="F606" s="38" t="s">
        <v>22</v>
      </c>
      <c r="G606" s="38" t="s">
        <v>73</v>
      </c>
      <c r="H606" s="38" t="s">
        <v>15</v>
      </c>
      <c r="I606" s="157">
        <v>407</v>
      </c>
      <c r="J606" t="s">
        <v>4035</v>
      </c>
    </row>
    <row r="607" spans="1:10" x14ac:dyDescent="0.25">
      <c r="A607" s="37" t="str">
        <f>C607&amp;"-"&amp;D607&amp;"-"&amp;E607&amp;"-"&amp;F607&amp;"-"&amp;CATALOGO[[#This Row],[Sub cuenta 3]]</f>
        <v>E-19-01-04-00</v>
      </c>
      <c r="B607" s="37" t="s">
        <v>548</v>
      </c>
      <c r="C607" s="37" t="s">
        <v>114</v>
      </c>
      <c r="D607" s="38" t="s">
        <v>484</v>
      </c>
      <c r="E607" s="38" t="s">
        <v>10</v>
      </c>
      <c r="F607" s="38" t="s">
        <v>26</v>
      </c>
      <c r="G607" s="38" t="s">
        <v>11</v>
      </c>
      <c r="H607" s="38" t="s">
        <v>12</v>
      </c>
      <c r="I607" s="157">
        <v>407</v>
      </c>
      <c r="J607" t="s">
        <v>4035</v>
      </c>
    </row>
    <row r="608" spans="1:10" x14ac:dyDescent="0.25">
      <c r="A608" s="37" t="str">
        <f>C608&amp;"-"&amp;D608&amp;"-"&amp;E608&amp;"-"&amp;F608&amp;"-"&amp;CATALOGO[[#This Row],[Sub cuenta 3]]</f>
        <v>E-19-01-04-01</v>
      </c>
      <c r="B608" s="37" t="s">
        <v>549</v>
      </c>
      <c r="C608" s="37" t="s">
        <v>114</v>
      </c>
      <c r="D608" s="38" t="s">
        <v>484</v>
      </c>
      <c r="E608" s="38" t="s">
        <v>10</v>
      </c>
      <c r="F608" s="38" t="s">
        <v>26</v>
      </c>
      <c r="G608" s="38" t="s">
        <v>10</v>
      </c>
      <c r="H608" s="38" t="s">
        <v>15</v>
      </c>
      <c r="I608" s="157">
        <v>407</v>
      </c>
      <c r="J608" t="s">
        <v>4035</v>
      </c>
    </row>
    <row r="609" spans="1:10" x14ac:dyDescent="0.25">
      <c r="A609" s="37" t="str">
        <f>C609&amp;"-"&amp;D609&amp;"-"&amp;E609&amp;"-"&amp;F609&amp;"-"&amp;CATALOGO[[#This Row],[Sub cuenta 3]]</f>
        <v>E-19-01-04-02</v>
      </c>
      <c r="B609" s="37" t="s">
        <v>550</v>
      </c>
      <c r="C609" s="37" t="s">
        <v>114</v>
      </c>
      <c r="D609" s="38" t="s">
        <v>484</v>
      </c>
      <c r="E609" s="38" t="s">
        <v>10</v>
      </c>
      <c r="F609" s="38" t="s">
        <v>26</v>
      </c>
      <c r="G609" s="38" t="s">
        <v>17</v>
      </c>
      <c r="H609" s="38" t="s">
        <v>15</v>
      </c>
      <c r="I609" s="157">
        <v>407</v>
      </c>
      <c r="J609" t="s">
        <v>4035</v>
      </c>
    </row>
    <row r="610" spans="1:10" x14ac:dyDescent="0.25">
      <c r="A610" s="37" t="str">
        <f>C610&amp;"-"&amp;D610&amp;"-"&amp;E610&amp;"-"&amp;F610&amp;"-"&amp;CATALOGO[[#This Row],[Sub cuenta 3]]</f>
        <v>E-19-01-04-03</v>
      </c>
      <c r="B610" s="37" t="s">
        <v>551</v>
      </c>
      <c r="C610" s="37" t="s">
        <v>114</v>
      </c>
      <c r="D610" s="38" t="s">
        <v>484</v>
      </c>
      <c r="E610" s="38" t="s">
        <v>10</v>
      </c>
      <c r="F610" s="38" t="s">
        <v>26</v>
      </c>
      <c r="G610" s="38" t="s">
        <v>22</v>
      </c>
      <c r="H610" s="38" t="s">
        <v>15</v>
      </c>
      <c r="I610" s="157">
        <v>407</v>
      </c>
      <c r="J610" t="s">
        <v>4035</v>
      </c>
    </row>
    <row r="611" spans="1:10" x14ac:dyDescent="0.25">
      <c r="A611" s="37" t="str">
        <f>C611&amp;"-"&amp;D611&amp;"-"&amp;E611&amp;"-"&amp;F611&amp;"-"&amp;CATALOGO[[#This Row],[Sub cuenta 3]]</f>
        <v>E-19-01-04-04</v>
      </c>
      <c r="B611" s="37" t="s">
        <v>552</v>
      </c>
      <c r="C611" s="37" t="s">
        <v>114</v>
      </c>
      <c r="D611" s="38" t="s">
        <v>484</v>
      </c>
      <c r="E611" s="38" t="s">
        <v>10</v>
      </c>
      <c r="F611" s="38" t="s">
        <v>26</v>
      </c>
      <c r="G611" s="38" t="s">
        <v>26</v>
      </c>
      <c r="H611" s="38" t="s">
        <v>15</v>
      </c>
      <c r="I611" s="157">
        <v>407</v>
      </c>
      <c r="J611" t="s">
        <v>4035</v>
      </c>
    </row>
    <row r="612" spans="1:10" x14ac:dyDescent="0.25">
      <c r="A612" s="37" t="str">
        <f>C612&amp;"-"&amp;D612&amp;"-"&amp;E612&amp;"-"&amp;F612&amp;"-"&amp;CATALOGO[[#This Row],[Sub cuenta 3]]</f>
        <v>E-19-01-04-05</v>
      </c>
      <c r="B612" s="37" t="s">
        <v>553</v>
      </c>
      <c r="C612" s="37" t="s">
        <v>114</v>
      </c>
      <c r="D612" s="38" t="s">
        <v>484</v>
      </c>
      <c r="E612" s="38" t="s">
        <v>10</v>
      </c>
      <c r="F612" s="38" t="s">
        <v>26</v>
      </c>
      <c r="G612" s="38" t="s">
        <v>62</v>
      </c>
      <c r="H612" s="38" t="s">
        <v>15</v>
      </c>
      <c r="I612" s="157">
        <v>407</v>
      </c>
      <c r="J612" t="s">
        <v>4035</v>
      </c>
    </row>
    <row r="613" spans="1:10" x14ac:dyDescent="0.25">
      <c r="A613" s="37" t="str">
        <f>C613&amp;"-"&amp;D613&amp;"-"&amp;E613&amp;"-"&amp;F613&amp;"-"&amp;CATALOGO[[#This Row],[Sub cuenta 3]]</f>
        <v>E-19-01-05-00</v>
      </c>
      <c r="B613" s="37" t="s">
        <v>554</v>
      </c>
      <c r="C613" s="37" t="s">
        <v>114</v>
      </c>
      <c r="D613" s="38" t="s">
        <v>484</v>
      </c>
      <c r="E613" s="38" t="s">
        <v>10</v>
      </c>
      <c r="F613" s="38" t="s">
        <v>62</v>
      </c>
      <c r="G613" s="38" t="s">
        <v>11</v>
      </c>
      <c r="H613" s="38" t="s">
        <v>12</v>
      </c>
      <c r="I613" s="157">
        <v>407</v>
      </c>
      <c r="J613" t="s">
        <v>4035</v>
      </c>
    </row>
    <row r="614" spans="1:10" x14ac:dyDescent="0.25">
      <c r="A614" s="37" t="str">
        <f>C614&amp;"-"&amp;D614&amp;"-"&amp;E614&amp;"-"&amp;F614&amp;"-"&amp;CATALOGO[[#This Row],[Sub cuenta 3]]</f>
        <v>E-19-01-05-01</v>
      </c>
      <c r="B614" s="37" t="s">
        <v>555</v>
      </c>
      <c r="C614" s="37" t="s">
        <v>114</v>
      </c>
      <c r="D614" s="38" t="s">
        <v>484</v>
      </c>
      <c r="E614" s="38" t="s">
        <v>10</v>
      </c>
      <c r="F614" s="38" t="s">
        <v>62</v>
      </c>
      <c r="G614" s="38" t="s">
        <v>10</v>
      </c>
      <c r="H614" s="38" t="s">
        <v>15</v>
      </c>
      <c r="I614" s="157">
        <v>407</v>
      </c>
      <c r="J614" t="s">
        <v>4035</v>
      </c>
    </row>
    <row r="615" spans="1:10" x14ac:dyDescent="0.25">
      <c r="A615" s="37" t="str">
        <f>C615&amp;"-"&amp;D615&amp;"-"&amp;E615&amp;"-"&amp;F615&amp;"-"&amp;CATALOGO[[#This Row],[Sub cuenta 3]]</f>
        <v>E-19-01-06-00</v>
      </c>
      <c r="B615" s="37" t="s">
        <v>556</v>
      </c>
      <c r="C615" s="37" t="s">
        <v>114</v>
      </c>
      <c r="D615" s="38" t="s">
        <v>484</v>
      </c>
      <c r="E615" s="38" t="s">
        <v>10</v>
      </c>
      <c r="F615" s="38" t="s">
        <v>73</v>
      </c>
      <c r="G615" s="38" t="s">
        <v>11</v>
      </c>
      <c r="H615" s="38" t="s">
        <v>12</v>
      </c>
      <c r="I615" s="157">
        <v>407</v>
      </c>
      <c r="J615" t="s">
        <v>4035</v>
      </c>
    </row>
    <row r="616" spans="1:10" x14ac:dyDescent="0.25">
      <c r="A616" s="37" t="str">
        <f>C616&amp;"-"&amp;D616&amp;"-"&amp;E616&amp;"-"&amp;F616&amp;"-"&amp;CATALOGO[[#This Row],[Sub cuenta 3]]</f>
        <v>E-19-01-06-01</v>
      </c>
      <c r="B616" s="37" t="s">
        <v>557</v>
      </c>
      <c r="C616" s="37" t="s">
        <v>114</v>
      </c>
      <c r="D616" s="38" t="s">
        <v>484</v>
      </c>
      <c r="E616" s="38" t="s">
        <v>10</v>
      </c>
      <c r="F616" s="38" t="s">
        <v>73</v>
      </c>
      <c r="G616" s="38" t="s">
        <v>10</v>
      </c>
      <c r="H616" s="38" t="s">
        <v>15</v>
      </c>
      <c r="I616" s="157">
        <v>407</v>
      </c>
      <c r="J616" t="s">
        <v>4035</v>
      </c>
    </row>
    <row r="617" spans="1:10" x14ac:dyDescent="0.25">
      <c r="A617" s="37" t="str">
        <f>C617&amp;"-"&amp;D617&amp;"-"&amp;E617&amp;"-"&amp;F617&amp;"-"&amp;CATALOGO[[#This Row],[Sub cuenta 3]]</f>
        <v>E-19-02-00-00</v>
      </c>
      <c r="B617" s="37" t="s">
        <v>558</v>
      </c>
      <c r="C617" s="37" t="s">
        <v>114</v>
      </c>
      <c r="D617" s="38" t="s">
        <v>484</v>
      </c>
      <c r="E617" s="38" t="s">
        <v>17</v>
      </c>
      <c r="F617" s="38" t="s">
        <v>11</v>
      </c>
      <c r="G617" s="38" t="s">
        <v>11</v>
      </c>
      <c r="H617" s="38" t="s">
        <v>12</v>
      </c>
      <c r="I617" s="157">
        <v>407</v>
      </c>
      <c r="J617" t="s">
        <v>4035</v>
      </c>
    </row>
    <row r="618" spans="1:10" x14ac:dyDescent="0.25">
      <c r="A618" s="37" t="str">
        <f>C618&amp;"-"&amp;D618&amp;"-"&amp;E618&amp;"-"&amp;F618&amp;"-"&amp;CATALOGO[[#This Row],[Sub cuenta 3]]</f>
        <v>E-19-02-01-00</v>
      </c>
      <c r="B618" s="37" t="s">
        <v>559</v>
      </c>
      <c r="C618" s="37" t="s">
        <v>114</v>
      </c>
      <c r="D618" s="38" t="s">
        <v>484</v>
      </c>
      <c r="E618" s="38" t="s">
        <v>17</v>
      </c>
      <c r="F618" s="38" t="s">
        <v>10</v>
      </c>
      <c r="G618" s="38" t="s">
        <v>11</v>
      </c>
      <c r="H618" s="38" t="s">
        <v>12</v>
      </c>
      <c r="I618" s="157">
        <v>407</v>
      </c>
      <c r="J618" t="s">
        <v>4035</v>
      </c>
    </row>
    <row r="619" spans="1:10" x14ac:dyDescent="0.25">
      <c r="A619" s="37" t="str">
        <f>C619&amp;"-"&amp;D619&amp;"-"&amp;E619&amp;"-"&amp;F619&amp;"-"&amp;CATALOGO[[#This Row],[Sub cuenta 3]]</f>
        <v>E-19-02-01-01</v>
      </c>
      <c r="B619" s="37" t="s">
        <v>560</v>
      </c>
      <c r="C619" s="37" t="s">
        <v>114</v>
      </c>
      <c r="D619" s="38" t="s">
        <v>484</v>
      </c>
      <c r="E619" s="38" t="s">
        <v>17</v>
      </c>
      <c r="F619" s="38" t="s">
        <v>10</v>
      </c>
      <c r="G619" s="38" t="s">
        <v>10</v>
      </c>
      <c r="H619" s="38" t="s">
        <v>15</v>
      </c>
      <c r="I619" s="157">
        <v>407</v>
      </c>
      <c r="J619" t="s">
        <v>4035</v>
      </c>
    </row>
    <row r="620" spans="1:10" x14ac:dyDescent="0.25">
      <c r="A620" s="37" t="str">
        <f>C620&amp;"-"&amp;D620&amp;"-"&amp;E620&amp;"-"&amp;F620&amp;"-"&amp;CATALOGO[[#This Row],[Sub cuenta 3]]</f>
        <v>E-19-02-01-02</v>
      </c>
      <c r="B620" s="37" t="s">
        <v>561</v>
      </c>
      <c r="C620" s="37" t="s">
        <v>114</v>
      </c>
      <c r="D620" s="38" t="s">
        <v>484</v>
      </c>
      <c r="E620" s="38" t="s">
        <v>17</v>
      </c>
      <c r="F620" s="38" t="s">
        <v>10</v>
      </c>
      <c r="G620" s="38" t="s">
        <v>17</v>
      </c>
      <c r="H620" s="38" t="s">
        <v>15</v>
      </c>
      <c r="I620" s="157">
        <v>407</v>
      </c>
      <c r="J620" t="s">
        <v>4035</v>
      </c>
    </row>
    <row r="621" spans="1:10" x14ac:dyDescent="0.25">
      <c r="A621" s="37" t="str">
        <f>C621&amp;"-"&amp;D621&amp;"-"&amp;E621&amp;"-"&amp;F621&amp;"-"&amp;CATALOGO[[#This Row],[Sub cuenta 3]]</f>
        <v>E-19-02-02-00</v>
      </c>
      <c r="B621" s="37" t="s">
        <v>533</v>
      </c>
      <c r="C621" s="37" t="s">
        <v>114</v>
      </c>
      <c r="D621" s="38" t="s">
        <v>484</v>
      </c>
      <c r="E621" s="38" t="s">
        <v>17</v>
      </c>
      <c r="F621" s="38" t="s">
        <v>17</v>
      </c>
      <c r="G621" s="38" t="s">
        <v>11</v>
      </c>
      <c r="H621" s="38" t="s">
        <v>15</v>
      </c>
      <c r="I621" s="157">
        <v>407</v>
      </c>
      <c r="J621" t="s">
        <v>4035</v>
      </c>
    </row>
    <row r="622" spans="1:10" x14ac:dyDescent="0.25">
      <c r="A622" s="37" t="str">
        <f>C622&amp;"-"&amp;D622&amp;"-"&amp;E622&amp;"-"&amp;F622&amp;"-"&amp;CATALOGO[[#This Row],[Sub cuenta 3]]</f>
        <v>E-19-02-02-01</v>
      </c>
      <c r="B622" s="37" t="s">
        <v>562</v>
      </c>
      <c r="C622" s="37" t="s">
        <v>114</v>
      </c>
      <c r="D622" s="38" t="s">
        <v>484</v>
      </c>
      <c r="E622" s="38" t="s">
        <v>17</v>
      </c>
      <c r="F622" s="38" t="s">
        <v>17</v>
      </c>
      <c r="G622" s="38" t="s">
        <v>10</v>
      </c>
      <c r="H622" s="38" t="s">
        <v>15</v>
      </c>
      <c r="I622" s="157">
        <v>407</v>
      </c>
      <c r="J622" t="s">
        <v>4035</v>
      </c>
    </row>
    <row r="623" spans="1:10" x14ac:dyDescent="0.25">
      <c r="A623" s="37" t="str">
        <f>C623&amp;"-"&amp;D623&amp;"-"&amp;E623&amp;"-"&amp;F623&amp;"-"&amp;CATALOGO[[#This Row],[Sub cuenta 3]]</f>
        <v>E-19-02-03-00</v>
      </c>
      <c r="B623" s="37" t="s">
        <v>541</v>
      </c>
      <c r="C623" s="37" t="s">
        <v>114</v>
      </c>
      <c r="D623" s="38" t="s">
        <v>484</v>
      </c>
      <c r="E623" s="38" t="s">
        <v>17</v>
      </c>
      <c r="F623" s="38" t="s">
        <v>22</v>
      </c>
      <c r="G623" s="38" t="s">
        <v>11</v>
      </c>
      <c r="H623" s="38" t="s">
        <v>15</v>
      </c>
      <c r="I623" s="157">
        <v>407</v>
      </c>
      <c r="J623" t="s">
        <v>4035</v>
      </c>
    </row>
    <row r="624" spans="1:10" x14ac:dyDescent="0.25">
      <c r="A624" s="37" t="str">
        <f>C624&amp;"-"&amp;D624&amp;"-"&amp;E624&amp;"-"&amp;F624&amp;"-"&amp;CATALOGO[[#This Row],[Sub cuenta 3]]</f>
        <v>E-19-02-03-01</v>
      </c>
      <c r="B624" s="37" t="s">
        <v>563</v>
      </c>
      <c r="C624" s="37" t="s">
        <v>114</v>
      </c>
      <c r="D624" s="38" t="s">
        <v>484</v>
      </c>
      <c r="E624" s="38" t="s">
        <v>17</v>
      </c>
      <c r="F624" s="38" t="s">
        <v>22</v>
      </c>
      <c r="G624" s="38" t="s">
        <v>10</v>
      </c>
      <c r="H624" s="38" t="s">
        <v>15</v>
      </c>
      <c r="I624" s="157">
        <v>407</v>
      </c>
      <c r="J624" t="s">
        <v>4035</v>
      </c>
    </row>
    <row r="625" spans="1:10" x14ac:dyDescent="0.25">
      <c r="A625" s="37" t="str">
        <f>C625&amp;"-"&amp;D625&amp;"-"&amp;E625&amp;"-"&amp;F625&amp;"-"&amp;CATALOGO[[#This Row],[Sub cuenta 3]]</f>
        <v>E-19-02-03-02</v>
      </c>
      <c r="B625" s="37" t="s">
        <v>564</v>
      </c>
      <c r="C625" s="37" t="s">
        <v>114</v>
      </c>
      <c r="D625" s="38" t="s">
        <v>484</v>
      </c>
      <c r="E625" s="38" t="s">
        <v>17</v>
      </c>
      <c r="F625" s="38" t="s">
        <v>22</v>
      </c>
      <c r="G625" s="38" t="s">
        <v>17</v>
      </c>
      <c r="H625" s="38" t="s">
        <v>15</v>
      </c>
      <c r="I625" s="157">
        <v>407</v>
      </c>
      <c r="J625" t="s">
        <v>4035</v>
      </c>
    </row>
    <row r="626" spans="1:10" x14ac:dyDescent="0.25">
      <c r="A626" s="37" t="str">
        <f>C626&amp;"-"&amp;D626&amp;"-"&amp;E626&amp;"-"&amp;F626&amp;"-"&amp;CATALOGO[[#This Row],[Sub cuenta 3]]</f>
        <v>E-19-02-03-03</v>
      </c>
      <c r="B626" s="37" t="s">
        <v>565</v>
      </c>
      <c r="C626" s="37" t="s">
        <v>114</v>
      </c>
      <c r="D626" s="38" t="s">
        <v>484</v>
      </c>
      <c r="E626" s="38" t="s">
        <v>17</v>
      </c>
      <c r="F626" s="38" t="s">
        <v>22</v>
      </c>
      <c r="G626" s="38" t="s">
        <v>22</v>
      </c>
      <c r="H626" s="38" t="s">
        <v>15</v>
      </c>
      <c r="I626" s="157">
        <v>407</v>
      </c>
      <c r="J626" t="s">
        <v>4035</v>
      </c>
    </row>
    <row r="627" spans="1:10" x14ac:dyDescent="0.25">
      <c r="A627" s="37" t="str">
        <f>C627&amp;"-"&amp;D627&amp;"-"&amp;E627&amp;"-"&amp;F627&amp;"-"&amp;CATALOGO[[#This Row],[Sub cuenta 3]]</f>
        <v>E-19-02-03-04</v>
      </c>
      <c r="B627" s="37" t="s">
        <v>566</v>
      </c>
      <c r="C627" s="37" t="s">
        <v>114</v>
      </c>
      <c r="D627" s="38" t="s">
        <v>484</v>
      </c>
      <c r="E627" s="38" t="s">
        <v>17</v>
      </c>
      <c r="F627" s="38" t="s">
        <v>22</v>
      </c>
      <c r="G627" s="38" t="s">
        <v>26</v>
      </c>
      <c r="H627" s="38" t="s">
        <v>15</v>
      </c>
      <c r="I627" s="157">
        <v>407</v>
      </c>
      <c r="J627" t="s">
        <v>4035</v>
      </c>
    </row>
    <row r="628" spans="1:10" x14ac:dyDescent="0.25">
      <c r="A628" s="37" t="str">
        <f>C628&amp;"-"&amp;D628&amp;"-"&amp;E628&amp;"-"&amp;F628&amp;"-"&amp;CATALOGO[[#This Row],[Sub cuenta 3]]</f>
        <v>E-19-02-04-00</v>
      </c>
      <c r="B628" s="37" t="s">
        <v>548</v>
      </c>
      <c r="C628" s="37" t="s">
        <v>114</v>
      </c>
      <c r="D628" s="38" t="s">
        <v>484</v>
      </c>
      <c r="E628" s="38" t="s">
        <v>17</v>
      </c>
      <c r="F628" s="38" t="s">
        <v>26</v>
      </c>
      <c r="G628" s="38" t="s">
        <v>11</v>
      </c>
      <c r="H628" s="38" t="s">
        <v>12</v>
      </c>
      <c r="I628" s="157">
        <v>407</v>
      </c>
      <c r="J628" t="s">
        <v>4035</v>
      </c>
    </row>
    <row r="629" spans="1:10" x14ac:dyDescent="0.25">
      <c r="A629" s="37" t="str">
        <f>C629&amp;"-"&amp;D629&amp;"-"&amp;E629&amp;"-"&amp;F629&amp;"-"&amp;CATALOGO[[#This Row],[Sub cuenta 3]]</f>
        <v>E-19-02-04-01</v>
      </c>
      <c r="B629" s="37" t="s">
        <v>567</v>
      </c>
      <c r="C629" s="37" t="s">
        <v>114</v>
      </c>
      <c r="D629" s="38" t="s">
        <v>484</v>
      </c>
      <c r="E629" s="38" t="s">
        <v>17</v>
      </c>
      <c r="F629" s="38" t="s">
        <v>26</v>
      </c>
      <c r="G629" s="38" t="s">
        <v>10</v>
      </c>
      <c r="H629" s="38" t="s">
        <v>15</v>
      </c>
      <c r="I629" s="157">
        <v>407</v>
      </c>
      <c r="J629" t="s">
        <v>4035</v>
      </c>
    </row>
    <row r="630" spans="1:10" x14ac:dyDescent="0.25">
      <c r="A630" s="37" t="str">
        <f>C630&amp;"-"&amp;D630&amp;"-"&amp;E630&amp;"-"&amp;F630&amp;"-"&amp;CATALOGO[[#This Row],[Sub cuenta 3]]</f>
        <v>E-19-03-00-00</v>
      </c>
      <c r="B630" s="37" t="s">
        <v>568</v>
      </c>
      <c r="C630" s="37" t="s">
        <v>114</v>
      </c>
      <c r="D630" s="38" t="s">
        <v>484</v>
      </c>
      <c r="E630" s="38" t="s">
        <v>22</v>
      </c>
      <c r="F630" s="38" t="s">
        <v>11</v>
      </c>
      <c r="G630" s="38" t="s">
        <v>11</v>
      </c>
      <c r="H630" s="38" t="s">
        <v>12</v>
      </c>
      <c r="I630" s="157">
        <v>407</v>
      </c>
      <c r="J630" t="s">
        <v>4035</v>
      </c>
    </row>
    <row r="631" spans="1:10" x14ac:dyDescent="0.25">
      <c r="A631" s="37" t="str">
        <f>C631&amp;"-"&amp;D631&amp;"-"&amp;E631&amp;"-"&amp;F631&amp;"-"&amp;CATALOGO[[#This Row],[Sub cuenta 3]]</f>
        <v>E-19-03-01-00</v>
      </c>
      <c r="B631" s="37" t="s">
        <v>569</v>
      </c>
      <c r="C631" s="37" t="s">
        <v>114</v>
      </c>
      <c r="D631" s="38" t="s">
        <v>484</v>
      </c>
      <c r="E631" s="38" t="s">
        <v>22</v>
      </c>
      <c r="F631" s="38" t="s">
        <v>10</v>
      </c>
      <c r="G631" s="38" t="s">
        <v>11</v>
      </c>
      <c r="H631" s="38" t="s">
        <v>12</v>
      </c>
      <c r="I631" s="157">
        <v>407</v>
      </c>
      <c r="J631" t="s">
        <v>4035</v>
      </c>
    </row>
    <row r="632" spans="1:10" x14ac:dyDescent="0.25">
      <c r="A632" s="37" t="str">
        <f>C632&amp;"-"&amp;D632&amp;"-"&amp;E632&amp;"-"&amp;F632&amp;"-"&amp;CATALOGO[[#This Row],[Sub cuenta 3]]</f>
        <v>E-19-03-01-01</v>
      </c>
      <c r="B632" s="37" t="s">
        <v>570</v>
      </c>
      <c r="C632" s="37" t="s">
        <v>114</v>
      </c>
      <c r="D632" s="38" t="s">
        <v>484</v>
      </c>
      <c r="E632" s="38" t="s">
        <v>22</v>
      </c>
      <c r="F632" s="38" t="s">
        <v>10</v>
      </c>
      <c r="G632" s="38" t="s">
        <v>10</v>
      </c>
      <c r="H632" s="38" t="s">
        <v>15</v>
      </c>
      <c r="I632" s="157">
        <v>407</v>
      </c>
      <c r="J632" t="s">
        <v>4035</v>
      </c>
    </row>
    <row r="633" spans="1:10" x14ac:dyDescent="0.25">
      <c r="A633" s="37" t="str">
        <f>C633&amp;"-"&amp;D633&amp;"-"&amp;E633&amp;"-"&amp;F633&amp;"-"&amp;CATALOGO[[#This Row],[Sub cuenta 3]]</f>
        <v>E-19-03-01-02</v>
      </c>
      <c r="B633" s="37" t="s">
        <v>571</v>
      </c>
      <c r="C633" s="37" t="s">
        <v>114</v>
      </c>
      <c r="D633" s="38" t="s">
        <v>484</v>
      </c>
      <c r="E633" s="38" t="s">
        <v>22</v>
      </c>
      <c r="F633" s="38" t="s">
        <v>10</v>
      </c>
      <c r="G633" s="38" t="s">
        <v>17</v>
      </c>
      <c r="H633" s="38" t="s">
        <v>15</v>
      </c>
      <c r="I633" s="157">
        <v>407</v>
      </c>
      <c r="J633" t="s">
        <v>4035</v>
      </c>
    </row>
    <row r="634" spans="1:10" x14ac:dyDescent="0.25">
      <c r="A634" s="37" t="str">
        <f>C634&amp;"-"&amp;D634&amp;"-"&amp;E634&amp;"-"&amp;F634&amp;"-"&amp;CATALOGO[[#This Row],[Sub cuenta 3]]</f>
        <v>E-19-03-01-03</v>
      </c>
      <c r="B634" s="37" t="s">
        <v>572</v>
      </c>
      <c r="C634" s="37" t="s">
        <v>114</v>
      </c>
      <c r="D634" s="38" t="s">
        <v>484</v>
      </c>
      <c r="E634" s="38" t="s">
        <v>22</v>
      </c>
      <c r="F634" s="38" t="s">
        <v>10</v>
      </c>
      <c r="G634" s="38" t="s">
        <v>22</v>
      </c>
      <c r="H634" s="38" t="s">
        <v>15</v>
      </c>
      <c r="I634" s="157">
        <v>407</v>
      </c>
      <c r="J634" t="s">
        <v>4035</v>
      </c>
    </row>
    <row r="635" spans="1:10" x14ac:dyDescent="0.25">
      <c r="A635" s="37" t="str">
        <f>C635&amp;"-"&amp;D635&amp;"-"&amp;E635&amp;"-"&amp;F635&amp;"-"&amp;CATALOGO[[#This Row],[Sub cuenta 3]]</f>
        <v>E-19-03-01-04</v>
      </c>
      <c r="B635" s="37" t="s">
        <v>573</v>
      </c>
      <c r="C635" s="37" t="s">
        <v>114</v>
      </c>
      <c r="D635" s="38" t="s">
        <v>484</v>
      </c>
      <c r="E635" s="38" t="s">
        <v>22</v>
      </c>
      <c r="F635" s="38" t="s">
        <v>10</v>
      </c>
      <c r="G635" s="38" t="s">
        <v>26</v>
      </c>
      <c r="H635" s="38" t="s">
        <v>15</v>
      </c>
      <c r="I635" s="157">
        <v>407</v>
      </c>
      <c r="J635" t="s">
        <v>4035</v>
      </c>
    </row>
    <row r="636" spans="1:10" x14ac:dyDescent="0.25">
      <c r="A636" s="37" t="str">
        <f>C636&amp;"-"&amp;D636&amp;"-"&amp;E636&amp;"-"&amp;F636&amp;"-"&amp;CATALOGO[[#This Row],[Sub cuenta 3]]</f>
        <v>E-19-03-01-05</v>
      </c>
      <c r="B636" s="37" t="s">
        <v>574</v>
      </c>
      <c r="C636" s="37" t="s">
        <v>114</v>
      </c>
      <c r="D636" s="38" t="s">
        <v>484</v>
      </c>
      <c r="E636" s="38" t="s">
        <v>22</v>
      </c>
      <c r="F636" s="38" t="s">
        <v>10</v>
      </c>
      <c r="G636" s="38" t="s">
        <v>62</v>
      </c>
      <c r="H636" s="38" t="s">
        <v>15</v>
      </c>
      <c r="I636" s="157">
        <v>407</v>
      </c>
      <c r="J636" t="s">
        <v>4035</v>
      </c>
    </row>
    <row r="637" spans="1:10" x14ac:dyDescent="0.25">
      <c r="A637" s="37" t="str">
        <f>C637&amp;"-"&amp;D637&amp;"-"&amp;E637&amp;"-"&amp;F637&amp;"-"&amp;CATALOGO[[#This Row],[Sub cuenta 3]]</f>
        <v>E-19-03-01-06</v>
      </c>
      <c r="B637" s="37" t="s">
        <v>575</v>
      </c>
      <c r="C637" s="37" t="s">
        <v>114</v>
      </c>
      <c r="D637" s="38" t="s">
        <v>484</v>
      </c>
      <c r="E637" s="38" t="s">
        <v>22</v>
      </c>
      <c r="F637" s="38" t="s">
        <v>10</v>
      </c>
      <c r="G637" s="38" t="s">
        <v>73</v>
      </c>
      <c r="H637" s="38" t="s">
        <v>15</v>
      </c>
      <c r="I637" s="157">
        <v>407</v>
      </c>
      <c r="J637" t="s">
        <v>4035</v>
      </c>
    </row>
    <row r="638" spans="1:10" x14ac:dyDescent="0.25">
      <c r="A638" s="37" t="str">
        <f>C638&amp;"-"&amp;D638&amp;"-"&amp;E638&amp;"-"&amp;F638&amp;"-"&amp;CATALOGO[[#This Row],[Sub cuenta 3]]</f>
        <v>E-19-03-01-07</v>
      </c>
      <c r="B638" s="37" t="s">
        <v>576</v>
      </c>
      <c r="C638" s="37" t="s">
        <v>114</v>
      </c>
      <c r="D638" s="38" t="s">
        <v>484</v>
      </c>
      <c r="E638" s="38" t="s">
        <v>22</v>
      </c>
      <c r="F638" s="38" t="s">
        <v>10</v>
      </c>
      <c r="G638" s="38" t="s">
        <v>75</v>
      </c>
      <c r="H638" s="38" t="s">
        <v>15</v>
      </c>
      <c r="I638" s="157">
        <v>407</v>
      </c>
      <c r="J638" t="s">
        <v>4035</v>
      </c>
    </row>
    <row r="639" spans="1:10" x14ac:dyDescent="0.25">
      <c r="A639" s="37" t="str">
        <f>C639&amp;"-"&amp;D639&amp;"-"&amp;E639&amp;"-"&amp;F639&amp;"-"&amp;CATALOGO[[#This Row],[Sub cuenta 3]]</f>
        <v>E-19-03-01-08</v>
      </c>
      <c r="B639" s="37" t="s">
        <v>577</v>
      </c>
      <c r="C639" s="37" t="s">
        <v>114</v>
      </c>
      <c r="D639" s="38" t="s">
        <v>484</v>
      </c>
      <c r="E639" s="38" t="s">
        <v>22</v>
      </c>
      <c r="F639" s="38" t="s">
        <v>10</v>
      </c>
      <c r="G639" s="38" t="s">
        <v>77</v>
      </c>
      <c r="H639" s="38" t="s">
        <v>15</v>
      </c>
      <c r="I639" s="157">
        <v>407</v>
      </c>
      <c r="J639" t="s">
        <v>4035</v>
      </c>
    </row>
    <row r="640" spans="1:10" x14ac:dyDescent="0.25">
      <c r="A640" s="37" t="str">
        <f>C640&amp;"-"&amp;D640&amp;"-"&amp;E640&amp;"-"&amp;F640&amp;"-"&amp;CATALOGO[[#This Row],[Sub cuenta 3]]</f>
        <v>E-19-03-01-09</v>
      </c>
      <c r="B640" s="37" t="s">
        <v>578</v>
      </c>
      <c r="C640" s="37" t="s">
        <v>114</v>
      </c>
      <c r="D640" s="38" t="s">
        <v>484</v>
      </c>
      <c r="E640" s="38" t="s">
        <v>22</v>
      </c>
      <c r="F640" s="38" t="s">
        <v>10</v>
      </c>
      <c r="G640" s="38" t="s">
        <v>79</v>
      </c>
      <c r="H640" s="38" t="s">
        <v>15</v>
      </c>
      <c r="I640" s="157">
        <v>407</v>
      </c>
      <c r="J640" t="s">
        <v>4035</v>
      </c>
    </row>
    <row r="641" spans="1:10" x14ac:dyDescent="0.25">
      <c r="A641" s="37" t="str">
        <f>C641&amp;"-"&amp;D641&amp;"-"&amp;E641&amp;"-"&amp;F641&amp;"-"&amp;CATALOGO[[#This Row],[Sub cuenta 3]]</f>
        <v>E-19-03-01-10</v>
      </c>
      <c r="B641" s="37" t="s">
        <v>579</v>
      </c>
      <c r="C641" s="37" t="s">
        <v>114</v>
      </c>
      <c r="D641" s="38" t="s">
        <v>484</v>
      </c>
      <c r="E641" s="38" t="s">
        <v>22</v>
      </c>
      <c r="F641" s="38" t="s">
        <v>10</v>
      </c>
      <c r="G641" s="38" t="s">
        <v>80</v>
      </c>
      <c r="H641" s="38" t="s">
        <v>15</v>
      </c>
      <c r="I641" s="157">
        <v>407</v>
      </c>
      <c r="J641" t="s">
        <v>4035</v>
      </c>
    </row>
    <row r="642" spans="1:10" x14ac:dyDescent="0.25">
      <c r="A642" s="37" t="str">
        <f>C642&amp;"-"&amp;D642&amp;"-"&amp;E642&amp;"-"&amp;F642&amp;"-"&amp;CATALOGO[[#This Row],[Sub cuenta 3]]</f>
        <v>E-19-03-01-11</v>
      </c>
      <c r="B642" s="37" t="s">
        <v>580</v>
      </c>
      <c r="C642" s="37" t="s">
        <v>114</v>
      </c>
      <c r="D642" s="38" t="s">
        <v>484</v>
      </c>
      <c r="E642" s="38" t="s">
        <v>22</v>
      </c>
      <c r="F642" s="38" t="s">
        <v>10</v>
      </c>
      <c r="G642" s="38" t="s">
        <v>82</v>
      </c>
      <c r="H642" s="38" t="s">
        <v>15</v>
      </c>
      <c r="I642" s="157">
        <v>407</v>
      </c>
      <c r="J642" t="s">
        <v>4035</v>
      </c>
    </row>
    <row r="643" spans="1:10" x14ac:dyDescent="0.25">
      <c r="A643" s="39" t="str">
        <f>C643&amp;"-"&amp;D643&amp;"-"&amp;E643&amp;"-"&amp;F643&amp;"-"&amp;CATALOGO[[#This Row],[Sub cuenta 3]]</f>
        <v>E-20-00-00-00</v>
      </c>
      <c r="B643" s="39" t="s">
        <v>581</v>
      </c>
      <c r="C643" s="37" t="s">
        <v>114</v>
      </c>
      <c r="D643" s="38" t="s">
        <v>582</v>
      </c>
      <c r="E643" s="38" t="s">
        <v>11</v>
      </c>
      <c r="F643" s="38" t="s">
        <v>11</v>
      </c>
      <c r="G643" s="36" t="s">
        <v>11</v>
      </c>
      <c r="H643" s="38" t="s">
        <v>12</v>
      </c>
      <c r="I643" s="157">
        <v>407</v>
      </c>
      <c r="J643" t="s">
        <v>4035</v>
      </c>
    </row>
    <row r="644" spans="1:10" x14ac:dyDescent="0.25">
      <c r="A644" s="37" t="str">
        <f>C644&amp;"-"&amp;D644&amp;"-"&amp;E644&amp;"-"&amp;F644&amp;"-"&amp;CATALOGO[[#This Row],[Sub cuenta 3]]</f>
        <v>E-20-01-00-00</v>
      </c>
      <c r="B644" s="37" t="s">
        <v>583</v>
      </c>
      <c r="C644" s="37" t="s">
        <v>114</v>
      </c>
      <c r="D644" s="38" t="s">
        <v>582</v>
      </c>
      <c r="E644" s="38" t="s">
        <v>10</v>
      </c>
      <c r="F644" s="38" t="s">
        <v>11</v>
      </c>
      <c r="G644" s="36" t="s">
        <v>11</v>
      </c>
      <c r="H644" s="38" t="s">
        <v>15</v>
      </c>
      <c r="I644" s="157">
        <v>407</v>
      </c>
      <c r="J644" t="s">
        <v>4035</v>
      </c>
    </row>
    <row r="645" spans="1:10" x14ac:dyDescent="0.25">
      <c r="A645" s="37" t="str">
        <f>C645&amp;"-"&amp;D645&amp;"-"&amp;E645&amp;"-"&amp;F645&amp;"-"&amp;CATALOGO[[#This Row],[Sub cuenta 3]]</f>
        <v>E-20-02-00-00</v>
      </c>
      <c r="B645" s="37" t="s">
        <v>584</v>
      </c>
      <c r="C645" s="37" t="s">
        <v>114</v>
      </c>
      <c r="D645" s="38" t="s">
        <v>582</v>
      </c>
      <c r="E645" s="38" t="s">
        <v>17</v>
      </c>
      <c r="F645" s="38" t="s">
        <v>11</v>
      </c>
      <c r="G645" s="36" t="s">
        <v>11</v>
      </c>
      <c r="H645" s="38" t="s">
        <v>15</v>
      </c>
      <c r="I645" s="157">
        <v>407</v>
      </c>
      <c r="J645" t="s">
        <v>4035</v>
      </c>
    </row>
    <row r="646" spans="1:10" x14ac:dyDescent="0.25">
      <c r="A646" s="37" t="str">
        <f>C646&amp;"-"&amp;D646&amp;"-"&amp;E646&amp;"-"&amp;F646&amp;"-"&amp;CATALOGO[[#This Row],[Sub cuenta 3]]</f>
        <v>E-20-03-00-00</v>
      </c>
      <c r="B646" s="37" t="s">
        <v>585</v>
      </c>
      <c r="C646" s="37" t="s">
        <v>114</v>
      </c>
      <c r="D646" s="38" t="s">
        <v>582</v>
      </c>
      <c r="E646" s="38" t="s">
        <v>22</v>
      </c>
      <c r="F646" s="38" t="s">
        <v>11</v>
      </c>
      <c r="G646" s="36" t="s">
        <v>11</v>
      </c>
      <c r="H646" s="38" t="s">
        <v>15</v>
      </c>
      <c r="I646" s="157">
        <v>407</v>
      </c>
      <c r="J646" t="s">
        <v>4035</v>
      </c>
    </row>
    <row r="647" spans="1:10" x14ac:dyDescent="0.25">
      <c r="A647" s="37" t="str">
        <f>C647&amp;"-"&amp;D647&amp;"-"&amp;E647&amp;"-"&amp;F647&amp;"-"&amp;CATALOGO[[#This Row],[Sub cuenta 3]]</f>
        <v>E-20-04-00-00</v>
      </c>
      <c r="B647" s="37" t="s">
        <v>586</v>
      </c>
      <c r="C647" s="37" t="s">
        <v>114</v>
      </c>
      <c r="D647" s="38" t="s">
        <v>582</v>
      </c>
      <c r="E647" s="38" t="s">
        <v>26</v>
      </c>
      <c r="F647" s="38" t="s">
        <v>11</v>
      </c>
      <c r="G647" s="36" t="s">
        <v>11</v>
      </c>
      <c r="H647" s="38" t="s">
        <v>15</v>
      </c>
      <c r="I647" s="157">
        <v>407</v>
      </c>
      <c r="J647" t="s">
        <v>4035</v>
      </c>
    </row>
    <row r="648" spans="1:10" x14ac:dyDescent="0.25">
      <c r="A648" s="37" t="str">
        <f>C648&amp;"-"&amp;D648&amp;"-"&amp;E648&amp;"-"&amp;F648&amp;"-"&amp;CATALOGO[[#This Row],[Sub cuenta 3]]</f>
        <v>E-20-05-00-00</v>
      </c>
      <c r="B648" s="37" t="s">
        <v>587</v>
      </c>
      <c r="C648" s="37" t="s">
        <v>114</v>
      </c>
      <c r="D648" s="38" t="s">
        <v>582</v>
      </c>
      <c r="E648" s="38" t="s">
        <v>62</v>
      </c>
      <c r="F648" s="38" t="s">
        <v>11</v>
      </c>
      <c r="G648" s="36" t="s">
        <v>11</v>
      </c>
      <c r="H648" s="38" t="s">
        <v>15</v>
      </c>
      <c r="I648" s="157">
        <v>407</v>
      </c>
      <c r="J648" t="s">
        <v>4035</v>
      </c>
    </row>
    <row r="649" spans="1:10" x14ac:dyDescent="0.25">
      <c r="A649" s="37" t="str">
        <f>C649&amp;"-"&amp;D649&amp;"-"&amp;E649&amp;"-"&amp;F649&amp;"-"&amp;CATALOGO[[#This Row],[Sub cuenta 3]]</f>
        <v>E-20-06-00-00</v>
      </c>
      <c r="B649" s="37" t="s">
        <v>588</v>
      </c>
      <c r="C649" s="37" t="s">
        <v>114</v>
      </c>
      <c r="D649" s="38" t="s">
        <v>582</v>
      </c>
      <c r="E649" s="38" t="s">
        <v>73</v>
      </c>
      <c r="F649" s="38" t="s">
        <v>11</v>
      </c>
      <c r="G649" s="36" t="s">
        <v>11</v>
      </c>
      <c r="H649" s="38" t="s">
        <v>15</v>
      </c>
      <c r="I649" s="157">
        <v>407</v>
      </c>
      <c r="J649" t="s">
        <v>4035</v>
      </c>
    </row>
    <row r="650" spans="1:10" x14ac:dyDescent="0.25">
      <c r="A650" s="35" t="str">
        <f>C650&amp;"-"&amp;D650&amp;"-"&amp;E650&amp;"-"&amp;F650&amp;"-"&amp;CATALOGO[[#This Row],[Sub cuenta 3]]</f>
        <v>E-21-00-00-00</v>
      </c>
      <c r="B650" s="35" t="s">
        <v>589</v>
      </c>
      <c r="C650" s="37" t="s">
        <v>114</v>
      </c>
      <c r="D650" s="38" t="s">
        <v>590</v>
      </c>
      <c r="E650" s="38" t="s">
        <v>11</v>
      </c>
      <c r="F650" s="38" t="s">
        <v>11</v>
      </c>
      <c r="G650" s="38" t="s">
        <v>11</v>
      </c>
      <c r="H650" s="38" t="s">
        <v>12</v>
      </c>
      <c r="I650" s="157">
        <v>407</v>
      </c>
      <c r="J650" t="s">
        <v>4035</v>
      </c>
    </row>
    <row r="651" spans="1:10" x14ac:dyDescent="0.25">
      <c r="A651" s="37" t="str">
        <f>C651&amp;"-"&amp;D651&amp;"-"&amp;E651&amp;"-"&amp;F651&amp;"-"&amp;CATALOGO[[#This Row],[Sub cuenta 3]]</f>
        <v>E-21-01-00-00</v>
      </c>
      <c r="B651" s="37" t="s">
        <v>591</v>
      </c>
      <c r="C651" s="37" t="s">
        <v>114</v>
      </c>
      <c r="D651" s="38" t="s">
        <v>590</v>
      </c>
      <c r="E651" s="38" t="s">
        <v>10</v>
      </c>
      <c r="F651" s="38" t="s">
        <v>11</v>
      </c>
      <c r="G651" s="38" t="s">
        <v>11</v>
      </c>
      <c r="H651" s="38" t="s">
        <v>12</v>
      </c>
      <c r="I651" s="157">
        <v>407</v>
      </c>
      <c r="J651" t="s">
        <v>4035</v>
      </c>
    </row>
    <row r="652" spans="1:10" x14ac:dyDescent="0.25">
      <c r="A652" s="37" t="str">
        <f>C652&amp;"-"&amp;D652&amp;"-"&amp;E652&amp;"-"&amp;F652&amp;"-"&amp;CATALOGO[[#This Row],[Sub cuenta 3]]</f>
        <v>E-21-01-01-00</v>
      </c>
      <c r="B652" s="37" t="s">
        <v>592</v>
      </c>
      <c r="C652" s="37" t="s">
        <v>114</v>
      </c>
      <c r="D652" s="38" t="s">
        <v>590</v>
      </c>
      <c r="E652" s="38" t="s">
        <v>10</v>
      </c>
      <c r="F652" s="38" t="s">
        <v>10</v>
      </c>
      <c r="G652" s="38" t="s">
        <v>11</v>
      </c>
      <c r="H652" s="38" t="s">
        <v>15</v>
      </c>
      <c r="I652" s="157">
        <v>407</v>
      </c>
      <c r="J652" t="s">
        <v>4035</v>
      </c>
    </row>
    <row r="653" spans="1:10" x14ac:dyDescent="0.25">
      <c r="A653" s="37" t="str">
        <f>C653&amp;"-"&amp;D653&amp;"-"&amp;E653&amp;"-"&amp;F653&amp;"-"&amp;CATALOGO[[#This Row],[Sub cuenta 3]]</f>
        <v>E-21-01-02-00</v>
      </c>
      <c r="B653" s="37" t="s">
        <v>593</v>
      </c>
      <c r="C653" s="37" t="s">
        <v>114</v>
      </c>
      <c r="D653" s="38" t="s">
        <v>590</v>
      </c>
      <c r="E653" s="38" t="s">
        <v>10</v>
      </c>
      <c r="F653" s="38" t="s">
        <v>17</v>
      </c>
      <c r="G653" s="38" t="s">
        <v>11</v>
      </c>
      <c r="H653" s="38" t="s">
        <v>15</v>
      </c>
      <c r="I653" s="157">
        <v>407</v>
      </c>
      <c r="J653" t="s">
        <v>4035</v>
      </c>
    </row>
    <row r="654" spans="1:10" x14ac:dyDescent="0.25">
      <c r="A654" s="37" t="str">
        <f>C654&amp;"-"&amp;D654&amp;"-"&amp;E654&amp;"-"&amp;F654&amp;"-"&amp;CATALOGO[[#This Row],[Sub cuenta 3]]</f>
        <v>E-21-01-03-00</v>
      </c>
      <c r="B654" s="37" t="s">
        <v>594</v>
      </c>
      <c r="C654" s="37" t="s">
        <v>114</v>
      </c>
      <c r="D654" s="38" t="s">
        <v>590</v>
      </c>
      <c r="E654" s="38" t="s">
        <v>10</v>
      </c>
      <c r="F654" s="38" t="s">
        <v>22</v>
      </c>
      <c r="G654" s="38" t="s">
        <v>11</v>
      </c>
      <c r="H654" s="38" t="s">
        <v>15</v>
      </c>
      <c r="I654" s="157">
        <v>407</v>
      </c>
      <c r="J654" t="s">
        <v>4035</v>
      </c>
    </row>
    <row r="655" spans="1:10" x14ac:dyDescent="0.25">
      <c r="A655" s="37" t="str">
        <f>C655&amp;"-"&amp;D655&amp;"-"&amp;E655&amp;"-"&amp;F655&amp;"-"&amp;CATALOGO[[#This Row],[Sub cuenta 3]]</f>
        <v>E-21-01-04-00</v>
      </c>
      <c r="B655" s="37" t="s">
        <v>595</v>
      </c>
      <c r="C655" s="37" t="s">
        <v>114</v>
      </c>
      <c r="D655" s="38" t="s">
        <v>590</v>
      </c>
      <c r="E655" s="38" t="s">
        <v>10</v>
      </c>
      <c r="F655" s="38" t="s">
        <v>26</v>
      </c>
      <c r="G655" s="38" t="s">
        <v>11</v>
      </c>
      <c r="H655" s="38" t="s">
        <v>15</v>
      </c>
      <c r="I655" s="157">
        <v>407</v>
      </c>
      <c r="J655" t="s">
        <v>4035</v>
      </c>
    </row>
    <row r="656" spans="1:10" x14ac:dyDescent="0.25">
      <c r="A656" s="37" t="str">
        <f>C656&amp;"-"&amp;D656&amp;"-"&amp;E656&amp;"-"&amp;F656&amp;"-"&amp;CATALOGO[[#This Row],[Sub cuenta 3]]</f>
        <v>E-21-02-00-00</v>
      </c>
      <c r="B656" s="37" t="s">
        <v>596</v>
      </c>
      <c r="C656" s="37" t="s">
        <v>114</v>
      </c>
      <c r="D656" s="38" t="s">
        <v>590</v>
      </c>
      <c r="E656" s="38" t="s">
        <v>17</v>
      </c>
      <c r="F656" s="38" t="s">
        <v>11</v>
      </c>
      <c r="G656" s="38" t="s">
        <v>11</v>
      </c>
      <c r="H656" s="38" t="s">
        <v>12</v>
      </c>
      <c r="I656" s="157">
        <v>407</v>
      </c>
      <c r="J656" t="s">
        <v>4035</v>
      </c>
    </row>
    <row r="657" spans="1:10" x14ac:dyDescent="0.25">
      <c r="A657" s="37" t="str">
        <f>C657&amp;"-"&amp;D657&amp;"-"&amp;E657&amp;"-"&amp;F657&amp;"-"&amp;CATALOGO[[#This Row],[Sub cuenta 3]]</f>
        <v>E-21-02-01-00</v>
      </c>
      <c r="B657" s="37" t="s">
        <v>597</v>
      </c>
      <c r="C657" s="37" t="s">
        <v>114</v>
      </c>
      <c r="D657" s="38" t="s">
        <v>590</v>
      </c>
      <c r="E657" s="38" t="s">
        <v>17</v>
      </c>
      <c r="F657" s="38" t="s">
        <v>10</v>
      </c>
      <c r="G657" s="38" t="s">
        <v>11</v>
      </c>
      <c r="H657" s="38" t="s">
        <v>15</v>
      </c>
      <c r="I657" s="157">
        <v>407</v>
      </c>
      <c r="J657" t="s">
        <v>4035</v>
      </c>
    </row>
    <row r="658" spans="1:10" x14ac:dyDescent="0.25">
      <c r="A658" s="37" t="str">
        <f>C658&amp;"-"&amp;D658&amp;"-"&amp;E658&amp;"-"&amp;F658&amp;"-"&amp;CATALOGO[[#This Row],[Sub cuenta 3]]</f>
        <v>E-21-02-02-00</v>
      </c>
      <c r="B658" s="37" t="s">
        <v>598</v>
      </c>
      <c r="C658" s="37" t="s">
        <v>114</v>
      </c>
      <c r="D658" s="38" t="s">
        <v>590</v>
      </c>
      <c r="E658" s="38" t="s">
        <v>17</v>
      </c>
      <c r="F658" s="38" t="s">
        <v>17</v>
      </c>
      <c r="G658" s="38" t="s">
        <v>11</v>
      </c>
      <c r="H658" s="38" t="s">
        <v>15</v>
      </c>
      <c r="I658" s="157">
        <v>407</v>
      </c>
      <c r="J658" t="s">
        <v>4035</v>
      </c>
    </row>
    <row r="659" spans="1:10" x14ac:dyDescent="0.25">
      <c r="A659" s="37" t="str">
        <f>C659&amp;"-"&amp;D659&amp;"-"&amp;E659&amp;"-"&amp;F659&amp;"-"&amp;CATALOGO[[#This Row],[Sub cuenta 3]]</f>
        <v>E-21-02-03-00</v>
      </c>
      <c r="B659" s="37" t="s">
        <v>599</v>
      </c>
      <c r="C659" s="37" t="s">
        <v>114</v>
      </c>
      <c r="D659" s="38" t="s">
        <v>590</v>
      </c>
      <c r="E659" s="38" t="s">
        <v>17</v>
      </c>
      <c r="F659" s="38" t="s">
        <v>22</v>
      </c>
      <c r="G659" s="38" t="s">
        <v>11</v>
      </c>
      <c r="H659" s="38" t="s">
        <v>15</v>
      </c>
      <c r="I659" s="157">
        <v>407</v>
      </c>
      <c r="J659" t="s">
        <v>4035</v>
      </c>
    </row>
    <row r="660" spans="1:10" x14ac:dyDescent="0.25">
      <c r="A660" s="37" t="str">
        <f>C660&amp;"-"&amp;D660&amp;"-"&amp;E660&amp;"-"&amp;F660&amp;"-"&amp;CATALOGO[[#This Row],[Sub cuenta 3]]</f>
        <v>E-21-02-04-00</v>
      </c>
      <c r="B660" s="37" t="s">
        <v>600</v>
      </c>
      <c r="C660" s="37" t="s">
        <v>114</v>
      </c>
      <c r="D660" s="38" t="s">
        <v>590</v>
      </c>
      <c r="E660" s="38" t="s">
        <v>17</v>
      </c>
      <c r="F660" s="38" t="s">
        <v>26</v>
      </c>
      <c r="G660" s="38" t="s">
        <v>11</v>
      </c>
      <c r="H660" s="38" t="s">
        <v>15</v>
      </c>
      <c r="I660" s="157">
        <v>407</v>
      </c>
      <c r="J660" t="s">
        <v>4035</v>
      </c>
    </row>
    <row r="661" spans="1:10" x14ac:dyDescent="0.25">
      <c r="A661" s="37" t="str">
        <f>C661&amp;"-"&amp;D661&amp;"-"&amp;E661&amp;"-"&amp;F661&amp;"-"&amp;CATALOGO[[#This Row],[Sub cuenta 3]]</f>
        <v>E-21-02-05-00</v>
      </c>
      <c r="B661" s="37" t="s">
        <v>601</v>
      </c>
      <c r="C661" s="37" t="s">
        <v>114</v>
      </c>
      <c r="D661" s="38" t="s">
        <v>590</v>
      </c>
      <c r="E661" s="38" t="s">
        <v>17</v>
      </c>
      <c r="F661" s="38" t="s">
        <v>62</v>
      </c>
      <c r="G661" s="38" t="s">
        <v>11</v>
      </c>
      <c r="H661" s="38" t="s">
        <v>15</v>
      </c>
      <c r="I661" s="157">
        <v>407</v>
      </c>
      <c r="J661" t="s">
        <v>4035</v>
      </c>
    </row>
    <row r="662" spans="1:10" x14ac:dyDescent="0.25">
      <c r="A662" s="37" t="str">
        <f>C662&amp;"-"&amp;D662&amp;"-"&amp;E662&amp;"-"&amp;F662&amp;"-"&amp;CATALOGO[[#This Row],[Sub cuenta 3]]</f>
        <v>E-21-03-00-00</v>
      </c>
      <c r="B662" s="37" t="s">
        <v>602</v>
      </c>
      <c r="C662" s="37" t="s">
        <v>114</v>
      </c>
      <c r="D662" s="38" t="s">
        <v>590</v>
      </c>
      <c r="E662" s="38" t="s">
        <v>22</v>
      </c>
      <c r="F662" s="38" t="s">
        <v>11</v>
      </c>
      <c r="G662" s="38" t="s">
        <v>11</v>
      </c>
      <c r="H662" s="38" t="s">
        <v>12</v>
      </c>
      <c r="I662" s="157">
        <v>407</v>
      </c>
      <c r="J662" t="s">
        <v>4035</v>
      </c>
    </row>
    <row r="663" spans="1:10" x14ac:dyDescent="0.25">
      <c r="A663" s="37" t="str">
        <f>C663&amp;"-"&amp;D663&amp;"-"&amp;E663&amp;"-"&amp;F663&amp;"-"&amp;CATALOGO[[#This Row],[Sub cuenta 3]]</f>
        <v>E-21-03-01-00</v>
      </c>
      <c r="B663" s="37" t="s">
        <v>603</v>
      </c>
      <c r="C663" s="37" t="s">
        <v>114</v>
      </c>
      <c r="D663" s="38" t="s">
        <v>590</v>
      </c>
      <c r="E663" s="38" t="s">
        <v>22</v>
      </c>
      <c r="F663" s="38" t="s">
        <v>10</v>
      </c>
      <c r="G663" s="38" t="s">
        <v>11</v>
      </c>
      <c r="H663" s="38" t="s">
        <v>15</v>
      </c>
      <c r="I663" s="157">
        <v>407</v>
      </c>
      <c r="J663" t="s">
        <v>4035</v>
      </c>
    </row>
    <row r="664" spans="1:10" x14ac:dyDescent="0.25">
      <c r="A664" s="37" t="str">
        <f>C664&amp;"-"&amp;D664&amp;"-"&amp;E664&amp;"-"&amp;F664&amp;"-"&amp;CATALOGO[[#This Row],[Sub cuenta 3]]</f>
        <v>E-21-03-02-00</v>
      </c>
      <c r="B664" s="37" t="s">
        <v>604</v>
      </c>
      <c r="C664" s="37" t="s">
        <v>114</v>
      </c>
      <c r="D664" s="38" t="s">
        <v>590</v>
      </c>
      <c r="E664" s="38" t="s">
        <v>22</v>
      </c>
      <c r="F664" s="38" t="s">
        <v>17</v>
      </c>
      <c r="G664" s="38" t="s">
        <v>11</v>
      </c>
      <c r="H664" s="38" t="s">
        <v>15</v>
      </c>
      <c r="I664" s="157">
        <v>407</v>
      </c>
      <c r="J664" t="s">
        <v>4035</v>
      </c>
    </row>
    <row r="665" spans="1:10" x14ac:dyDescent="0.25">
      <c r="A665" s="37" t="str">
        <f>C665&amp;"-"&amp;D665&amp;"-"&amp;E665&amp;"-"&amp;F665&amp;"-"&amp;CATALOGO[[#This Row],[Sub cuenta 3]]</f>
        <v>E-21-03-03-00</v>
      </c>
      <c r="B665" s="37" t="s">
        <v>605</v>
      </c>
      <c r="C665" s="37" t="s">
        <v>114</v>
      </c>
      <c r="D665" s="38" t="s">
        <v>590</v>
      </c>
      <c r="E665" s="38" t="s">
        <v>22</v>
      </c>
      <c r="F665" s="38" t="s">
        <v>22</v>
      </c>
      <c r="G665" s="38" t="s">
        <v>11</v>
      </c>
      <c r="H665" s="38" t="s">
        <v>15</v>
      </c>
      <c r="I665" s="157">
        <v>407</v>
      </c>
      <c r="J665" t="s">
        <v>4035</v>
      </c>
    </row>
    <row r="666" spans="1:10" x14ac:dyDescent="0.25">
      <c r="A666" s="37" t="str">
        <f>C666&amp;"-"&amp;D666&amp;"-"&amp;E666&amp;"-"&amp;F666&amp;"-"&amp;CATALOGO[[#This Row],[Sub cuenta 3]]</f>
        <v>E-21-04-00-00</v>
      </c>
      <c r="B666" s="37" t="s">
        <v>606</v>
      </c>
      <c r="C666" s="37" t="s">
        <v>114</v>
      </c>
      <c r="D666" s="38" t="s">
        <v>590</v>
      </c>
      <c r="E666" s="38" t="s">
        <v>26</v>
      </c>
      <c r="F666" s="38" t="s">
        <v>11</v>
      </c>
      <c r="G666" s="38" t="s">
        <v>11</v>
      </c>
      <c r="H666" s="38" t="s">
        <v>12</v>
      </c>
      <c r="I666" s="157">
        <v>407</v>
      </c>
      <c r="J666" t="s">
        <v>4035</v>
      </c>
    </row>
    <row r="667" spans="1:10" x14ac:dyDescent="0.25">
      <c r="A667" s="37" t="str">
        <f>C667&amp;"-"&amp;D667&amp;"-"&amp;E667&amp;"-"&amp;F667&amp;"-"&amp;CATALOGO[[#This Row],[Sub cuenta 3]]</f>
        <v>E-21-04-01-00</v>
      </c>
      <c r="B667" s="37" t="s">
        <v>607</v>
      </c>
      <c r="C667" s="37" t="s">
        <v>114</v>
      </c>
      <c r="D667" s="38" t="s">
        <v>590</v>
      </c>
      <c r="E667" s="38" t="s">
        <v>26</v>
      </c>
      <c r="F667" s="38" t="s">
        <v>10</v>
      </c>
      <c r="G667" s="38" t="s">
        <v>11</v>
      </c>
      <c r="H667" s="38" t="s">
        <v>15</v>
      </c>
      <c r="I667" s="157">
        <v>407</v>
      </c>
      <c r="J667" t="s">
        <v>4035</v>
      </c>
    </row>
    <row r="668" spans="1:10" x14ac:dyDescent="0.25">
      <c r="A668" s="37" t="str">
        <f>C668&amp;"-"&amp;D668&amp;"-"&amp;E668&amp;"-"&amp;F668&amp;"-"&amp;CATALOGO[[#This Row],[Sub cuenta 3]]</f>
        <v>E-21-04-02-00</v>
      </c>
      <c r="B668" s="37" t="s">
        <v>608</v>
      </c>
      <c r="C668" s="37" t="s">
        <v>114</v>
      </c>
      <c r="D668" s="38" t="s">
        <v>590</v>
      </c>
      <c r="E668" s="38" t="s">
        <v>26</v>
      </c>
      <c r="F668" s="38" t="s">
        <v>17</v>
      </c>
      <c r="G668" s="38" t="s">
        <v>11</v>
      </c>
      <c r="H668" s="38" t="s">
        <v>15</v>
      </c>
      <c r="I668" s="157">
        <v>407</v>
      </c>
      <c r="J668" t="s">
        <v>4035</v>
      </c>
    </row>
    <row r="669" spans="1:10" x14ac:dyDescent="0.25">
      <c r="A669" s="37" t="str">
        <f>C669&amp;"-"&amp;D669&amp;"-"&amp;E669&amp;"-"&amp;F669&amp;"-"&amp;CATALOGO[[#This Row],[Sub cuenta 3]]</f>
        <v>E-21-04-03-00</v>
      </c>
      <c r="B669" s="37" t="s">
        <v>609</v>
      </c>
      <c r="C669" s="37" t="s">
        <v>114</v>
      </c>
      <c r="D669" s="38" t="s">
        <v>590</v>
      </c>
      <c r="E669" s="38" t="s">
        <v>26</v>
      </c>
      <c r="F669" s="38" t="s">
        <v>22</v>
      </c>
      <c r="G669" s="38" t="s">
        <v>11</v>
      </c>
      <c r="H669" s="38" t="s">
        <v>15</v>
      </c>
      <c r="I669" s="157">
        <v>407</v>
      </c>
      <c r="J669" t="s">
        <v>4035</v>
      </c>
    </row>
    <row r="670" spans="1:10" x14ac:dyDescent="0.25">
      <c r="A670" s="37" t="str">
        <f>C670&amp;"-"&amp;D670&amp;"-"&amp;E670&amp;"-"&amp;F670&amp;"-"&amp;CATALOGO[[#This Row],[Sub cuenta 3]]</f>
        <v>E-21-05-00-00</v>
      </c>
      <c r="B670" s="37" t="s">
        <v>610</v>
      </c>
      <c r="C670" s="37" t="s">
        <v>114</v>
      </c>
      <c r="D670" s="38" t="s">
        <v>590</v>
      </c>
      <c r="E670" s="38" t="s">
        <v>62</v>
      </c>
      <c r="F670" s="38" t="s">
        <v>11</v>
      </c>
      <c r="G670" s="38" t="s">
        <v>11</v>
      </c>
      <c r="H670" s="38" t="s">
        <v>15</v>
      </c>
      <c r="I670" s="157">
        <v>407</v>
      </c>
      <c r="J670" t="s">
        <v>4035</v>
      </c>
    </row>
    <row r="671" spans="1:10" x14ac:dyDescent="0.25">
      <c r="A671" s="37" t="str">
        <f>C671&amp;"-"&amp;D671&amp;"-"&amp;E671&amp;"-"&amp;F671&amp;"-"&amp;CATALOGO[[#This Row],[Sub cuenta 3]]</f>
        <v>E-21-06-00-00</v>
      </c>
      <c r="B671" s="37" t="s">
        <v>611</v>
      </c>
      <c r="C671" s="37" t="s">
        <v>114</v>
      </c>
      <c r="D671" s="38" t="s">
        <v>590</v>
      </c>
      <c r="E671" s="38" t="s">
        <v>73</v>
      </c>
      <c r="F671" s="38" t="s">
        <v>11</v>
      </c>
      <c r="G671" s="38" t="s">
        <v>11</v>
      </c>
      <c r="H671" s="38" t="s">
        <v>12</v>
      </c>
      <c r="I671" s="157">
        <v>407</v>
      </c>
      <c r="J671" t="s">
        <v>4035</v>
      </c>
    </row>
    <row r="672" spans="1:10" x14ac:dyDescent="0.25">
      <c r="A672" s="37" t="str">
        <f>C672&amp;"-"&amp;D672&amp;"-"&amp;E672&amp;"-"&amp;F672&amp;"-"&amp;CATALOGO[[#This Row],[Sub cuenta 3]]</f>
        <v>E-21-06-01-00</v>
      </c>
      <c r="B672" s="37" t="s">
        <v>612</v>
      </c>
      <c r="C672" s="37" t="s">
        <v>114</v>
      </c>
      <c r="D672" s="38" t="s">
        <v>590</v>
      </c>
      <c r="E672" s="38" t="s">
        <v>73</v>
      </c>
      <c r="F672" s="38" t="s">
        <v>10</v>
      </c>
      <c r="G672" s="38" t="s">
        <v>11</v>
      </c>
      <c r="H672" s="38" t="s">
        <v>15</v>
      </c>
      <c r="I672" s="157">
        <v>407</v>
      </c>
      <c r="J672" t="s">
        <v>4035</v>
      </c>
    </row>
    <row r="673" spans="1:10" x14ac:dyDescent="0.25">
      <c r="A673" s="37" t="str">
        <f>C673&amp;"-"&amp;D673&amp;"-"&amp;E673&amp;"-"&amp;F673&amp;"-"&amp;CATALOGO[[#This Row],[Sub cuenta 3]]</f>
        <v>E-21-06-02-00</v>
      </c>
      <c r="B673" s="37" t="s">
        <v>613</v>
      </c>
      <c r="C673" s="37" t="s">
        <v>114</v>
      </c>
      <c r="D673" s="38" t="s">
        <v>590</v>
      </c>
      <c r="E673" s="38" t="s">
        <v>73</v>
      </c>
      <c r="F673" s="38" t="s">
        <v>17</v>
      </c>
      <c r="G673" s="38" t="s">
        <v>11</v>
      </c>
      <c r="H673" s="38" t="s">
        <v>15</v>
      </c>
      <c r="I673" s="157">
        <v>407</v>
      </c>
      <c r="J673" t="s">
        <v>4035</v>
      </c>
    </row>
    <row r="674" spans="1:10" x14ac:dyDescent="0.25">
      <c r="A674" s="37" t="str">
        <f>C674&amp;"-"&amp;D674&amp;"-"&amp;E674&amp;"-"&amp;F674&amp;"-"&amp;CATALOGO[[#This Row],[Sub cuenta 3]]</f>
        <v>E-21-06-03-00</v>
      </c>
      <c r="B674" s="37" t="s">
        <v>614</v>
      </c>
      <c r="C674" s="37" t="s">
        <v>114</v>
      </c>
      <c r="D674" s="38" t="s">
        <v>590</v>
      </c>
      <c r="E674" s="38" t="s">
        <v>73</v>
      </c>
      <c r="F674" s="38" t="s">
        <v>22</v>
      </c>
      <c r="G674" s="38" t="s">
        <v>11</v>
      </c>
      <c r="H674" s="38" t="s">
        <v>15</v>
      </c>
      <c r="I674" s="157">
        <v>407</v>
      </c>
      <c r="J674" t="s">
        <v>4035</v>
      </c>
    </row>
    <row r="675" spans="1:10" x14ac:dyDescent="0.25">
      <c r="A675" s="37" t="str">
        <f>C675&amp;"-"&amp;D675&amp;"-"&amp;E675&amp;"-"&amp;F675&amp;"-"&amp;CATALOGO[[#This Row],[Sub cuenta 3]]</f>
        <v>E-21-06-04-00</v>
      </c>
      <c r="B675" s="37" t="s">
        <v>615</v>
      </c>
      <c r="C675" s="37" t="s">
        <v>114</v>
      </c>
      <c r="D675" s="38" t="s">
        <v>590</v>
      </c>
      <c r="E675" s="38" t="s">
        <v>73</v>
      </c>
      <c r="F675" s="38" t="s">
        <v>26</v>
      </c>
      <c r="G675" s="38" t="s">
        <v>11</v>
      </c>
      <c r="H675" s="38" t="s">
        <v>15</v>
      </c>
      <c r="I675" s="157">
        <v>407</v>
      </c>
      <c r="J675" t="s">
        <v>4035</v>
      </c>
    </row>
    <row r="676" spans="1:10" x14ac:dyDescent="0.25">
      <c r="A676" s="37" t="str">
        <f>C676&amp;"-"&amp;D676&amp;"-"&amp;E676&amp;"-"&amp;F676&amp;"-"&amp;CATALOGO[[#This Row],[Sub cuenta 3]]</f>
        <v>E-21-06-05-00</v>
      </c>
      <c r="B676" s="37" t="s">
        <v>616</v>
      </c>
      <c r="C676" s="37" t="s">
        <v>114</v>
      </c>
      <c r="D676" s="38" t="s">
        <v>590</v>
      </c>
      <c r="E676" s="38" t="s">
        <v>73</v>
      </c>
      <c r="F676" s="38" t="s">
        <v>62</v>
      </c>
      <c r="G676" s="38" t="s">
        <v>11</v>
      </c>
      <c r="H676" s="38" t="s">
        <v>15</v>
      </c>
      <c r="I676" s="157">
        <v>407</v>
      </c>
      <c r="J676" t="s">
        <v>4035</v>
      </c>
    </row>
    <row r="677" spans="1:10" x14ac:dyDescent="0.25">
      <c r="A677" s="37" t="str">
        <f>C677&amp;"-"&amp;D677&amp;"-"&amp;E677&amp;"-"&amp;F677&amp;"-"&amp;CATALOGO[[#This Row],[Sub cuenta 3]]</f>
        <v>E-21-07-00-00</v>
      </c>
      <c r="B677" s="37" t="s">
        <v>617</v>
      </c>
      <c r="C677" s="37" t="s">
        <v>114</v>
      </c>
      <c r="D677" s="38" t="s">
        <v>590</v>
      </c>
      <c r="E677" s="38" t="s">
        <v>75</v>
      </c>
      <c r="F677" s="38" t="s">
        <v>11</v>
      </c>
      <c r="G677" s="38" t="s">
        <v>11</v>
      </c>
      <c r="H677" s="38" t="s">
        <v>12</v>
      </c>
      <c r="I677" s="157">
        <v>407</v>
      </c>
      <c r="J677" t="s">
        <v>4035</v>
      </c>
    </row>
    <row r="678" spans="1:10" x14ac:dyDescent="0.25">
      <c r="A678" s="37" t="str">
        <f>C678&amp;"-"&amp;D678&amp;"-"&amp;E678&amp;"-"&amp;F678&amp;"-"&amp;CATALOGO[[#This Row],[Sub cuenta 3]]</f>
        <v>E-21-07-01-00</v>
      </c>
      <c r="B678" s="37" t="s">
        <v>618</v>
      </c>
      <c r="C678" s="37" t="s">
        <v>114</v>
      </c>
      <c r="D678" s="38" t="s">
        <v>590</v>
      </c>
      <c r="E678" s="38" t="s">
        <v>75</v>
      </c>
      <c r="F678" s="38" t="s">
        <v>10</v>
      </c>
      <c r="G678" s="38" t="s">
        <v>11</v>
      </c>
      <c r="H678" s="38" t="s">
        <v>15</v>
      </c>
      <c r="I678" s="157">
        <v>407</v>
      </c>
      <c r="J678" t="s">
        <v>4035</v>
      </c>
    </row>
    <row r="679" spans="1:10" x14ac:dyDescent="0.25">
      <c r="A679" s="37" t="str">
        <f>C679&amp;"-"&amp;D679&amp;"-"&amp;E679&amp;"-"&amp;F679&amp;"-"&amp;CATALOGO[[#This Row],[Sub cuenta 3]]</f>
        <v>E-21-07-02-00</v>
      </c>
      <c r="B679" s="37" t="s">
        <v>619</v>
      </c>
      <c r="C679" s="37" t="s">
        <v>114</v>
      </c>
      <c r="D679" s="38" t="s">
        <v>590</v>
      </c>
      <c r="E679" s="38" t="s">
        <v>75</v>
      </c>
      <c r="F679" s="38" t="s">
        <v>17</v>
      </c>
      <c r="G679" s="38" t="s">
        <v>11</v>
      </c>
      <c r="H679" s="38" t="s">
        <v>15</v>
      </c>
      <c r="I679" s="157">
        <v>407</v>
      </c>
      <c r="J679" t="s">
        <v>4035</v>
      </c>
    </row>
    <row r="680" spans="1:10" x14ac:dyDescent="0.25">
      <c r="A680" s="37" t="str">
        <f>C680&amp;"-"&amp;D680&amp;"-"&amp;E680&amp;"-"&amp;F680&amp;"-"&amp;CATALOGO[[#This Row],[Sub cuenta 3]]</f>
        <v>E-21-08-00-00</v>
      </c>
      <c r="B680" s="37" t="s">
        <v>620</v>
      </c>
      <c r="C680" s="37" t="s">
        <v>114</v>
      </c>
      <c r="D680" s="38" t="s">
        <v>590</v>
      </c>
      <c r="E680" s="38" t="s">
        <v>77</v>
      </c>
      <c r="F680" s="38" t="s">
        <v>11</v>
      </c>
      <c r="G680" s="38" t="s">
        <v>11</v>
      </c>
      <c r="H680" s="38" t="s">
        <v>12</v>
      </c>
      <c r="I680" s="157">
        <v>407</v>
      </c>
      <c r="J680" t="s">
        <v>4035</v>
      </c>
    </row>
    <row r="681" spans="1:10" x14ac:dyDescent="0.25">
      <c r="A681" s="37" t="str">
        <f>C681&amp;"-"&amp;D681&amp;"-"&amp;E681&amp;"-"&amp;F681&amp;"-"&amp;CATALOGO[[#This Row],[Sub cuenta 3]]</f>
        <v>E-21-08-01-00</v>
      </c>
      <c r="B681" s="37" t="s">
        <v>621</v>
      </c>
      <c r="C681" s="37" t="s">
        <v>114</v>
      </c>
      <c r="D681" s="38" t="s">
        <v>590</v>
      </c>
      <c r="E681" s="38" t="s">
        <v>77</v>
      </c>
      <c r="F681" s="38" t="s">
        <v>10</v>
      </c>
      <c r="G681" s="38" t="s">
        <v>11</v>
      </c>
      <c r="H681" s="38" t="s">
        <v>15</v>
      </c>
      <c r="I681" s="157">
        <v>407</v>
      </c>
      <c r="J681" t="s">
        <v>4035</v>
      </c>
    </row>
    <row r="682" spans="1:10" s="7" customFormat="1" x14ac:dyDescent="0.25">
      <c r="A682" s="37" t="str">
        <f>C682&amp;"-"&amp;D682&amp;"-"&amp;E682&amp;"-"&amp;F682&amp;"-"&amp;CATALOGO[[#This Row],[Sub cuenta 3]]</f>
        <v>E-21-08-02-00</v>
      </c>
      <c r="B682" s="37" t="s">
        <v>622</v>
      </c>
      <c r="C682" s="37" t="s">
        <v>114</v>
      </c>
      <c r="D682" s="38" t="s">
        <v>590</v>
      </c>
      <c r="E682" s="38" t="s">
        <v>77</v>
      </c>
      <c r="F682" s="38" t="s">
        <v>17</v>
      </c>
      <c r="G682" s="38" t="s">
        <v>11</v>
      </c>
      <c r="H682" s="38" t="s">
        <v>15</v>
      </c>
      <c r="I682" s="157">
        <v>407</v>
      </c>
      <c r="J682" t="s">
        <v>4035</v>
      </c>
    </row>
    <row r="683" spans="1:10" x14ac:dyDescent="0.25">
      <c r="A683" s="37" t="str">
        <f>C683&amp;"-"&amp;D683&amp;"-"&amp;E683&amp;"-"&amp;F683&amp;"-"&amp;CATALOGO[[#This Row],[Sub cuenta 3]]</f>
        <v>E-21-08-03-00</v>
      </c>
      <c r="B683" s="37" t="s">
        <v>623</v>
      </c>
      <c r="C683" s="37" t="s">
        <v>114</v>
      </c>
      <c r="D683" s="38" t="s">
        <v>590</v>
      </c>
      <c r="E683" s="38" t="s">
        <v>77</v>
      </c>
      <c r="F683" s="38" t="s">
        <v>22</v>
      </c>
      <c r="G683" s="38" t="s">
        <v>11</v>
      </c>
      <c r="H683" s="38" t="s">
        <v>15</v>
      </c>
      <c r="I683" s="157">
        <v>407</v>
      </c>
      <c r="J683" t="s">
        <v>4035</v>
      </c>
    </row>
    <row r="684" spans="1:10" x14ac:dyDescent="0.25">
      <c r="A684" s="37" t="str">
        <f>C684&amp;"-"&amp;D684&amp;"-"&amp;E684&amp;"-"&amp;F684&amp;"-"&amp;CATALOGO[[#This Row],[Sub cuenta 3]]</f>
        <v>E-21-09-00-00</v>
      </c>
      <c r="B684" s="37" t="s">
        <v>624</v>
      </c>
      <c r="C684" s="37" t="s">
        <v>114</v>
      </c>
      <c r="D684" s="38" t="s">
        <v>590</v>
      </c>
      <c r="E684" s="38" t="s">
        <v>79</v>
      </c>
      <c r="F684" s="38" t="s">
        <v>11</v>
      </c>
      <c r="G684" s="38" t="s">
        <v>11</v>
      </c>
      <c r="H684" s="38" t="s">
        <v>15</v>
      </c>
      <c r="I684" s="157">
        <v>407</v>
      </c>
      <c r="J684" t="s">
        <v>4035</v>
      </c>
    </row>
    <row r="685" spans="1:10" x14ac:dyDescent="0.25">
      <c r="A685" s="39" t="str">
        <f>C685&amp;"-"&amp;D685&amp;"-"&amp;E685&amp;"-"&amp;F685&amp;"-"&amp;CATALOGO[[#This Row],[Sub cuenta 3]]</f>
        <v>E-22-00-00-00</v>
      </c>
      <c r="B685" s="39" t="s">
        <v>625</v>
      </c>
      <c r="C685" s="7" t="s">
        <v>114</v>
      </c>
      <c r="D685" s="70" t="s">
        <v>626</v>
      </c>
      <c r="E685" s="70" t="s">
        <v>11</v>
      </c>
      <c r="F685" s="70" t="s">
        <v>11</v>
      </c>
      <c r="G685" s="8" t="s">
        <v>11</v>
      </c>
      <c r="H685" s="70" t="s">
        <v>12</v>
      </c>
      <c r="I685" s="157">
        <v>407</v>
      </c>
      <c r="J685" t="s">
        <v>4035</v>
      </c>
    </row>
    <row r="686" spans="1:10" x14ac:dyDescent="0.25">
      <c r="A686" s="37" t="str">
        <f>C686&amp;"-"&amp;D686&amp;"-"&amp;E686&amp;"-"&amp;F686&amp;"-"&amp;CATALOGO[[#This Row],[Sub cuenta 3]]</f>
        <v>E-22-01-00-00</v>
      </c>
      <c r="B686" s="37" t="s">
        <v>627</v>
      </c>
      <c r="C686" s="37" t="s">
        <v>114</v>
      </c>
      <c r="D686" s="38" t="s">
        <v>626</v>
      </c>
      <c r="E686" s="38" t="s">
        <v>10</v>
      </c>
      <c r="F686" s="38" t="s">
        <v>11</v>
      </c>
      <c r="G686" s="36" t="s">
        <v>11</v>
      </c>
      <c r="H686" s="38" t="s">
        <v>12</v>
      </c>
      <c r="I686" s="157">
        <v>407</v>
      </c>
      <c r="J686" t="s">
        <v>4035</v>
      </c>
    </row>
    <row r="687" spans="1:10" x14ac:dyDescent="0.25">
      <c r="A687" s="37" t="str">
        <f>C687&amp;"-"&amp;D687&amp;"-"&amp;E687&amp;"-"&amp;F687&amp;"-"&amp;CATALOGO[[#This Row],[Sub cuenta 3]]</f>
        <v>E-22-01-01-00</v>
      </c>
      <c r="B687" s="37" t="s">
        <v>203</v>
      </c>
      <c r="C687" s="37" t="s">
        <v>114</v>
      </c>
      <c r="D687" s="38" t="s">
        <v>626</v>
      </c>
      <c r="E687" s="38" t="s">
        <v>10</v>
      </c>
      <c r="F687" s="38" t="s">
        <v>10</v>
      </c>
      <c r="G687" s="36" t="s">
        <v>11</v>
      </c>
      <c r="H687" s="38" t="s">
        <v>12</v>
      </c>
      <c r="I687" s="157">
        <v>407</v>
      </c>
      <c r="J687" t="s">
        <v>4035</v>
      </c>
    </row>
    <row r="688" spans="1:10" x14ac:dyDescent="0.25">
      <c r="A688" s="37" t="str">
        <f>C688&amp;"-"&amp;D688&amp;"-"&amp;E688&amp;"-"&amp;F688&amp;"-"&amp;CATALOGO[[#This Row],[Sub cuenta 3]]</f>
        <v>E-22-01-01-01</v>
      </c>
      <c r="B688" s="37" t="s">
        <v>628</v>
      </c>
      <c r="C688" s="37" t="s">
        <v>114</v>
      </c>
      <c r="D688" s="38" t="s">
        <v>626</v>
      </c>
      <c r="E688" s="38" t="s">
        <v>10</v>
      </c>
      <c r="F688" s="38" t="s">
        <v>10</v>
      </c>
      <c r="G688" s="36" t="s">
        <v>10</v>
      </c>
      <c r="H688" s="38" t="s">
        <v>15</v>
      </c>
      <c r="I688" s="157">
        <v>407</v>
      </c>
      <c r="J688" t="s">
        <v>4035</v>
      </c>
    </row>
    <row r="689" spans="1:10" x14ac:dyDescent="0.25">
      <c r="A689" s="37" t="str">
        <f>C689&amp;"-"&amp;D689&amp;"-"&amp;E689&amp;"-"&amp;F689&amp;"-"&amp;CATALOGO[[#This Row],[Sub cuenta 3]]</f>
        <v>E-22-01-01-02</v>
      </c>
      <c r="B689" s="37" t="s">
        <v>629</v>
      </c>
      <c r="C689" s="37" t="s">
        <v>114</v>
      </c>
      <c r="D689" s="38" t="s">
        <v>626</v>
      </c>
      <c r="E689" s="38" t="s">
        <v>10</v>
      </c>
      <c r="F689" s="38" t="s">
        <v>10</v>
      </c>
      <c r="G689" s="36" t="s">
        <v>17</v>
      </c>
      <c r="H689" s="38" t="s">
        <v>15</v>
      </c>
      <c r="I689" s="157">
        <v>407</v>
      </c>
      <c r="J689" t="s">
        <v>4035</v>
      </c>
    </row>
    <row r="690" spans="1:10" x14ac:dyDescent="0.25">
      <c r="A690" s="37" t="str">
        <f>C690&amp;"-"&amp;D690&amp;"-"&amp;E690&amp;"-"&amp;F690&amp;"-"&amp;CATALOGO[[#This Row],[Sub cuenta 3]]</f>
        <v>E-22-01-01-03</v>
      </c>
      <c r="B690" s="37" t="s">
        <v>630</v>
      </c>
      <c r="C690" s="37" t="s">
        <v>114</v>
      </c>
      <c r="D690" s="38" t="s">
        <v>626</v>
      </c>
      <c r="E690" s="38" t="s">
        <v>10</v>
      </c>
      <c r="F690" s="38" t="s">
        <v>10</v>
      </c>
      <c r="G690" s="36" t="s">
        <v>22</v>
      </c>
      <c r="H690" s="38" t="s">
        <v>15</v>
      </c>
      <c r="I690" s="157">
        <v>407</v>
      </c>
      <c r="J690" t="s">
        <v>4035</v>
      </c>
    </row>
    <row r="691" spans="1:10" x14ac:dyDescent="0.25">
      <c r="A691" s="37" t="str">
        <f>C691&amp;"-"&amp;D691&amp;"-"&amp;E691&amp;"-"&amp;F691&amp;"-"&amp;CATALOGO[[#This Row],[Sub cuenta 3]]</f>
        <v>E-22-01-01-04</v>
      </c>
      <c r="B691" s="37" t="s">
        <v>631</v>
      </c>
      <c r="C691" s="37" t="s">
        <v>114</v>
      </c>
      <c r="D691" s="38" t="s">
        <v>626</v>
      </c>
      <c r="E691" s="38" t="s">
        <v>10</v>
      </c>
      <c r="F691" s="38" t="s">
        <v>10</v>
      </c>
      <c r="G691" s="36" t="s">
        <v>26</v>
      </c>
      <c r="H691" s="38" t="s">
        <v>15</v>
      </c>
      <c r="I691" s="157">
        <v>407</v>
      </c>
      <c r="J691" t="s">
        <v>4035</v>
      </c>
    </row>
    <row r="692" spans="1:10" x14ac:dyDescent="0.25">
      <c r="A692" s="37" t="str">
        <f>C692&amp;"-"&amp;D692&amp;"-"&amp;E692&amp;"-"&amp;F692&amp;"-"&amp;CATALOGO[[#This Row],[Sub cuenta 3]]</f>
        <v>E-22-01-01-05</v>
      </c>
      <c r="B692" s="37" t="s">
        <v>632</v>
      </c>
      <c r="C692" s="37" t="s">
        <v>114</v>
      </c>
      <c r="D692" s="38" t="s">
        <v>626</v>
      </c>
      <c r="E692" s="38" t="s">
        <v>10</v>
      </c>
      <c r="F692" s="38" t="s">
        <v>10</v>
      </c>
      <c r="G692" s="36" t="s">
        <v>62</v>
      </c>
      <c r="H692" s="38" t="s">
        <v>15</v>
      </c>
      <c r="I692" s="157">
        <v>407</v>
      </c>
      <c r="J692" t="s">
        <v>4035</v>
      </c>
    </row>
    <row r="693" spans="1:10" x14ac:dyDescent="0.25">
      <c r="A693" s="37" t="str">
        <f>C693&amp;"-"&amp;D693&amp;"-"&amp;E693&amp;"-"&amp;F693&amp;"-"&amp;CATALOGO[[#This Row],[Sub cuenta 3]]</f>
        <v>E-22-01-01-06</v>
      </c>
      <c r="B693" s="37" t="s">
        <v>633</v>
      </c>
      <c r="C693" s="37" t="s">
        <v>114</v>
      </c>
      <c r="D693" s="38" t="s">
        <v>626</v>
      </c>
      <c r="E693" s="38" t="s">
        <v>10</v>
      </c>
      <c r="F693" s="38" t="s">
        <v>10</v>
      </c>
      <c r="G693" s="36" t="s">
        <v>73</v>
      </c>
      <c r="H693" s="38" t="s">
        <v>15</v>
      </c>
      <c r="I693" s="157">
        <v>407</v>
      </c>
      <c r="J693" t="s">
        <v>4035</v>
      </c>
    </row>
    <row r="694" spans="1:10" x14ac:dyDescent="0.25">
      <c r="A694" s="37" t="str">
        <f>C694&amp;"-"&amp;D694&amp;"-"&amp;E694&amp;"-"&amp;F694&amp;"-"&amp;CATALOGO[[#This Row],[Sub cuenta 3]]</f>
        <v>E-22-01-01-07</v>
      </c>
      <c r="B694" s="37" t="s">
        <v>634</v>
      </c>
      <c r="C694" s="37" t="s">
        <v>114</v>
      </c>
      <c r="D694" s="38" t="s">
        <v>626</v>
      </c>
      <c r="E694" s="38" t="s">
        <v>10</v>
      </c>
      <c r="F694" s="38" t="s">
        <v>10</v>
      </c>
      <c r="G694" s="36" t="s">
        <v>75</v>
      </c>
      <c r="H694" s="38" t="s">
        <v>15</v>
      </c>
      <c r="I694" s="157">
        <v>407</v>
      </c>
      <c r="J694" t="s">
        <v>4035</v>
      </c>
    </row>
    <row r="695" spans="1:10" x14ac:dyDescent="0.25">
      <c r="A695" s="37" t="str">
        <f>C695&amp;"-"&amp;D695&amp;"-"&amp;E695&amp;"-"&amp;F695&amp;"-"&amp;CATALOGO[[#This Row],[Sub cuenta 3]]</f>
        <v>E-22-01-02-00</v>
      </c>
      <c r="B695" s="37" t="s">
        <v>205</v>
      </c>
      <c r="C695" s="37" t="s">
        <v>114</v>
      </c>
      <c r="D695" s="38" t="s">
        <v>626</v>
      </c>
      <c r="E695" s="38" t="s">
        <v>10</v>
      </c>
      <c r="F695" s="38" t="s">
        <v>17</v>
      </c>
      <c r="G695" s="36" t="s">
        <v>11</v>
      </c>
      <c r="H695" s="38" t="s">
        <v>12</v>
      </c>
      <c r="I695" s="157">
        <v>407</v>
      </c>
      <c r="J695" t="s">
        <v>4035</v>
      </c>
    </row>
    <row r="696" spans="1:10" x14ac:dyDescent="0.25">
      <c r="A696" s="37" t="str">
        <f>C696&amp;"-"&amp;D696&amp;"-"&amp;E696&amp;"-"&amp;F696&amp;"-"&amp;CATALOGO[[#This Row],[Sub cuenta 3]]</f>
        <v>E-22-01-02-01</v>
      </c>
      <c r="B696" s="37" t="s">
        <v>635</v>
      </c>
      <c r="C696" s="37" t="s">
        <v>114</v>
      </c>
      <c r="D696" s="38" t="s">
        <v>626</v>
      </c>
      <c r="E696" s="38" t="s">
        <v>10</v>
      </c>
      <c r="F696" s="38" t="s">
        <v>17</v>
      </c>
      <c r="G696" s="36" t="s">
        <v>10</v>
      </c>
      <c r="H696" s="38" t="s">
        <v>15</v>
      </c>
      <c r="I696" s="157">
        <v>407</v>
      </c>
      <c r="J696" t="s">
        <v>4035</v>
      </c>
    </row>
    <row r="697" spans="1:10" x14ac:dyDescent="0.25">
      <c r="A697" s="37" t="str">
        <f>C697&amp;"-"&amp;D697&amp;"-"&amp;E697&amp;"-"&amp;F697&amp;"-"&amp;CATALOGO[[#This Row],[Sub cuenta 3]]</f>
        <v>E-22-01-02-02</v>
      </c>
      <c r="B697" s="37" t="s">
        <v>636</v>
      </c>
      <c r="C697" s="37" t="s">
        <v>114</v>
      </c>
      <c r="D697" s="38" t="s">
        <v>626</v>
      </c>
      <c r="E697" s="38" t="s">
        <v>10</v>
      </c>
      <c r="F697" s="38" t="s">
        <v>17</v>
      </c>
      <c r="G697" s="36" t="s">
        <v>17</v>
      </c>
      <c r="H697" s="38" t="s">
        <v>15</v>
      </c>
      <c r="I697" s="157">
        <v>407</v>
      </c>
      <c r="J697" t="s">
        <v>4035</v>
      </c>
    </row>
    <row r="698" spans="1:10" x14ac:dyDescent="0.25">
      <c r="A698" s="37" t="str">
        <f>C698&amp;"-"&amp;D698&amp;"-"&amp;E698&amp;"-"&amp;F698&amp;"-"&amp;CATALOGO[[#This Row],[Sub cuenta 3]]</f>
        <v>E-22-01-02-03</v>
      </c>
      <c r="B698" s="37" t="s">
        <v>637</v>
      </c>
      <c r="C698" s="37" t="s">
        <v>114</v>
      </c>
      <c r="D698" s="38" t="s">
        <v>626</v>
      </c>
      <c r="E698" s="38" t="s">
        <v>10</v>
      </c>
      <c r="F698" s="38" t="s">
        <v>17</v>
      </c>
      <c r="G698" s="36" t="s">
        <v>22</v>
      </c>
      <c r="H698" s="38" t="s">
        <v>15</v>
      </c>
      <c r="I698" s="157">
        <v>407</v>
      </c>
      <c r="J698" t="s">
        <v>4035</v>
      </c>
    </row>
    <row r="699" spans="1:10" x14ac:dyDescent="0.25">
      <c r="A699" s="37" t="str">
        <f>C699&amp;"-"&amp;D699&amp;"-"&amp;E699&amp;"-"&amp;F699&amp;"-"&amp;CATALOGO[[#This Row],[Sub cuenta 3]]</f>
        <v>E-22-01-02-04</v>
      </c>
      <c r="B699" s="37" t="s">
        <v>638</v>
      </c>
      <c r="C699" s="37" t="s">
        <v>114</v>
      </c>
      <c r="D699" s="38" t="s">
        <v>626</v>
      </c>
      <c r="E699" s="38" t="s">
        <v>10</v>
      </c>
      <c r="F699" s="38" t="s">
        <v>17</v>
      </c>
      <c r="G699" s="36" t="s">
        <v>26</v>
      </c>
      <c r="H699" s="38" t="s">
        <v>15</v>
      </c>
      <c r="I699" s="157">
        <v>407</v>
      </c>
      <c r="J699" t="s">
        <v>4035</v>
      </c>
    </row>
    <row r="700" spans="1:10" x14ac:dyDescent="0.25">
      <c r="A700" s="37" t="str">
        <f>C700&amp;"-"&amp;D700&amp;"-"&amp;E700&amp;"-"&amp;F700&amp;"-"&amp;CATALOGO[[#This Row],[Sub cuenta 3]]</f>
        <v>E-22-01-02-05</v>
      </c>
      <c r="B700" s="37" t="s">
        <v>639</v>
      </c>
      <c r="C700" s="37" t="s">
        <v>114</v>
      </c>
      <c r="D700" s="38" t="s">
        <v>626</v>
      </c>
      <c r="E700" s="38" t="s">
        <v>10</v>
      </c>
      <c r="F700" s="38" t="s">
        <v>17</v>
      </c>
      <c r="G700" s="36" t="s">
        <v>62</v>
      </c>
      <c r="H700" s="38" t="s">
        <v>15</v>
      </c>
      <c r="I700" s="157">
        <v>407</v>
      </c>
      <c r="J700" t="s">
        <v>4035</v>
      </c>
    </row>
    <row r="701" spans="1:10" x14ac:dyDescent="0.25">
      <c r="A701" s="37" t="str">
        <f>C701&amp;"-"&amp;D701&amp;"-"&amp;E701&amp;"-"&amp;F701&amp;"-"&amp;CATALOGO[[#This Row],[Sub cuenta 3]]</f>
        <v>E-22-01-02-06</v>
      </c>
      <c r="B701" s="37" t="s">
        <v>640</v>
      </c>
      <c r="C701" s="37" t="s">
        <v>114</v>
      </c>
      <c r="D701" s="38" t="s">
        <v>626</v>
      </c>
      <c r="E701" s="38" t="s">
        <v>10</v>
      </c>
      <c r="F701" s="38" t="s">
        <v>17</v>
      </c>
      <c r="G701" s="36" t="s">
        <v>73</v>
      </c>
      <c r="H701" s="38" t="s">
        <v>15</v>
      </c>
      <c r="I701" s="157">
        <v>407</v>
      </c>
      <c r="J701" t="s">
        <v>4035</v>
      </c>
    </row>
    <row r="702" spans="1:10" x14ac:dyDescent="0.25">
      <c r="A702" s="37" t="str">
        <f>C702&amp;"-"&amp;D702&amp;"-"&amp;E702&amp;"-"&amp;F702&amp;"-"&amp;CATALOGO[[#This Row],[Sub cuenta 3]]</f>
        <v>E-22-01-03-00</v>
      </c>
      <c r="B702" s="37" t="s">
        <v>208</v>
      </c>
      <c r="C702" s="37" t="s">
        <v>114</v>
      </c>
      <c r="D702" s="38" t="s">
        <v>626</v>
      </c>
      <c r="E702" s="38" t="s">
        <v>10</v>
      </c>
      <c r="F702" s="38" t="s">
        <v>22</v>
      </c>
      <c r="G702" s="36" t="s">
        <v>11</v>
      </c>
      <c r="H702" s="38" t="s">
        <v>12</v>
      </c>
      <c r="I702" s="157">
        <v>407</v>
      </c>
      <c r="J702" t="s">
        <v>4035</v>
      </c>
    </row>
    <row r="703" spans="1:10" x14ac:dyDescent="0.25">
      <c r="A703" s="37" t="str">
        <f>C703&amp;"-"&amp;D703&amp;"-"&amp;E703&amp;"-"&amp;F703&amp;"-"&amp;CATALOGO[[#This Row],[Sub cuenta 3]]</f>
        <v>E-22-01-03-01</v>
      </c>
      <c r="B703" s="37" t="s">
        <v>641</v>
      </c>
      <c r="C703" s="37" t="s">
        <v>114</v>
      </c>
      <c r="D703" s="38" t="s">
        <v>626</v>
      </c>
      <c r="E703" s="38" t="s">
        <v>10</v>
      </c>
      <c r="F703" s="38" t="s">
        <v>22</v>
      </c>
      <c r="G703" s="36" t="s">
        <v>10</v>
      </c>
      <c r="H703" s="38" t="s">
        <v>15</v>
      </c>
      <c r="I703" s="157">
        <v>407</v>
      </c>
      <c r="J703" t="s">
        <v>4035</v>
      </c>
    </row>
    <row r="704" spans="1:10" x14ac:dyDescent="0.25">
      <c r="A704" s="37" t="str">
        <f>C704&amp;"-"&amp;D704&amp;"-"&amp;E704&amp;"-"&amp;F704&amp;"-"&amp;CATALOGO[[#This Row],[Sub cuenta 3]]</f>
        <v>E-22-01-03-02</v>
      </c>
      <c r="B704" s="37" t="s">
        <v>642</v>
      </c>
      <c r="C704" s="37" t="s">
        <v>114</v>
      </c>
      <c r="D704" s="38" t="s">
        <v>626</v>
      </c>
      <c r="E704" s="38" t="s">
        <v>10</v>
      </c>
      <c r="F704" s="38" t="s">
        <v>22</v>
      </c>
      <c r="G704" s="36" t="s">
        <v>17</v>
      </c>
      <c r="H704" s="38" t="s">
        <v>15</v>
      </c>
      <c r="I704" s="157">
        <v>407</v>
      </c>
      <c r="J704" t="s">
        <v>4035</v>
      </c>
    </row>
    <row r="705" spans="1:10" x14ac:dyDescent="0.25">
      <c r="A705" s="37" t="str">
        <f>C705&amp;"-"&amp;D705&amp;"-"&amp;E705&amp;"-"&amp;F705&amp;"-"&amp;CATALOGO[[#This Row],[Sub cuenta 3]]</f>
        <v>E-22-01-03-03</v>
      </c>
      <c r="B705" s="37" t="s">
        <v>643</v>
      </c>
      <c r="C705" s="37" t="s">
        <v>114</v>
      </c>
      <c r="D705" s="38" t="s">
        <v>626</v>
      </c>
      <c r="E705" s="38" t="s">
        <v>10</v>
      </c>
      <c r="F705" s="38" t="s">
        <v>22</v>
      </c>
      <c r="G705" s="36" t="s">
        <v>22</v>
      </c>
      <c r="H705" s="38" t="s">
        <v>15</v>
      </c>
      <c r="I705" s="157">
        <v>407</v>
      </c>
      <c r="J705" t="s">
        <v>4035</v>
      </c>
    </row>
    <row r="706" spans="1:10" x14ac:dyDescent="0.25">
      <c r="A706" s="37" t="str">
        <f>C706&amp;"-"&amp;D706&amp;"-"&amp;E706&amp;"-"&amp;F706&amp;"-"&amp;CATALOGO[[#This Row],[Sub cuenta 3]]</f>
        <v>E-22-01-03-04</v>
      </c>
      <c r="B706" s="37" t="s">
        <v>644</v>
      </c>
      <c r="C706" s="37" t="s">
        <v>114</v>
      </c>
      <c r="D706" s="38" t="s">
        <v>626</v>
      </c>
      <c r="E706" s="38" t="s">
        <v>10</v>
      </c>
      <c r="F706" s="38" t="s">
        <v>22</v>
      </c>
      <c r="G706" s="36" t="s">
        <v>26</v>
      </c>
      <c r="H706" s="38" t="s">
        <v>15</v>
      </c>
      <c r="I706" s="157">
        <v>407</v>
      </c>
      <c r="J706" t="s">
        <v>4035</v>
      </c>
    </row>
    <row r="707" spans="1:10" x14ac:dyDescent="0.25">
      <c r="A707" s="37" t="str">
        <f>C707&amp;"-"&amp;D707&amp;"-"&amp;E707&amp;"-"&amp;F707&amp;"-"&amp;CATALOGO[[#This Row],[Sub cuenta 3]]</f>
        <v>E-22-01-03-05</v>
      </c>
      <c r="B707" s="37" t="s">
        <v>645</v>
      </c>
      <c r="C707" s="37" t="s">
        <v>114</v>
      </c>
      <c r="D707" s="38" t="s">
        <v>626</v>
      </c>
      <c r="E707" s="38" t="s">
        <v>10</v>
      </c>
      <c r="F707" s="38" t="s">
        <v>22</v>
      </c>
      <c r="G707" s="36" t="s">
        <v>62</v>
      </c>
      <c r="H707" s="38" t="s">
        <v>15</v>
      </c>
      <c r="I707" s="157">
        <v>407</v>
      </c>
      <c r="J707" t="s">
        <v>4035</v>
      </c>
    </row>
    <row r="708" spans="1:10" x14ac:dyDescent="0.25">
      <c r="A708" s="37" t="str">
        <f>C708&amp;"-"&amp;D708&amp;"-"&amp;E708&amp;"-"&amp;F708&amp;"-"&amp;CATALOGO[[#This Row],[Sub cuenta 3]]</f>
        <v>E-22-01-03-06</v>
      </c>
      <c r="B708" s="37" t="s">
        <v>646</v>
      </c>
      <c r="C708" s="37" t="s">
        <v>114</v>
      </c>
      <c r="D708" s="38" t="s">
        <v>626</v>
      </c>
      <c r="E708" s="38" t="s">
        <v>10</v>
      </c>
      <c r="F708" s="38" t="s">
        <v>22</v>
      </c>
      <c r="G708" s="36" t="s">
        <v>73</v>
      </c>
      <c r="H708" s="38" t="s">
        <v>15</v>
      </c>
      <c r="I708" s="157">
        <v>407</v>
      </c>
      <c r="J708" t="s">
        <v>4035</v>
      </c>
    </row>
    <row r="709" spans="1:10" x14ac:dyDescent="0.25">
      <c r="A709" s="37" t="str">
        <f>C709&amp;"-"&amp;D709&amp;"-"&amp;E709&amp;"-"&amp;F709&amp;"-"&amp;CATALOGO[[#This Row],[Sub cuenta 3]]</f>
        <v>E-22-01-03-07</v>
      </c>
      <c r="B709" s="37" t="s">
        <v>647</v>
      </c>
      <c r="C709" s="37" t="s">
        <v>114</v>
      </c>
      <c r="D709" s="38" t="s">
        <v>626</v>
      </c>
      <c r="E709" s="38" t="s">
        <v>10</v>
      </c>
      <c r="F709" s="38" t="s">
        <v>22</v>
      </c>
      <c r="G709" s="36" t="s">
        <v>75</v>
      </c>
      <c r="H709" s="38" t="s">
        <v>15</v>
      </c>
      <c r="I709" s="157">
        <v>407</v>
      </c>
      <c r="J709" t="s">
        <v>4035</v>
      </c>
    </row>
    <row r="710" spans="1:10" x14ac:dyDescent="0.25">
      <c r="A710" s="37" t="str">
        <f>C710&amp;"-"&amp;D710&amp;"-"&amp;E710&amp;"-"&amp;F710&amp;"-"&amp;CATALOGO[[#This Row],[Sub cuenta 3]]</f>
        <v>E-22-01-04-00</v>
      </c>
      <c r="B710" s="37" t="s">
        <v>214</v>
      </c>
      <c r="C710" s="37" t="s">
        <v>114</v>
      </c>
      <c r="D710" s="38" t="s">
        <v>626</v>
      </c>
      <c r="E710" s="38" t="s">
        <v>10</v>
      </c>
      <c r="F710" s="38" t="s">
        <v>26</v>
      </c>
      <c r="G710" s="36" t="s">
        <v>11</v>
      </c>
      <c r="H710" s="38" t="s">
        <v>12</v>
      </c>
      <c r="I710" s="157">
        <v>407</v>
      </c>
      <c r="J710" t="s">
        <v>4035</v>
      </c>
    </row>
    <row r="711" spans="1:10" x14ac:dyDescent="0.25">
      <c r="A711" s="37" t="str">
        <f>C711&amp;"-"&amp;D711&amp;"-"&amp;E711&amp;"-"&amp;F711&amp;"-"&amp;CATALOGO[[#This Row],[Sub cuenta 3]]</f>
        <v>E-22-01-04-01</v>
      </c>
      <c r="B711" s="37" t="s">
        <v>648</v>
      </c>
      <c r="C711" s="37" t="s">
        <v>114</v>
      </c>
      <c r="D711" s="38" t="s">
        <v>626</v>
      </c>
      <c r="E711" s="38" t="s">
        <v>10</v>
      </c>
      <c r="F711" s="38" t="s">
        <v>26</v>
      </c>
      <c r="G711" s="36" t="s">
        <v>10</v>
      </c>
      <c r="H711" s="38" t="s">
        <v>15</v>
      </c>
      <c r="I711" s="157">
        <v>407</v>
      </c>
      <c r="J711" t="s">
        <v>4035</v>
      </c>
    </row>
    <row r="712" spans="1:10" s="7" customFormat="1" x14ac:dyDescent="0.25">
      <c r="A712" s="37" t="str">
        <f>C712&amp;"-"&amp;D712&amp;"-"&amp;E712&amp;"-"&amp;F712&amp;"-"&amp;CATALOGO[[#This Row],[Sub cuenta 3]]</f>
        <v>E-22-01-05-00</v>
      </c>
      <c r="B712" s="37" t="s">
        <v>649</v>
      </c>
      <c r="C712" s="37" t="s">
        <v>114</v>
      </c>
      <c r="D712" s="38" t="s">
        <v>626</v>
      </c>
      <c r="E712" s="38" t="s">
        <v>10</v>
      </c>
      <c r="F712" s="38" t="s">
        <v>62</v>
      </c>
      <c r="G712" s="36" t="s">
        <v>11</v>
      </c>
      <c r="H712" s="38" t="s">
        <v>12</v>
      </c>
      <c r="I712" s="157">
        <v>407</v>
      </c>
      <c r="J712" t="s">
        <v>4035</v>
      </c>
    </row>
    <row r="713" spans="1:10" s="7" customFormat="1" x14ac:dyDescent="0.25">
      <c r="A713" s="37" t="str">
        <f>C713&amp;"-"&amp;D713&amp;"-"&amp;E713&amp;"-"&amp;F713&amp;"-"&amp;CATALOGO[[#This Row],[Sub cuenta 3]]</f>
        <v>E-22-01-05-01</v>
      </c>
      <c r="B713" s="37" t="s">
        <v>650</v>
      </c>
      <c r="C713" s="37" t="s">
        <v>114</v>
      </c>
      <c r="D713" s="38" t="s">
        <v>626</v>
      </c>
      <c r="E713" s="38" t="s">
        <v>10</v>
      </c>
      <c r="F713" s="38" t="s">
        <v>62</v>
      </c>
      <c r="G713" s="36" t="s">
        <v>10</v>
      </c>
      <c r="H713" s="38" t="s">
        <v>15</v>
      </c>
      <c r="I713" s="157">
        <v>407</v>
      </c>
      <c r="J713" t="s">
        <v>4035</v>
      </c>
    </row>
    <row r="714" spans="1:10" s="7" customFormat="1" x14ac:dyDescent="0.25">
      <c r="A714" s="37" t="str">
        <f>C714&amp;"-"&amp;D714&amp;"-"&amp;E714&amp;"-"&amp;F714&amp;"-"&amp;CATALOGO[[#This Row],[Sub cuenta 3]]</f>
        <v>E-22-01-05-02</v>
      </c>
      <c r="B714" s="37" t="s">
        <v>651</v>
      </c>
      <c r="C714" s="37" t="s">
        <v>114</v>
      </c>
      <c r="D714" s="38" t="s">
        <v>626</v>
      </c>
      <c r="E714" s="38" t="s">
        <v>10</v>
      </c>
      <c r="F714" s="38" t="s">
        <v>62</v>
      </c>
      <c r="G714" s="36" t="s">
        <v>17</v>
      </c>
      <c r="H714" s="38" t="s">
        <v>15</v>
      </c>
      <c r="I714" s="157">
        <v>407</v>
      </c>
      <c r="J714" t="s">
        <v>4035</v>
      </c>
    </row>
    <row r="715" spans="1:10" s="7" customFormat="1" x14ac:dyDescent="0.25">
      <c r="A715" s="37" t="str">
        <f>C715&amp;"-"&amp;D715&amp;"-"&amp;E715&amp;"-"&amp;F715&amp;"-"&amp;CATALOGO[[#This Row],[Sub cuenta 3]]</f>
        <v>E-22-03-00-00</v>
      </c>
      <c r="B715" s="37" t="s">
        <v>652</v>
      </c>
      <c r="C715" s="37" t="s">
        <v>114</v>
      </c>
      <c r="D715" s="38" t="s">
        <v>626</v>
      </c>
      <c r="E715" s="38" t="s">
        <v>22</v>
      </c>
      <c r="F715" s="38" t="s">
        <v>11</v>
      </c>
      <c r="G715" s="36" t="s">
        <v>11</v>
      </c>
      <c r="H715" s="38" t="s">
        <v>12</v>
      </c>
      <c r="I715" s="157">
        <v>407</v>
      </c>
      <c r="J715" t="s">
        <v>4035</v>
      </c>
    </row>
    <row r="716" spans="1:10" s="7" customFormat="1" x14ac:dyDescent="0.25">
      <c r="A716" s="37" t="str">
        <f>C716&amp;"-"&amp;D716&amp;"-"&amp;E716&amp;"-"&amp;F716&amp;"-"&amp;CATALOGO[[#This Row],[Sub cuenta 3]]</f>
        <v>E-22-03-01-00</v>
      </c>
      <c r="B716" s="37" t="s">
        <v>653</v>
      </c>
      <c r="C716" s="37" t="s">
        <v>114</v>
      </c>
      <c r="D716" s="38" t="s">
        <v>626</v>
      </c>
      <c r="E716" s="38" t="s">
        <v>22</v>
      </c>
      <c r="F716" s="38" t="s">
        <v>10</v>
      </c>
      <c r="G716" s="38" t="s">
        <v>11</v>
      </c>
      <c r="H716" s="38" t="s">
        <v>15</v>
      </c>
      <c r="I716" s="157">
        <v>407</v>
      </c>
      <c r="J716" t="s">
        <v>4035</v>
      </c>
    </row>
    <row r="717" spans="1:10" s="7" customFormat="1" x14ac:dyDescent="0.25">
      <c r="A717" s="37" t="str">
        <f>C717&amp;"-"&amp;D717&amp;"-"&amp;E717&amp;"-"&amp;F717&amp;"-"&amp;CATALOGO[[#This Row],[Sub cuenta 3]]</f>
        <v>E-22-03-01-01</v>
      </c>
      <c r="B717" s="37" t="s">
        <v>654</v>
      </c>
      <c r="C717" s="37" t="s">
        <v>114</v>
      </c>
      <c r="D717" s="38" t="s">
        <v>626</v>
      </c>
      <c r="E717" s="38" t="s">
        <v>22</v>
      </c>
      <c r="F717" s="38" t="s">
        <v>10</v>
      </c>
      <c r="G717" s="38" t="s">
        <v>10</v>
      </c>
      <c r="H717" s="38" t="s">
        <v>15</v>
      </c>
      <c r="I717" s="157">
        <v>407</v>
      </c>
      <c r="J717" t="s">
        <v>4035</v>
      </c>
    </row>
    <row r="718" spans="1:10" s="7" customFormat="1" x14ac:dyDescent="0.25">
      <c r="A718" s="37" t="str">
        <f>C718&amp;"-"&amp;D718&amp;"-"&amp;E718&amp;"-"&amp;F718&amp;"-"&amp;CATALOGO[[#This Row],[Sub cuenta 3]]</f>
        <v>E-22-03-01-02</v>
      </c>
      <c r="B718" s="37" t="s">
        <v>655</v>
      </c>
      <c r="C718" s="37" t="s">
        <v>114</v>
      </c>
      <c r="D718" s="38" t="s">
        <v>626</v>
      </c>
      <c r="E718" s="38" t="s">
        <v>22</v>
      </c>
      <c r="F718" s="38" t="s">
        <v>10</v>
      </c>
      <c r="G718" s="38" t="s">
        <v>17</v>
      </c>
      <c r="H718" s="38" t="s">
        <v>15</v>
      </c>
      <c r="I718" s="157">
        <v>407</v>
      </c>
      <c r="J718" t="s">
        <v>4035</v>
      </c>
    </row>
    <row r="719" spans="1:10" s="7" customFormat="1" x14ac:dyDescent="0.25">
      <c r="A719" s="37" t="str">
        <f>C719&amp;"-"&amp;D719&amp;"-"&amp;E719&amp;"-"&amp;F719&amp;"-"&amp;CATALOGO[[#This Row],[Sub cuenta 3]]</f>
        <v>E-22-03-02-00</v>
      </c>
      <c r="B719" s="37" t="s">
        <v>656</v>
      </c>
      <c r="C719" s="37" t="s">
        <v>114</v>
      </c>
      <c r="D719" s="38" t="s">
        <v>626</v>
      </c>
      <c r="E719" s="38" t="s">
        <v>22</v>
      </c>
      <c r="F719" s="38" t="s">
        <v>17</v>
      </c>
      <c r="G719" s="38" t="s">
        <v>11</v>
      </c>
      <c r="H719" s="38" t="s">
        <v>15</v>
      </c>
      <c r="I719" s="157">
        <v>407</v>
      </c>
      <c r="J719" t="s">
        <v>4035</v>
      </c>
    </row>
    <row r="720" spans="1:10" s="7" customFormat="1" x14ac:dyDescent="0.25">
      <c r="A720" s="37" t="str">
        <f>C720&amp;"-"&amp;D720&amp;"-"&amp;E720&amp;"-"&amp;F720&amp;"-"&amp;CATALOGO[[#This Row],[Sub cuenta 3]]</f>
        <v>E-22-03-02-01</v>
      </c>
      <c r="B720" s="37" t="s">
        <v>657</v>
      </c>
      <c r="C720" s="37" t="s">
        <v>114</v>
      </c>
      <c r="D720" s="38" t="s">
        <v>626</v>
      </c>
      <c r="E720" s="38" t="s">
        <v>22</v>
      </c>
      <c r="F720" s="38" t="s">
        <v>17</v>
      </c>
      <c r="G720" s="38" t="s">
        <v>10</v>
      </c>
      <c r="H720" s="38" t="s">
        <v>15</v>
      </c>
      <c r="I720" s="157">
        <v>407</v>
      </c>
      <c r="J720" t="s">
        <v>4035</v>
      </c>
    </row>
    <row r="721" spans="1:10" x14ac:dyDescent="0.25">
      <c r="A721" s="37" t="str">
        <f>C721&amp;"-"&amp;D721&amp;"-"&amp;E721&amp;"-"&amp;F721&amp;"-"&amp;CATALOGO[[#This Row],[Sub cuenta 3]]</f>
        <v>E-22-03-02-02</v>
      </c>
      <c r="B721" s="37" t="s">
        <v>658</v>
      </c>
      <c r="C721" s="37" t="s">
        <v>114</v>
      </c>
      <c r="D721" s="38" t="s">
        <v>626</v>
      </c>
      <c r="E721" s="38" t="s">
        <v>22</v>
      </c>
      <c r="F721" s="38" t="s">
        <v>17</v>
      </c>
      <c r="G721" s="38" t="s">
        <v>17</v>
      </c>
      <c r="H721" s="38" t="s">
        <v>15</v>
      </c>
      <c r="I721" s="157">
        <v>407</v>
      </c>
      <c r="J721" t="s">
        <v>4035</v>
      </c>
    </row>
    <row r="722" spans="1:10" x14ac:dyDescent="0.25">
      <c r="A722" s="37" t="str">
        <f>C722&amp;"-"&amp;D722&amp;"-"&amp;E722&amp;"-"&amp;F722&amp;"-"&amp;CATALOGO[[#This Row],[Sub cuenta 3]]</f>
        <v>E-22-03-03-00</v>
      </c>
      <c r="B722" s="37" t="s">
        <v>659</v>
      </c>
      <c r="C722" s="37" t="s">
        <v>114</v>
      </c>
      <c r="D722" s="38" t="s">
        <v>626</v>
      </c>
      <c r="E722" s="38" t="s">
        <v>22</v>
      </c>
      <c r="F722" s="38" t="s">
        <v>22</v>
      </c>
      <c r="G722" s="38" t="s">
        <v>11</v>
      </c>
      <c r="H722" s="38" t="s">
        <v>15</v>
      </c>
      <c r="I722" s="157">
        <v>407</v>
      </c>
      <c r="J722" t="s">
        <v>4035</v>
      </c>
    </row>
    <row r="723" spans="1:10" x14ac:dyDescent="0.25">
      <c r="A723" s="37" t="str">
        <f>C723&amp;"-"&amp;D723&amp;"-"&amp;E723&amp;"-"&amp;F723&amp;"-"&amp;CATALOGO[[#This Row],[Sub cuenta 3]]</f>
        <v>E-22-03-03-01</v>
      </c>
      <c r="B723" s="37" t="s">
        <v>660</v>
      </c>
      <c r="C723" s="37" t="s">
        <v>114</v>
      </c>
      <c r="D723" s="38" t="s">
        <v>626</v>
      </c>
      <c r="E723" s="38" t="s">
        <v>22</v>
      </c>
      <c r="F723" s="38" t="s">
        <v>22</v>
      </c>
      <c r="G723" s="38" t="s">
        <v>10</v>
      </c>
      <c r="H723" s="38" t="s">
        <v>15</v>
      </c>
      <c r="I723" s="157">
        <v>407</v>
      </c>
      <c r="J723" t="s">
        <v>4035</v>
      </c>
    </row>
    <row r="724" spans="1:10" x14ac:dyDescent="0.25">
      <c r="A724" s="37" t="str">
        <f>C724&amp;"-"&amp;D724&amp;"-"&amp;E724&amp;"-"&amp;F724&amp;"-"&amp;CATALOGO[[#This Row],[Sub cuenta 3]]</f>
        <v>E-22-03-04-00</v>
      </c>
      <c r="B724" s="37" t="s">
        <v>661</v>
      </c>
      <c r="C724" s="37" t="s">
        <v>114</v>
      </c>
      <c r="D724" s="38" t="s">
        <v>626</v>
      </c>
      <c r="E724" s="38" t="s">
        <v>22</v>
      </c>
      <c r="F724" s="38" t="s">
        <v>26</v>
      </c>
      <c r="G724" s="38" t="s">
        <v>11</v>
      </c>
      <c r="H724" s="38" t="s">
        <v>15</v>
      </c>
      <c r="I724" s="157">
        <v>407</v>
      </c>
      <c r="J724" t="s">
        <v>4035</v>
      </c>
    </row>
    <row r="725" spans="1:10" x14ac:dyDescent="0.25">
      <c r="A725" s="37" t="str">
        <f>C725&amp;"-"&amp;D725&amp;"-"&amp;E725&amp;"-"&amp;F725&amp;"-"&amp;CATALOGO[[#This Row],[Sub cuenta 3]]</f>
        <v>E-22-03-04-01</v>
      </c>
      <c r="B725" s="37" t="s">
        <v>662</v>
      </c>
      <c r="C725" s="37" t="s">
        <v>114</v>
      </c>
      <c r="D725" s="38" t="s">
        <v>626</v>
      </c>
      <c r="E725" s="38" t="s">
        <v>22</v>
      </c>
      <c r="F725" s="38" t="s">
        <v>26</v>
      </c>
      <c r="G725" s="38" t="s">
        <v>10</v>
      </c>
      <c r="H725" s="38" t="s">
        <v>15</v>
      </c>
      <c r="I725" s="157">
        <v>407</v>
      </c>
      <c r="J725" t="s">
        <v>4035</v>
      </c>
    </row>
    <row r="726" spans="1:10" x14ac:dyDescent="0.25">
      <c r="A726" s="37" t="str">
        <f>C726&amp;"-"&amp;D726&amp;"-"&amp;E726&amp;"-"&amp;F726&amp;"-"&amp;CATALOGO[[#This Row],[Sub cuenta 3]]</f>
        <v>E-22-03-05-00</v>
      </c>
      <c r="B726" s="37" t="s">
        <v>663</v>
      </c>
      <c r="C726" s="37" t="s">
        <v>114</v>
      </c>
      <c r="D726" s="38" t="s">
        <v>626</v>
      </c>
      <c r="E726" s="38" t="s">
        <v>22</v>
      </c>
      <c r="F726" s="38" t="s">
        <v>62</v>
      </c>
      <c r="G726" s="38" t="s">
        <v>11</v>
      </c>
      <c r="H726" s="38" t="s">
        <v>15</v>
      </c>
      <c r="I726" s="157">
        <v>407</v>
      </c>
      <c r="J726" t="s">
        <v>4035</v>
      </c>
    </row>
    <row r="727" spans="1:10" x14ac:dyDescent="0.25">
      <c r="A727" s="37" t="str">
        <f>C727&amp;"-"&amp;D727&amp;"-"&amp;E727&amp;"-"&amp;F727&amp;"-"&amp;CATALOGO[[#This Row],[Sub cuenta 3]]</f>
        <v>E-22-03-05-01</v>
      </c>
      <c r="B727" s="37" t="s">
        <v>664</v>
      </c>
      <c r="C727" s="37" t="s">
        <v>114</v>
      </c>
      <c r="D727" s="38" t="s">
        <v>626</v>
      </c>
      <c r="E727" s="38" t="s">
        <v>22</v>
      </c>
      <c r="F727" s="38" t="s">
        <v>62</v>
      </c>
      <c r="G727" s="38" t="s">
        <v>10</v>
      </c>
      <c r="H727" s="38" t="s">
        <v>15</v>
      </c>
      <c r="I727" s="157">
        <v>407</v>
      </c>
      <c r="J727" t="s">
        <v>4035</v>
      </c>
    </row>
    <row r="728" spans="1:10" x14ac:dyDescent="0.25">
      <c r="A728" s="37" t="str">
        <f>C728&amp;"-"&amp;D728&amp;"-"&amp;E728&amp;"-"&amp;F728&amp;"-"&amp;CATALOGO[[#This Row],[Sub cuenta 3]]</f>
        <v>E-22-03-06-00</v>
      </c>
      <c r="B728" s="37" t="s">
        <v>665</v>
      </c>
      <c r="C728" s="37" t="s">
        <v>114</v>
      </c>
      <c r="D728" s="38" t="s">
        <v>626</v>
      </c>
      <c r="E728" s="38" t="s">
        <v>22</v>
      </c>
      <c r="F728" s="38" t="s">
        <v>73</v>
      </c>
      <c r="G728" s="38" t="s">
        <v>11</v>
      </c>
      <c r="H728" s="38" t="s">
        <v>15</v>
      </c>
      <c r="I728" s="157">
        <v>407</v>
      </c>
      <c r="J728" t="s">
        <v>4035</v>
      </c>
    </row>
    <row r="729" spans="1:10" x14ac:dyDescent="0.25">
      <c r="A729" s="37" t="str">
        <f>C729&amp;"-"&amp;D729&amp;"-"&amp;E729&amp;"-"&amp;F729&amp;"-"&amp;CATALOGO[[#This Row],[Sub cuenta 3]]</f>
        <v>E-22-03-06-01</v>
      </c>
      <c r="B729" s="37" t="s">
        <v>666</v>
      </c>
      <c r="C729" s="37" t="s">
        <v>114</v>
      </c>
      <c r="D729" s="38" t="s">
        <v>626</v>
      </c>
      <c r="E729" s="38" t="s">
        <v>22</v>
      </c>
      <c r="F729" s="38" t="s">
        <v>73</v>
      </c>
      <c r="G729" s="38" t="s">
        <v>10</v>
      </c>
      <c r="H729" s="38" t="s">
        <v>15</v>
      </c>
      <c r="I729" s="157">
        <v>407</v>
      </c>
      <c r="J729" t="s">
        <v>4035</v>
      </c>
    </row>
    <row r="730" spans="1:10" x14ac:dyDescent="0.25">
      <c r="A730" s="37" t="str">
        <f>C730&amp;"-"&amp;D730&amp;"-"&amp;E730&amp;"-"&amp;F730&amp;"-"&amp;CATALOGO[[#This Row],[Sub cuenta 3]]</f>
        <v>E-22-03-06-02</v>
      </c>
      <c r="B730" s="37" t="s">
        <v>667</v>
      </c>
      <c r="C730" s="37" t="s">
        <v>114</v>
      </c>
      <c r="D730" s="38" t="s">
        <v>626</v>
      </c>
      <c r="E730" s="38" t="s">
        <v>22</v>
      </c>
      <c r="F730" s="38" t="s">
        <v>73</v>
      </c>
      <c r="G730" s="38" t="s">
        <v>17</v>
      </c>
      <c r="H730" s="38" t="s">
        <v>15</v>
      </c>
      <c r="I730" s="157">
        <v>407</v>
      </c>
      <c r="J730" t="s">
        <v>4035</v>
      </c>
    </row>
    <row r="731" spans="1:10" x14ac:dyDescent="0.25">
      <c r="A731" s="37" t="str">
        <f>C731&amp;"-"&amp;D731&amp;"-"&amp;E731&amp;"-"&amp;F731&amp;"-"&amp;CATALOGO[[#This Row],[Sub cuenta 3]]</f>
        <v>E-22-03-07-00</v>
      </c>
      <c r="B731" s="37" t="s">
        <v>668</v>
      </c>
      <c r="C731" s="37" t="s">
        <v>114</v>
      </c>
      <c r="D731" s="38" t="s">
        <v>626</v>
      </c>
      <c r="E731" s="38" t="s">
        <v>22</v>
      </c>
      <c r="F731" s="38" t="s">
        <v>75</v>
      </c>
      <c r="G731" s="38" t="s">
        <v>11</v>
      </c>
      <c r="H731" s="38" t="s">
        <v>15</v>
      </c>
      <c r="I731" s="157">
        <v>407</v>
      </c>
      <c r="J731" t="s">
        <v>4035</v>
      </c>
    </row>
    <row r="732" spans="1:10" x14ac:dyDescent="0.25">
      <c r="A732" s="37" t="str">
        <f>C732&amp;"-"&amp;D732&amp;"-"&amp;E732&amp;"-"&amp;F732&amp;"-"&amp;CATALOGO[[#This Row],[Sub cuenta 3]]</f>
        <v>E-22-03-07-01</v>
      </c>
      <c r="B732" s="37" t="s">
        <v>669</v>
      </c>
      <c r="C732" s="37" t="s">
        <v>114</v>
      </c>
      <c r="D732" s="38" t="s">
        <v>626</v>
      </c>
      <c r="E732" s="38" t="s">
        <v>22</v>
      </c>
      <c r="F732" s="38" t="s">
        <v>75</v>
      </c>
      <c r="G732" s="38" t="s">
        <v>10</v>
      </c>
      <c r="H732" s="38" t="s">
        <v>15</v>
      </c>
      <c r="I732" s="157">
        <v>407</v>
      </c>
      <c r="J732" t="s">
        <v>4035</v>
      </c>
    </row>
    <row r="733" spans="1:10" x14ac:dyDescent="0.25">
      <c r="A733" s="37" t="str">
        <f>C733&amp;"-"&amp;D733&amp;"-"&amp;E733&amp;"-"&amp;F733&amp;"-"&amp;CATALOGO[[#This Row],[Sub cuenta 3]]</f>
        <v>E-22-03-08-00</v>
      </c>
      <c r="B733" s="37" t="s">
        <v>670</v>
      </c>
      <c r="C733" s="37" t="s">
        <v>114</v>
      </c>
      <c r="D733" s="38" t="s">
        <v>626</v>
      </c>
      <c r="E733" s="38" t="s">
        <v>22</v>
      </c>
      <c r="F733" s="38" t="s">
        <v>77</v>
      </c>
      <c r="G733" s="38" t="s">
        <v>11</v>
      </c>
      <c r="H733" s="38" t="s">
        <v>15</v>
      </c>
      <c r="I733" s="157">
        <v>407</v>
      </c>
      <c r="J733" t="s">
        <v>4035</v>
      </c>
    </row>
    <row r="734" spans="1:10" x14ac:dyDescent="0.25">
      <c r="A734" s="37" t="str">
        <f>C734&amp;"-"&amp;D734&amp;"-"&amp;E734&amp;"-"&amp;F734&amp;"-"&amp;CATALOGO[[#This Row],[Sub cuenta 3]]</f>
        <v>E-22-03-08-01</v>
      </c>
      <c r="B734" s="37" t="s">
        <v>671</v>
      </c>
      <c r="C734" s="37" t="s">
        <v>114</v>
      </c>
      <c r="D734" s="38" t="s">
        <v>626</v>
      </c>
      <c r="E734" s="38" t="s">
        <v>22</v>
      </c>
      <c r="F734" s="38" t="s">
        <v>77</v>
      </c>
      <c r="G734" s="38" t="s">
        <v>10</v>
      </c>
      <c r="H734" s="38" t="s">
        <v>15</v>
      </c>
      <c r="I734" s="157">
        <v>407</v>
      </c>
      <c r="J734" t="s">
        <v>4035</v>
      </c>
    </row>
    <row r="735" spans="1:10" x14ac:dyDescent="0.25">
      <c r="A735" s="37" t="str">
        <f>C735&amp;"-"&amp;D735&amp;"-"&amp;E735&amp;"-"&amp;F735&amp;"-"&amp;CATALOGO[[#This Row],[Sub cuenta 3]]</f>
        <v>E-22-03-09-00</v>
      </c>
      <c r="B735" s="37" t="s">
        <v>672</v>
      </c>
      <c r="C735" s="37" t="s">
        <v>114</v>
      </c>
      <c r="D735" s="38" t="s">
        <v>626</v>
      </c>
      <c r="E735" s="38" t="s">
        <v>22</v>
      </c>
      <c r="F735" s="38" t="s">
        <v>79</v>
      </c>
      <c r="G735" s="38" t="s">
        <v>11</v>
      </c>
      <c r="H735" s="38" t="s">
        <v>15</v>
      </c>
      <c r="I735" s="157">
        <v>407</v>
      </c>
      <c r="J735" t="s">
        <v>4035</v>
      </c>
    </row>
    <row r="736" spans="1:10" x14ac:dyDescent="0.25">
      <c r="A736" s="37" t="str">
        <f>C736&amp;"-"&amp;D736&amp;"-"&amp;E736&amp;"-"&amp;F736&amp;"-"&amp;CATALOGO[[#This Row],[Sub cuenta 3]]</f>
        <v>E-22-03-09-01</v>
      </c>
      <c r="B736" s="37" t="s">
        <v>673</v>
      </c>
      <c r="C736" s="37" t="s">
        <v>114</v>
      </c>
      <c r="D736" s="38" t="s">
        <v>626</v>
      </c>
      <c r="E736" s="38" t="s">
        <v>22</v>
      </c>
      <c r="F736" s="38" t="s">
        <v>79</v>
      </c>
      <c r="G736" s="38" t="s">
        <v>10</v>
      </c>
      <c r="H736" s="38" t="s">
        <v>15</v>
      </c>
      <c r="I736" s="157">
        <v>407</v>
      </c>
      <c r="J736" t="s">
        <v>4035</v>
      </c>
    </row>
    <row r="737" spans="1:10" x14ac:dyDescent="0.25">
      <c r="A737" s="37" t="str">
        <f>C737&amp;"-"&amp;D737&amp;"-"&amp;E737&amp;"-"&amp;F737&amp;"-"&amp;CATALOGO[[#This Row],[Sub cuenta 3]]</f>
        <v>E-22-04-00-00</v>
      </c>
      <c r="B737" s="37" t="s">
        <v>674</v>
      </c>
      <c r="C737" s="37" t="s">
        <v>114</v>
      </c>
      <c r="D737" s="38" t="s">
        <v>626</v>
      </c>
      <c r="E737" s="38" t="s">
        <v>26</v>
      </c>
      <c r="F737" s="38" t="s">
        <v>11</v>
      </c>
      <c r="G737" s="36" t="s">
        <v>11</v>
      </c>
      <c r="H737" s="38" t="s">
        <v>12</v>
      </c>
      <c r="I737" s="157">
        <v>407</v>
      </c>
      <c r="J737" t="s">
        <v>4035</v>
      </c>
    </row>
    <row r="738" spans="1:10" x14ac:dyDescent="0.25">
      <c r="A738" s="37" t="str">
        <f>C738&amp;"-"&amp;D738&amp;"-"&amp;E738&amp;"-"&amp;F738&amp;"-"&amp;CATALOGO[[#This Row],[Sub cuenta 3]]</f>
        <v>E-22-04-01-00</v>
      </c>
      <c r="B738" s="37" t="s">
        <v>675</v>
      </c>
      <c r="C738" s="37" t="s">
        <v>114</v>
      </c>
      <c r="D738" s="38" t="s">
        <v>626</v>
      </c>
      <c r="E738" s="38" t="s">
        <v>26</v>
      </c>
      <c r="F738" s="38" t="s">
        <v>10</v>
      </c>
      <c r="G738" s="38" t="s">
        <v>11</v>
      </c>
      <c r="H738" s="38" t="s">
        <v>12</v>
      </c>
      <c r="I738" s="157">
        <v>407</v>
      </c>
      <c r="J738" t="s">
        <v>4035</v>
      </c>
    </row>
    <row r="739" spans="1:10" x14ac:dyDescent="0.25">
      <c r="A739" s="37" t="str">
        <f>C739&amp;"-"&amp;D739&amp;"-"&amp;E739&amp;"-"&amp;F739&amp;"-"&amp;CATALOGO[[#This Row],[Sub cuenta 3]]</f>
        <v>E-22-04-01-01</v>
      </c>
      <c r="B739" s="37" t="s">
        <v>676</v>
      </c>
      <c r="C739" s="37" t="s">
        <v>114</v>
      </c>
      <c r="D739" s="38" t="s">
        <v>626</v>
      </c>
      <c r="E739" s="38" t="s">
        <v>26</v>
      </c>
      <c r="F739" s="38" t="s">
        <v>10</v>
      </c>
      <c r="G739" s="38" t="s">
        <v>10</v>
      </c>
      <c r="H739" s="38" t="s">
        <v>15</v>
      </c>
      <c r="I739" s="157">
        <v>407</v>
      </c>
      <c r="J739" t="s">
        <v>4035</v>
      </c>
    </row>
    <row r="740" spans="1:10" x14ac:dyDescent="0.25">
      <c r="A740" s="37" t="str">
        <f>C740&amp;"-"&amp;D740&amp;"-"&amp;E740&amp;"-"&amp;F740&amp;"-"&amp;CATALOGO[[#This Row],[Sub cuenta 3]]</f>
        <v>E-22-04-02-00</v>
      </c>
      <c r="B740" s="37" t="s">
        <v>677</v>
      </c>
      <c r="C740" s="37" t="s">
        <v>114</v>
      </c>
      <c r="D740" s="38" t="s">
        <v>626</v>
      </c>
      <c r="E740" s="38" t="s">
        <v>26</v>
      </c>
      <c r="F740" s="38" t="s">
        <v>17</v>
      </c>
      <c r="G740" s="38" t="s">
        <v>11</v>
      </c>
      <c r="H740" s="38" t="s">
        <v>12</v>
      </c>
      <c r="I740" s="157">
        <v>407</v>
      </c>
      <c r="J740" t="s">
        <v>4035</v>
      </c>
    </row>
    <row r="741" spans="1:10" x14ac:dyDescent="0.25">
      <c r="A741" s="37" t="str">
        <f>C741&amp;"-"&amp;D741&amp;"-"&amp;E741&amp;"-"&amp;F741&amp;"-"&amp;CATALOGO[[#This Row],[Sub cuenta 3]]</f>
        <v>E-22-04-02-01</v>
      </c>
      <c r="B741" s="37" t="s">
        <v>678</v>
      </c>
      <c r="C741" s="37" t="s">
        <v>114</v>
      </c>
      <c r="D741" s="38" t="s">
        <v>626</v>
      </c>
      <c r="E741" s="38" t="s">
        <v>26</v>
      </c>
      <c r="F741" s="38" t="s">
        <v>17</v>
      </c>
      <c r="G741" s="38" t="s">
        <v>10</v>
      </c>
      <c r="H741" s="38" t="s">
        <v>15</v>
      </c>
      <c r="I741" s="157">
        <v>407</v>
      </c>
      <c r="J741" t="s">
        <v>4035</v>
      </c>
    </row>
    <row r="742" spans="1:10" x14ac:dyDescent="0.25">
      <c r="A742" s="37" t="str">
        <f>C742&amp;"-"&amp;D742&amp;"-"&amp;E742&amp;"-"&amp;F742&amp;"-"&amp;CATALOGO[[#This Row],[Sub cuenta 3]]</f>
        <v>E-22-04-03-00</v>
      </c>
      <c r="B742" s="37" t="s">
        <v>679</v>
      </c>
      <c r="C742" s="37" t="s">
        <v>114</v>
      </c>
      <c r="D742" s="38" t="s">
        <v>626</v>
      </c>
      <c r="E742" s="38" t="s">
        <v>26</v>
      </c>
      <c r="F742" s="38" t="s">
        <v>22</v>
      </c>
      <c r="G742" s="38" t="s">
        <v>11</v>
      </c>
      <c r="H742" s="38" t="s">
        <v>12</v>
      </c>
      <c r="I742" s="157">
        <v>407</v>
      </c>
      <c r="J742" t="s">
        <v>4035</v>
      </c>
    </row>
    <row r="743" spans="1:10" x14ac:dyDescent="0.25">
      <c r="A743" s="37" t="str">
        <f>C743&amp;"-"&amp;D743&amp;"-"&amp;E743&amp;"-"&amp;F743&amp;"-"&amp;CATALOGO[[#This Row],[Sub cuenta 3]]</f>
        <v>E-22-04-03-01</v>
      </c>
      <c r="B743" s="37" t="s">
        <v>680</v>
      </c>
      <c r="C743" s="37" t="s">
        <v>114</v>
      </c>
      <c r="D743" s="38" t="s">
        <v>626</v>
      </c>
      <c r="E743" s="38" t="s">
        <v>26</v>
      </c>
      <c r="F743" s="38" t="s">
        <v>22</v>
      </c>
      <c r="G743" s="38" t="s">
        <v>10</v>
      </c>
      <c r="H743" s="38" t="s">
        <v>15</v>
      </c>
      <c r="I743" s="157">
        <v>407</v>
      </c>
      <c r="J743" t="s">
        <v>4035</v>
      </c>
    </row>
    <row r="744" spans="1:10" s="7" customFormat="1" x14ac:dyDescent="0.25">
      <c r="A744" s="37" t="str">
        <f>C744&amp;"-"&amp;D744&amp;"-"&amp;E744&amp;"-"&amp;F744&amp;"-"&amp;CATALOGO[[#This Row],[Sub cuenta 3]]</f>
        <v>E-22-04-04-00</v>
      </c>
      <c r="B744" s="37" t="s">
        <v>681</v>
      </c>
      <c r="C744" s="37" t="s">
        <v>114</v>
      </c>
      <c r="D744" s="38" t="s">
        <v>626</v>
      </c>
      <c r="E744" s="38" t="s">
        <v>26</v>
      </c>
      <c r="F744" s="38" t="s">
        <v>26</v>
      </c>
      <c r="G744" s="38" t="s">
        <v>11</v>
      </c>
      <c r="H744" s="38" t="s">
        <v>12</v>
      </c>
      <c r="I744" s="157">
        <v>407</v>
      </c>
      <c r="J744" t="s">
        <v>4035</v>
      </c>
    </row>
    <row r="745" spans="1:10" s="7" customFormat="1" x14ac:dyDescent="0.25">
      <c r="A745" s="37" t="str">
        <f>C745&amp;"-"&amp;D745&amp;"-"&amp;E745&amp;"-"&amp;F745&amp;"-"&amp;CATALOGO[[#This Row],[Sub cuenta 3]]</f>
        <v>E-22-04-04-01</v>
      </c>
      <c r="B745" s="37" t="s">
        <v>682</v>
      </c>
      <c r="C745" s="37" t="s">
        <v>114</v>
      </c>
      <c r="D745" s="38" t="s">
        <v>626</v>
      </c>
      <c r="E745" s="38" t="s">
        <v>26</v>
      </c>
      <c r="F745" s="38" t="s">
        <v>26</v>
      </c>
      <c r="G745" s="38" t="s">
        <v>10</v>
      </c>
      <c r="H745" s="38" t="s">
        <v>15</v>
      </c>
      <c r="I745" s="157">
        <v>407</v>
      </c>
      <c r="J745" t="s">
        <v>4035</v>
      </c>
    </row>
    <row r="746" spans="1:10" x14ac:dyDescent="0.25">
      <c r="A746" s="37" t="str">
        <f>C746&amp;"-"&amp;D746&amp;"-"&amp;E746&amp;"-"&amp;F746&amp;"-"&amp;CATALOGO[[#This Row],[Sub cuenta 3]]</f>
        <v>E-22-04-05-00</v>
      </c>
      <c r="B746" s="37" t="s">
        <v>683</v>
      </c>
      <c r="C746" s="37" t="s">
        <v>114</v>
      </c>
      <c r="D746" s="38" t="s">
        <v>626</v>
      </c>
      <c r="E746" s="38" t="s">
        <v>26</v>
      </c>
      <c r="F746" s="38" t="s">
        <v>62</v>
      </c>
      <c r="G746" s="38" t="s">
        <v>11</v>
      </c>
      <c r="H746" s="38" t="s">
        <v>12</v>
      </c>
      <c r="I746" s="157">
        <v>407</v>
      </c>
      <c r="J746" t="s">
        <v>4035</v>
      </c>
    </row>
    <row r="747" spans="1:10" x14ac:dyDescent="0.25">
      <c r="A747" s="37" t="str">
        <f>C747&amp;"-"&amp;D747&amp;"-"&amp;E747&amp;"-"&amp;F747&amp;"-"&amp;CATALOGO[[#This Row],[Sub cuenta 3]]</f>
        <v>E-22-04-05-01</v>
      </c>
      <c r="B747" s="37" t="s">
        <v>684</v>
      </c>
      <c r="C747" s="37" t="s">
        <v>114</v>
      </c>
      <c r="D747" s="38" t="s">
        <v>626</v>
      </c>
      <c r="E747" s="38" t="s">
        <v>26</v>
      </c>
      <c r="F747" s="38" t="s">
        <v>62</v>
      </c>
      <c r="G747" s="38" t="s">
        <v>10</v>
      </c>
      <c r="H747" s="38" t="s">
        <v>15</v>
      </c>
      <c r="I747" s="157">
        <v>407</v>
      </c>
      <c r="J747" t="s">
        <v>4035</v>
      </c>
    </row>
    <row r="748" spans="1:10" x14ac:dyDescent="0.25">
      <c r="A748" s="37" t="str">
        <f>C748&amp;"-"&amp;D748&amp;"-"&amp;E748&amp;"-"&amp;F748&amp;"-"&amp;CATALOGO[[#This Row],[Sub cuenta 3]]</f>
        <v>E-22-04-05-02</v>
      </c>
      <c r="B748" s="37" t="s">
        <v>685</v>
      </c>
      <c r="C748" s="37" t="s">
        <v>114</v>
      </c>
      <c r="D748" s="38" t="s">
        <v>626</v>
      </c>
      <c r="E748" s="38" t="s">
        <v>26</v>
      </c>
      <c r="F748" s="38" t="s">
        <v>62</v>
      </c>
      <c r="G748" s="38" t="s">
        <v>17</v>
      </c>
      <c r="H748" s="38" t="s">
        <v>15</v>
      </c>
      <c r="I748" s="157">
        <v>407</v>
      </c>
      <c r="J748" t="s">
        <v>4035</v>
      </c>
    </row>
    <row r="749" spans="1:10" x14ac:dyDescent="0.25">
      <c r="A749" s="37" t="str">
        <f>C749&amp;"-"&amp;D749&amp;"-"&amp;E749&amp;"-"&amp;F749&amp;"-"&amp;CATALOGO[[#This Row],[Sub cuenta 3]]</f>
        <v>E-22-04-05-03</v>
      </c>
      <c r="B749" s="37" t="s">
        <v>686</v>
      </c>
      <c r="C749" s="37" t="s">
        <v>114</v>
      </c>
      <c r="D749" s="38" t="s">
        <v>626</v>
      </c>
      <c r="E749" s="38" t="s">
        <v>26</v>
      </c>
      <c r="F749" s="38" t="s">
        <v>62</v>
      </c>
      <c r="G749" s="38" t="s">
        <v>22</v>
      </c>
      <c r="H749" s="38" t="s">
        <v>15</v>
      </c>
      <c r="I749" s="157">
        <v>407</v>
      </c>
      <c r="J749" t="s">
        <v>4035</v>
      </c>
    </row>
    <row r="750" spans="1:10" x14ac:dyDescent="0.25">
      <c r="A750" s="37" t="str">
        <f>C750&amp;"-"&amp;D750&amp;"-"&amp;E750&amp;"-"&amp;F750&amp;"-"&amp;CATALOGO[[#This Row],[Sub cuenta 3]]</f>
        <v>E-22-04-05-04</v>
      </c>
      <c r="B750" s="37" t="s">
        <v>687</v>
      </c>
      <c r="C750" s="37" t="s">
        <v>114</v>
      </c>
      <c r="D750" s="38" t="s">
        <v>626</v>
      </c>
      <c r="E750" s="38" t="s">
        <v>26</v>
      </c>
      <c r="F750" s="38" t="s">
        <v>62</v>
      </c>
      <c r="G750" s="38" t="s">
        <v>26</v>
      </c>
      <c r="H750" s="38" t="s">
        <v>15</v>
      </c>
      <c r="I750" s="157">
        <v>407</v>
      </c>
      <c r="J750" t="s">
        <v>4035</v>
      </c>
    </row>
    <row r="751" spans="1:10" x14ac:dyDescent="0.25">
      <c r="A751" s="37" t="str">
        <f>C751&amp;"-"&amp;D751&amp;"-"&amp;E751&amp;"-"&amp;F751&amp;"-"&amp;CATALOGO[[#This Row],[Sub cuenta 3]]</f>
        <v>E-22-04-05-05</v>
      </c>
      <c r="B751" s="37" t="s">
        <v>688</v>
      </c>
      <c r="C751" s="37" t="s">
        <v>114</v>
      </c>
      <c r="D751" s="38" t="s">
        <v>626</v>
      </c>
      <c r="E751" s="38" t="s">
        <v>26</v>
      </c>
      <c r="F751" s="38" t="s">
        <v>62</v>
      </c>
      <c r="G751" s="38" t="s">
        <v>62</v>
      </c>
      <c r="H751" s="38" t="s">
        <v>15</v>
      </c>
      <c r="I751" s="157">
        <v>407</v>
      </c>
      <c r="J751" t="s">
        <v>4035</v>
      </c>
    </row>
    <row r="752" spans="1:10" x14ac:dyDescent="0.25">
      <c r="A752" s="37" t="str">
        <f>C752&amp;"-"&amp;D752&amp;"-"&amp;E752&amp;"-"&amp;F752&amp;"-"&amp;CATALOGO[[#This Row],[Sub cuenta 3]]</f>
        <v>E-22-04-06-00</v>
      </c>
      <c r="B752" s="37" t="s">
        <v>323</v>
      </c>
      <c r="C752" s="37" t="s">
        <v>114</v>
      </c>
      <c r="D752" s="38" t="s">
        <v>626</v>
      </c>
      <c r="E752" s="38" t="s">
        <v>26</v>
      </c>
      <c r="F752" s="38" t="s">
        <v>73</v>
      </c>
      <c r="G752" s="38" t="s">
        <v>11</v>
      </c>
      <c r="H752" s="38" t="s">
        <v>12</v>
      </c>
      <c r="I752" s="157">
        <v>407</v>
      </c>
      <c r="J752" t="s">
        <v>4035</v>
      </c>
    </row>
    <row r="753" spans="1:10" x14ac:dyDescent="0.25">
      <c r="A753" s="37" t="str">
        <f>C753&amp;"-"&amp;D753&amp;"-"&amp;E753&amp;"-"&amp;F753&amp;"-"&amp;CATALOGO[[#This Row],[Sub cuenta 3]]</f>
        <v>E-22-04-06-01</v>
      </c>
      <c r="B753" s="37" t="s">
        <v>689</v>
      </c>
      <c r="C753" s="37" t="s">
        <v>114</v>
      </c>
      <c r="D753" s="38" t="s">
        <v>626</v>
      </c>
      <c r="E753" s="38" t="s">
        <v>26</v>
      </c>
      <c r="F753" s="38" t="s">
        <v>73</v>
      </c>
      <c r="G753" s="38" t="s">
        <v>10</v>
      </c>
      <c r="H753" s="38" t="s">
        <v>15</v>
      </c>
      <c r="I753" s="157">
        <v>407</v>
      </c>
      <c r="J753" t="s">
        <v>4035</v>
      </c>
    </row>
    <row r="754" spans="1:10" x14ac:dyDescent="0.25">
      <c r="A754" s="37" t="str">
        <f>C754&amp;"-"&amp;D754&amp;"-"&amp;E754&amp;"-"&amp;F754&amp;"-"&amp;CATALOGO[[#This Row],[Sub cuenta 3]]</f>
        <v>E-22-04-07-00</v>
      </c>
      <c r="B754" s="37" t="s">
        <v>690</v>
      </c>
      <c r="C754" s="37" t="s">
        <v>114</v>
      </c>
      <c r="D754" s="38" t="s">
        <v>626</v>
      </c>
      <c r="E754" s="38" t="s">
        <v>26</v>
      </c>
      <c r="F754" s="38" t="s">
        <v>75</v>
      </c>
      <c r="G754" s="38" t="s">
        <v>11</v>
      </c>
      <c r="H754" s="38" t="s">
        <v>12</v>
      </c>
      <c r="I754" s="157">
        <v>407</v>
      </c>
      <c r="J754" t="s">
        <v>4035</v>
      </c>
    </row>
    <row r="755" spans="1:10" x14ac:dyDescent="0.25">
      <c r="A755" s="37" t="str">
        <f>C755&amp;"-"&amp;D755&amp;"-"&amp;E755&amp;"-"&amp;F755&amp;"-"&amp;CATALOGO[[#This Row],[Sub cuenta 3]]</f>
        <v>E-22-04-07-01</v>
      </c>
      <c r="B755" s="37" t="s">
        <v>689</v>
      </c>
      <c r="C755" s="37" t="s">
        <v>114</v>
      </c>
      <c r="D755" s="38" t="s">
        <v>626</v>
      </c>
      <c r="E755" s="38" t="s">
        <v>26</v>
      </c>
      <c r="F755" s="38" t="s">
        <v>75</v>
      </c>
      <c r="G755" s="38" t="s">
        <v>10</v>
      </c>
      <c r="H755" s="38" t="s">
        <v>15</v>
      </c>
      <c r="I755" s="157">
        <v>407</v>
      </c>
      <c r="J755" t="s">
        <v>4035</v>
      </c>
    </row>
    <row r="756" spans="1:10" x14ac:dyDescent="0.25">
      <c r="A756" s="37" t="str">
        <f>C756&amp;"-"&amp;D756&amp;"-"&amp;E756&amp;"-"&amp;F756&amp;"-"&amp;CATALOGO[[#This Row],[Sub cuenta 3]]</f>
        <v>E-22-04-08-00</v>
      </c>
      <c r="B756" s="37" t="s">
        <v>691</v>
      </c>
      <c r="C756" s="37" t="s">
        <v>114</v>
      </c>
      <c r="D756" s="38" t="s">
        <v>626</v>
      </c>
      <c r="E756" s="38" t="s">
        <v>26</v>
      </c>
      <c r="F756" s="38" t="s">
        <v>77</v>
      </c>
      <c r="G756" s="38" t="s">
        <v>11</v>
      </c>
      <c r="H756" s="38" t="s">
        <v>12</v>
      </c>
      <c r="I756" s="157">
        <v>407</v>
      </c>
      <c r="J756" t="s">
        <v>4035</v>
      </c>
    </row>
    <row r="757" spans="1:10" x14ac:dyDescent="0.25">
      <c r="A757" s="37" t="str">
        <f>C757&amp;"-"&amp;D757&amp;"-"&amp;E757&amp;"-"&amp;F757&amp;"-"&amp;CATALOGO[[#This Row],[Sub cuenta 3]]</f>
        <v>E-22-04-08-01</v>
      </c>
      <c r="B757" s="37" t="s">
        <v>689</v>
      </c>
      <c r="C757" s="37" t="s">
        <v>114</v>
      </c>
      <c r="D757" s="38" t="s">
        <v>626</v>
      </c>
      <c r="E757" s="38" t="s">
        <v>26</v>
      </c>
      <c r="F757" s="38" t="s">
        <v>77</v>
      </c>
      <c r="G757" s="38" t="s">
        <v>10</v>
      </c>
      <c r="H757" s="38" t="s">
        <v>15</v>
      </c>
      <c r="I757" s="157">
        <v>407</v>
      </c>
      <c r="J757" t="s">
        <v>4035</v>
      </c>
    </row>
    <row r="758" spans="1:10" x14ac:dyDescent="0.25">
      <c r="A758" s="37" t="str">
        <f>C758&amp;"-"&amp;D758&amp;"-"&amp;E758&amp;"-"&amp;F758&amp;"-"&amp;CATALOGO[[#This Row],[Sub cuenta 3]]</f>
        <v>E-22-04-09-00</v>
      </c>
      <c r="B758" s="37" t="s">
        <v>172</v>
      </c>
      <c r="C758" s="37" t="s">
        <v>114</v>
      </c>
      <c r="D758" s="38" t="s">
        <v>626</v>
      </c>
      <c r="E758" s="38" t="s">
        <v>26</v>
      </c>
      <c r="F758" s="38" t="s">
        <v>79</v>
      </c>
      <c r="G758" s="38" t="s">
        <v>11</v>
      </c>
      <c r="H758" s="38" t="s">
        <v>12</v>
      </c>
      <c r="I758" s="157">
        <v>407</v>
      </c>
      <c r="J758" t="s">
        <v>4035</v>
      </c>
    </row>
    <row r="759" spans="1:10" x14ac:dyDescent="0.25">
      <c r="A759" s="37" t="str">
        <f>C759&amp;"-"&amp;D759&amp;"-"&amp;E759&amp;"-"&amp;F759&amp;"-"&amp;CATALOGO[[#This Row],[Sub cuenta 3]]</f>
        <v>E-22-04-09-01</v>
      </c>
      <c r="B759" s="37" t="s">
        <v>689</v>
      </c>
      <c r="C759" s="37" t="s">
        <v>114</v>
      </c>
      <c r="D759" s="38" t="s">
        <v>626</v>
      </c>
      <c r="E759" s="38" t="s">
        <v>26</v>
      </c>
      <c r="F759" s="38" t="s">
        <v>79</v>
      </c>
      <c r="G759" s="38" t="s">
        <v>10</v>
      </c>
      <c r="H759" s="38" t="s">
        <v>15</v>
      </c>
      <c r="I759" s="157">
        <v>407</v>
      </c>
      <c r="J759" t="s">
        <v>4035</v>
      </c>
    </row>
    <row r="760" spans="1:10" x14ac:dyDescent="0.25">
      <c r="A760" s="37" t="str">
        <f>C760&amp;"-"&amp;D760&amp;"-"&amp;E760&amp;"-"&amp;F760&amp;"-"&amp;CATALOGO[[#This Row],[Sub cuenta 3]]</f>
        <v>E-22-04-10-00</v>
      </c>
      <c r="B760" s="37" t="s">
        <v>692</v>
      </c>
      <c r="C760" s="37" t="s">
        <v>114</v>
      </c>
      <c r="D760" s="38" t="s">
        <v>626</v>
      </c>
      <c r="E760" s="38" t="s">
        <v>26</v>
      </c>
      <c r="F760" s="38" t="s">
        <v>80</v>
      </c>
      <c r="G760" s="38" t="s">
        <v>11</v>
      </c>
      <c r="H760" s="38" t="s">
        <v>12</v>
      </c>
      <c r="I760" s="157">
        <v>407</v>
      </c>
      <c r="J760" t="s">
        <v>4035</v>
      </c>
    </row>
    <row r="761" spans="1:10" x14ac:dyDescent="0.25">
      <c r="A761" s="37" t="str">
        <f>C761&amp;"-"&amp;D761&amp;"-"&amp;E761&amp;"-"&amp;F761&amp;"-"&amp;CATALOGO[[#This Row],[Sub cuenta 3]]</f>
        <v>E-22-04-10-01</v>
      </c>
      <c r="B761" s="37" t="s">
        <v>689</v>
      </c>
      <c r="C761" s="37" t="s">
        <v>114</v>
      </c>
      <c r="D761" s="38" t="s">
        <v>626</v>
      </c>
      <c r="E761" s="38" t="s">
        <v>26</v>
      </c>
      <c r="F761" s="38" t="s">
        <v>80</v>
      </c>
      <c r="G761" s="38" t="s">
        <v>10</v>
      </c>
      <c r="H761" s="38" t="s">
        <v>15</v>
      </c>
      <c r="I761" s="157">
        <v>407</v>
      </c>
      <c r="J761" t="s">
        <v>4035</v>
      </c>
    </row>
    <row r="762" spans="1:10" x14ac:dyDescent="0.25">
      <c r="A762" s="135" t="str">
        <f>C762&amp;"-"&amp;D762&amp;"-"&amp;E762&amp;"-"&amp;F762&amp;"-"&amp;CATALOGO[[#This Row],[Sub cuenta 3]]</f>
        <v>E-22-04-10-02</v>
      </c>
      <c r="B762" s="135" t="s">
        <v>693</v>
      </c>
      <c r="C762" s="37" t="s">
        <v>114</v>
      </c>
      <c r="D762" s="38" t="s">
        <v>626</v>
      </c>
      <c r="E762" s="38" t="s">
        <v>26</v>
      </c>
      <c r="F762" s="38" t="s">
        <v>80</v>
      </c>
      <c r="G762" s="38" t="s">
        <v>17</v>
      </c>
      <c r="H762" s="38" t="s">
        <v>15</v>
      </c>
      <c r="I762" s="157">
        <v>407</v>
      </c>
      <c r="J762" t="s">
        <v>4035</v>
      </c>
    </row>
    <row r="763" spans="1:10" x14ac:dyDescent="0.25">
      <c r="A763" s="39" t="str">
        <f>C763&amp;"-"&amp;D763&amp;"-"&amp;E763&amp;"-"&amp;F763&amp;"-"&amp;CATALOGO[[#This Row],[Sub cuenta 3]]</f>
        <v>E-23-00-00-00</v>
      </c>
      <c r="B763" s="39" t="s">
        <v>694</v>
      </c>
      <c r="C763" s="37" t="s">
        <v>114</v>
      </c>
      <c r="D763" s="38" t="s">
        <v>695</v>
      </c>
      <c r="E763" s="38" t="s">
        <v>11</v>
      </c>
      <c r="F763" s="38" t="s">
        <v>11</v>
      </c>
      <c r="G763" s="38" t="s">
        <v>11</v>
      </c>
      <c r="H763" s="38" t="s">
        <v>12</v>
      </c>
      <c r="I763" s="157">
        <v>407</v>
      </c>
      <c r="J763" t="s">
        <v>4035</v>
      </c>
    </row>
    <row r="764" spans="1:10" x14ac:dyDescent="0.25">
      <c r="A764" s="37" t="str">
        <f>C764&amp;"-"&amp;D764&amp;"-"&amp;E764&amp;"-"&amp;F764&amp;"-"&amp;CATALOGO[[#This Row],[Sub cuenta 3]]</f>
        <v>E-23-01-00-00</v>
      </c>
      <c r="B764" s="37" t="s">
        <v>696</v>
      </c>
      <c r="C764" s="37" t="s">
        <v>114</v>
      </c>
      <c r="D764" s="38" t="s">
        <v>695</v>
      </c>
      <c r="E764" s="38" t="s">
        <v>10</v>
      </c>
      <c r="F764" s="38" t="s">
        <v>11</v>
      </c>
      <c r="G764" s="38" t="s">
        <v>11</v>
      </c>
      <c r="H764" s="38" t="s">
        <v>12</v>
      </c>
      <c r="I764" s="157">
        <v>407</v>
      </c>
      <c r="J764" t="s">
        <v>4035</v>
      </c>
    </row>
    <row r="765" spans="1:10" x14ac:dyDescent="0.25">
      <c r="A765" s="37" t="str">
        <f>C765&amp;"-"&amp;D765&amp;"-"&amp;E765&amp;"-"&amp;F765&amp;"-"&amp;CATALOGO[[#This Row],[Sub cuenta 3]]</f>
        <v>E-23-01-01-00</v>
      </c>
      <c r="B765" s="37" t="s">
        <v>697</v>
      </c>
      <c r="C765" s="37" t="s">
        <v>114</v>
      </c>
      <c r="D765" s="38" t="s">
        <v>695</v>
      </c>
      <c r="E765" s="38" t="s">
        <v>10</v>
      </c>
      <c r="F765" s="38" t="s">
        <v>10</v>
      </c>
      <c r="G765" s="38" t="s">
        <v>11</v>
      </c>
      <c r="H765" s="38" t="s">
        <v>15</v>
      </c>
      <c r="I765" s="157">
        <v>407</v>
      </c>
      <c r="J765" t="s">
        <v>4035</v>
      </c>
    </row>
    <row r="766" spans="1:10" x14ac:dyDescent="0.25">
      <c r="A766" s="37" t="str">
        <f>C766&amp;"-"&amp;D766&amp;"-"&amp;E766&amp;"-"&amp;F766&amp;"-"&amp;CATALOGO[[#This Row],[Sub cuenta 3]]</f>
        <v>E-23-01-02-00</v>
      </c>
      <c r="B766" s="37" t="s">
        <v>698</v>
      </c>
      <c r="C766" s="37" t="s">
        <v>114</v>
      </c>
      <c r="D766" s="38" t="s">
        <v>695</v>
      </c>
      <c r="E766" s="38" t="s">
        <v>10</v>
      </c>
      <c r="F766" s="38" t="s">
        <v>17</v>
      </c>
      <c r="G766" s="38" t="s">
        <v>11</v>
      </c>
      <c r="H766" s="38" t="s">
        <v>15</v>
      </c>
      <c r="I766" s="157">
        <v>407</v>
      </c>
      <c r="J766" t="s">
        <v>4035</v>
      </c>
    </row>
    <row r="767" spans="1:10" x14ac:dyDescent="0.25">
      <c r="A767" s="37" t="str">
        <f>C767&amp;"-"&amp;D767&amp;"-"&amp;E767&amp;"-"&amp;F767&amp;"-"&amp;CATALOGO[[#This Row],[Sub cuenta 3]]</f>
        <v>E-23-02-00-00</v>
      </c>
      <c r="B767" s="37" t="s">
        <v>699</v>
      </c>
      <c r="C767" s="37" t="s">
        <v>114</v>
      </c>
      <c r="D767" s="38" t="s">
        <v>695</v>
      </c>
      <c r="E767" s="38" t="s">
        <v>17</v>
      </c>
      <c r="F767" s="38" t="s">
        <v>11</v>
      </c>
      <c r="G767" s="38" t="s">
        <v>11</v>
      </c>
      <c r="H767" s="38" t="s">
        <v>15</v>
      </c>
      <c r="I767" s="157">
        <v>407</v>
      </c>
      <c r="J767" t="s">
        <v>4035</v>
      </c>
    </row>
    <row r="768" spans="1:10" x14ac:dyDescent="0.25">
      <c r="A768" s="37" t="str">
        <f>C768&amp;"-"&amp;D768&amp;"-"&amp;E768&amp;"-"&amp;F768&amp;"-"&amp;CATALOGO[[#This Row],[Sub cuenta 3]]</f>
        <v>E-23-03-00-00</v>
      </c>
      <c r="B768" s="37" t="s">
        <v>700</v>
      </c>
      <c r="C768" s="37" t="s">
        <v>114</v>
      </c>
      <c r="D768" s="38" t="s">
        <v>695</v>
      </c>
      <c r="E768" s="38" t="s">
        <v>22</v>
      </c>
      <c r="F768" s="38" t="s">
        <v>11</v>
      </c>
      <c r="G768" s="38" t="s">
        <v>11</v>
      </c>
      <c r="H768" s="38" t="s">
        <v>15</v>
      </c>
      <c r="I768" s="157">
        <v>407</v>
      </c>
      <c r="J768" t="s">
        <v>4035</v>
      </c>
    </row>
    <row r="769" spans="1:10" s="7" customFormat="1" x14ac:dyDescent="0.25">
      <c r="A769" s="37" t="str">
        <f>C769&amp;"-"&amp;D769&amp;"-"&amp;E769&amp;"-"&amp;F769&amp;"-"&amp;CATALOGO[[#This Row],[Sub cuenta 3]]</f>
        <v>E-23-04-00-00</v>
      </c>
      <c r="B769" s="37" t="s">
        <v>701</v>
      </c>
      <c r="C769" s="37" t="s">
        <v>114</v>
      </c>
      <c r="D769" s="38" t="s">
        <v>695</v>
      </c>
      <c r="E769" s="38" t="s">
        <v>26</v>
      </c>
      <c r="F769" s="38" t="s">
        <v>11</v>
      </c>
      <c r="G769" s="38" t="s">
        <v>11</v>
      </c>
      <c r="H769" s="38" t="s">
        <v>15</v>
      </c>
      <c r="I769" s="157">
        <v>407</v>
      </c>
      <c r="J769" t="s">
        <v>4035</v>
      </c>
    </row>
    <row r="770" spans="1:10" s="7" customFormat="1" x14ac:dyDescent="0.25">
      <c r="A770" s="39" t="str">
        <f>C770&amp;"-"&amp;D770&amp;"-"&amp;E770&amp;"-"&amp;F770&amp;"-"&amp;CATALOGO[[#This Row],[Sub cuenta 3]]</f>
        <v>E-24-00-00-00</v>
      </c>
      <c r="B770" s="39" t="s">
        <v>702</v>
      </c>
      <c r="C770" s="37" t="s">
        <v>114</v>
      </c>
      <c r="D770" s="38" t="s">
        <v>703</v>
      </c>
      <c r="E770" s="38" t="s">
        <v>11</v>
      </c>
      <c r="F770" s="38" t="s">
        <v>11</v>
      </c>
      <c r="G770" s="36" t="s">
        <v>11</v>
      </c>
      <c r="H770" s="38" t="s">
        <v>12</v>
      </c>
      <c r="I770" s="157">
        <v>407</v>
      </c>
      <c r="J770" t="s">
        <v>4035</v>
      </c>
    </row>
    <row r="771" spans="1:10" s="7" customFormat="1" x14ac:dyDescent="0.25">
      <c r="A771" s="37" t="str">
        <f>C771&amp;"-"&amp;D771&amp;"-"&amp;E771&amp;"-"&amp;F771&amp;"-"&amp;CATALOGO[[#This Row],[Sub cuenta 3]]</f>
        <v>E-24-01-00-00</v>
      </c>
      <c r="B771" s="37" t="s">
        <v>704</v>
      </c>
      <c r="C771" s="37" t="s">
        <v>114</v>
      </c>
      <c r="D771" s="38" t="s">
        <v>703</v>
      </c>
      <c r="E771" s="38" t="s">
        <v>10</v>
      </c>
      <c r="F771" s="38" t="s">
        <v>11</v>
      </c>
      <c r="G771" s="36" t="s">
        <v>11</v>
      </c>
      <c r="H771" s="38" t="s">
        <v>12</v>
      </c>
      <c r="I771" s="157">
        <v>407</v>
      </c>
      <c r="J771" t="s">
        <v>4035</v>
      </c>
    </row>
    <row r="772" spans="1:10" s="7" customFormat="1" x14ac:dyDescent="0.25">
      <c r="A772" s="37" t="str">
        <f>C772&amp;"-"&amp;D772&amp;"-"&amp;E772&amp;"-"&amp;F772&amp;"-"&amp;CATALOGO[[#This Row],[Sub cuenta 3]]</f>
        <v>E-24-01-01-00</v>
      </c>
      <c r="B772" s="37" t="s">
        <v>705</v>
      </c>
      <c r="C772" s="37" t="s">
        <v>114</v>
      </c>
      <c r="D772" s="38" t="s">
        <v>703</v>
      </c>
      <c r="E772" s="38" t="s">
        <v>10</v>
      </c>
      <c r="F772" s="38" t="s">
        <v>10</v>
      </c>
      <c r="G772" s="36" t="s">
        <v>11</v>
      </c>
      <c r="H772" s="38" t="s">
        <v>15</v>
      </c>
      <c r="I772" s="157">
        <v>407</v>
      </c>
      <c r="J772" t="s">
        <v>4035</v>
      </c>
    </row>
    <row r="773" spans="1:10" s="7" customFormat="1" x14ac:dyDescent="0.25">
      <c r="A773" s="37" t="str">
        <f>C773&amp;"-"&amp;D773&amp;"-"&amp;E773&amp;"-"&amp;F773&amp;"-"&amp;CATALOGO[[#This Row],[Sub cuenta 3]]</f>
        <v>E-24-01-02-00</v>
      </c>
      <c r="B773" s="37" t="s">
        <v>706</v>
      </c>
      <c r="C773" s="37" t="s">
        <v>114</v>
      </c>
      <c r="D773" s="38" t="s">
        <v>703</v>
      </c>
      <c r="E773" s="38" t="s">
        <v>10</v>
      </c>
      <c r="F773" s="38" t="s">
        <v>17</v>
      </c>
      <c r="G773" s="36" t="s">
        <v>11</v>
      </c>
      <c r="H773" s="38" t="s">
        <v>15</v>
      </c>
      <c r="I773" s="157">
        <v>407</v>
      </c>
      <c r="J773" t="s">
        <v>4035</v>
      </c>
    </row>
    <row r="774" spans="1:10" x14ac:dyDescent="0.25">
      <c r="A774" s="37" t="str">
        <f>C774&amp;"-"&amp;D774&amp;"-"&amp;E774&amp;"-"&amp;F774&amp;"-"&amp;CATALOGO[[#This Row],[Sub cuenta 3]]</f>
        <v>E-24-01-03-00</v>
      </c>
      <c r="B774" s="37" t="s">
        <v>707</v>
      </c>
      <c r="C774" s="37" t="s">
        <v>114</v>
      </c>
      <c r="D774" s="38" t="s">
        <v>703</v>
      </c>
      <c r="E774" s="38" t="s">
        <v>10</v>
      </c>
      <c r="F774" s="38" t="s">
        <v>22</v>
      </c>
      <c r="G774" s="36" t="s">
        <v>11</v>
      </c>
      <c r="H774" s="38" t="s">
        <v>15</v>
      </c>
      <c r="I774" s="157">
        <v>407</v>
      </c>
      <c r="J774" t="s">
        <v>4035</v>
      </c>
    </row>
    <row r="775" spans="1:10" x14ac:dyDescent="0.25">
      <c r="A775" s="37" t="str">
        <f>C775&amp;"-"&amp;D775&amp;"-"&amp;E775&amp;"-"&amp;F775&amp;"-"&amp;CATALOGO[[#This Row],[Sub cuenta 3]]</f>
        <v>E-24-01-04-00</v>
      </c>
      <c r="B775" s="37" t="s">
        <v>708</v>
      </c>
      <c r="C775" s="37" t="s">
        <v>114</v>
      </c>
      <c r="D775" s="38" t="s">
        <v>703</v>
      </c>
      <c r="E775" s="38" t="s">
        <v>10</v>
      </c>
      <c r="F775" s="38" t="s">
        <v>26</v>
      </c>
      <c r="G775" s="36" t="s">
        <v>11</v>
      </c>
      <c r="H775" s="38" t="s">
        <v>15</v>
      </c>
      <c r="I775" s="157">
        <v>407</v>
      </c>
      <c r="J775" t="s">
        <v>4035</v>
      </c>
    </row>
    <row r="776" spans="1:10" x14ac:dyDescent="0.25">
      <c r="A776" s="37" t="str">
        <f>C776&amp;"-"&amp;D776&amp;"-"&amp;E776&amp;"-"&amp;F776&amp;"-"&amp;CATALOGO[[#This Row],[Sub cuenta 3]]</f>
        <v>E-24-01-05-00</v>
      </c>
      <c r="B776" s="37" t="s">
        <v>709</v>
      </c>
      <c r="C776" s="37" t="s">
        <v>114</v>
      </c>
      <c r="D776" s="38" t="s">
        <v>703</v>
      </c>
      <c r="E776" s="38" t="s">
        <v>10</v>
      </c>
      <c r="F776" s="38" t="s">
        <v>62</v>
      </c>
      <c r="G776" s="36" t="s">
        <v>11</v>
      </c>
      <c r="H776" s="38" t="s">
        <v>15</v>
      </c>
      <c r="I776" s="157">
        <v>407</v>
      </c>
      <c r="J776" t="s">
        <v>4035</v>
      </c>
    </row>
    <row r="777" spans="1:10" x14ac:dyDescent="0.25">
      <c r="A777" s="37" t="str">
        <f>C777&amp;"-"&amp;D777&amp;"-"&amp;E777&amp;"-"&amp;F777&amp;"-"&amp;CATALOGO[[#This Row],[Sub cuenta 3]]</f>
        <v>E-24-01-06-00</v>
      </c>
      <c r="B777" s="37" t="s">
        <v>710</v>
      </c>
      <c r="C777" s="37" t="s">
        <v>114</v>
      </c>
      <c r="D777" s="38" t="s">
        <v>703</v>
      </c>
      <c r="E777" s="38" t="s">
        <v>10</v>
      </c>
      <c r="F777" s="38" t="s">
        <v>73</v>
      </c>
      <c r="G777" s="36" t="s">
        <v>11</v>
      </c>
      <c r="H777" s="38" t="s">
        <v>15</v>
      </c>
      <c r="I777" s="157">
        <v>407</v>
      </c>
      <c r="J777" t="s">
        <v>4035</v>
      </c>
    </row>
    <row r="778" spans="1:10" x14ac:dyDescent="0.25">
      <c r="A778" s="37" t="str">
        <f>C778&amp;"-"&amp;D778&amp;"-"&amp;E778&amp;"-"&amp;F778&amp;"-"&amp;CATALOGO[[#This Row],[Sub cuenta 3]]</f>
        <v>E-24-01-07-00</v>
      </c>
      <c r="B778" s="37" t="s">
        <v>711</v>
      </c>
      <c r="C778" s="37" t="s">
        <v>114</v>
      </c>
      <c r="D778" s="38" t="s">
        <v>703</v>
      </c>
      <c r="E778" s="38" t="s">
        <v>10</v>
      </c>
      <c r="F778" s="38" t="s">
        <v>75</v>
      </c>
      <c r="G778" s="36" t="s">
        <v>11</v>
      </c>
      <c r="H778" s="38" t="s">
        <v>15</v>
      </c>
      <c r="I778" s="157">
        <v>407</v>
      </c>
      <c r="J778" t="s">
        <v>4035</v>
      </c>
    </row>
    <row r="779" spans="1:10" x14ac:dyDescent="0.25">
      <c r="A779" s="37" t="str">
        <f>C779&amp;"-"&amp;D779&amp;"-"&amp;E779&amp;"-"&amp;F779&amp;"-"&amp;CATALOGO[[#This Row],[Sub cuenta 3]]</f>
        <v>E-24-02-00-00</v>
      </c>
      <c r="B779" s="37" t="s">
        <v>712</v>
      </c>
      <c r="C779" s="37" t="s">
        <v>114</v>
      </c>
      <c r="D779" s="38" t="s">
        <v>703</v>
      </c>
      <c r="E779" s="38" t="s">
        <v>17</v>
      </c>
      <c r="F779" s="38" t="s">
        <v>11</v>
      </c>
      <c r="G779" s="36" t="s">
        <v>11</v>
      </c>
      <c r="H779" s="38" t="s">
        <v>12</v>
      </c>
      <c r="I779" s="157">
        <v>407</v>
      </c>
      <c r="J779" t="s">
        <v>4035</v>
      </c>
    </row>
    <row r="780" spans="1:10" x14ac:dyDescent="0.25">
      <c r="A780" s="37" t="str">
        <f>C780&amp;"-"&amp;D780&amp;"-"&amp;E780&amp;"-"&amp;F780&amp;"-"&amp;CATALOGO[[#This Row],[Sub cuenta 3]]</f>
        <v>E-24-02-01-00</v>
      </c>
      <c r="B780" s="37" t="s">
        <v>713</v>
      </c>
      <c r="C780" s="37" t="s">
        <v>114</v>
      </c>
      <c r="D780" s="38" t="s">
        <v>703</v>
      </c>
      <c r="E780" s="38" t="s">
        <v>17</v>
      </c>
      <c r="F780" s="38" t="s">
        <v>10</v>
      </c>
      <c r="G780" s="36" t="s">
        <v>11</v>
      </c>
      <c r="H780" s="38" t="s">
        <v>15</v>
      </c>
      <c r="I780" s="157">
        <v>407</v>
      </c>
      <c r="J780" t="s">
        <v>4035</v>
      </c>
    </row>
    <row r="781" spans="1:10" x14ac:dyDescent="0.25">
      <c r="A781" s="37" t="str">
        <f>C781&amp;"-"&amp;D781&amp;"-"&amp;E781&amp;"-"&amp;F781&amp;"-"&amp;CATALOGO[[#This Row],[Sub cuenta 3]]</f>
        <v>E-24-02-02-00</v>
      </c>
      <c r="B781" s="37" t="s">
        <v>714</v>
      </c>
      <c r="C781" s="37" t="s">
        <v>114</v>
      </c>
      <c r="D781" s="38" t="s">
        <v>703</v>
      </c>
      <c r="E781" s="38" t="s">
        <v>17</v>
      </c>
      <c r="F781" s="38" t="s">
        <v>17</v>
      </c>
      <c r="G781" s="36" t="s">
        <v>11</v>
      </c>
      <c r="H781" s="38" t="s">
        <v>15</v>
      </c>
      <c r="I781" s="157">
        <v>407</v>
      </c>
      <c r="J781" t="s">
        <v>4035</v>
      </c>
    </row>
    <row r="782" spans="1:10" x14ac:dyDescent="0.25">
      <c r="A782" s="37" t="str">
        <f>C782&amp;"-"&amp;D782&amp;"-"&amp;E782&amp;"-"&amp;F782&amp;"-"&amp;CATALOGO[[#This Row],[Sub cuenta 3]]</f>
        <v>E-24-02-03-00</v>
      </c>
      <c r="B782" s="37" t="s">
        <v>715</v>
      </c>
      <c r="C782" s="37" t="s">
        <v>114</v>
      </c>
      <c r="D782" s="38" t="s">
        <v>703</v>
      </c>
      <c r="E782" s="38" t="s">
        <v>17</v>
      </c>
      <c r="F782" s="38" t="s">
        <v>22</v>
      </c>
      <c r="G782" s="36" t="s">
        <v>11</v>
      </c>
      <c r="H782" s="38" t="s">
        <v>15</v>
      </c>
      <c r="I782" s="157">
        <v>407</v>
      </c>
      <c r="J782" t="s">
        <v>4035</v>
      </c>
    </row>
    <row r="783" spans="1:10" x14ac:dyDescent="0.25">
      <c r="A783" s="37" t="str">
        <f>C783&amp;"-"&amp;D783&amp;"-"&amp;E783&amp;"-"&amp;F783&amp;"-"&amp;CATALOGO[[#This Row],[Sub cuenta 3]]</f>
        <v>E-24-02-04-00</v>
      </c>
      <c r="B783" s="37" t="s">
        <v>716</v>
      </c>
      <c r="C783" s="37" t="s">
        <v>114</v>
      </c>
      <c r="D783" s="38" t="s">
        <v>703</v>
      </c>
      <c r="E783" s="38" t="s">
        <v>17</v>
      </c>
      <c r="F783" s="38" t="s">
        <v>26</v>
      </c>
      <c r="G783" s="36" t="s">
        <v>11</v>
      </c>
      <c r="H783" s="38" t="s">
        <v>15</v>
      </c>
      <c r="I783" s="157">
        <v>407</v>
      </c>
      <c r="J783" t="s">
        <v>4035</v>
      </c>
    </row>
    <row r="784" spans="1:10" x14ac:dyDescent="0.25">
      <c r="A784" s="37" t="str">
        <f>C784&amp;"-"&amp;D784&amp;"-"&amp;E784&amp;"-"&amp;F784&amp;"-"&amp;CATALOGO[[#This Row],[Sub cuenta 3]]</f>
        <v>E-24-02-05-00</v>
      </c>
      <c r="B784" s="37" t="s">
        <v>717</v>
      </c>
      <c r="C784" s="37" t="s">
        <v>114</v>
      </c>
      <c r="D784" s="38" t="s">
        <v>703</v>
      </c>
      <c r="E784" s="38" t="s">
        <v>17</v>
      </c>
      <c r="F784" s="38" t="s">
        <v>62</v>
      </c>
      <c r="G784" s="36" t="s">
        <v>11</v>
      </c>
      <c r="H784" s="38" t="s">
        <v>15</v>
      </c>
      <c r="I784" s="157">
        <v>407</v>
      </c>
      <c r="J784" t="s">
        <v>4035</v>
      </c>
    </row>
    <row r="785" spans="1:10" x14ac:dyDescent="0.25">
      <c r="A785" s="37" t="str">
        <f>C785&amp;"-"&amp;D785&amp;"-"&amp;E785&amp;"-"&amp;F785&amp;"-"&amp;CATALOGO[[#This Row],[Sub cuenta 3]]</f>
        <v>E-24-02-06-00</v>
      </c>
      <c r="B785" s="37" t="s">
        <v>718</v>
      </c>
      <c r="C785" s="37" t="s">
        <v>114</v>
      </c>
      <c r="D785" s="38" t="s">
        <v>703</v>
      </c>
      <c r="E785" s="38" t="s">
        <v>17</v>
      </c>
      <c r="F785" s="38" t="s">
        <v>73</v>
      </c>
      <c r="G785" s="36" t="s">
        <v>11</v>
      </c>
      <c r="H785" s="38" t="s">
        <v>15</v>
      </c>
      <c r="I785" s="157">
        <v>407</v>
      </c>
      <c r="J785" t="s">
        <v>4035</v>
      </c>
    </row>
    <row r="786" spans="1:10" x14ac:dyDescent="0.25">
      <c r="A786" s="37" t="str">
        <f>C786&amp;"-"&amp;D786&amp;"-"&amp;E786&amp;"-"&amp;F786&amp;"-"&amp;CATALOGO[[#This Row],[Sub cuenta 3]]</f>
        <v>E-24-02-07-00</v>
      </c>
      <c r="B786" s="37" t="s">
        <v>719</v>
      </c>
      <c r="C786" s="37" t="s">
        <v>114</v>
      </c>
      <c r="D786" s="38" t="s">
        <v>703</v>
      </c>
      <c r="E786" s="38" t="s">
        <v>17</v>
      </c>
      <c r="F786" s="38" t="s">
        <v>75</v>
      </c>
      <c r="G786" s="36" t="s">
        <v>11</v>
      </c>
      <c r="H786" s="38" t="s">
        <v>15</v>
      </c>
      <c r="I786" s="157">
        <v>407</v>
      </c>
      <c r="J786" t="s">
        <v>4035</v>
      </c>
    </row>
    <row r="787" spans="1:10" x14ac:dyDescent="0.25">
      <c r="A787" s="37" t="str">
        <f>C787&amp;"-"&amp;D787&amp;"-"&amp;E787&amp;"-"&amp;F787&amp;"-"&amp;CATALOGO[[#This Row],[Sub cuenta 3]]</f>
        <v>E-24-02-08-00</v>
      </c>
      <c r="B787" s="37" t="s">
        <v>720</v>
      </c>
      <c r="C787" s="37" t="s">
        <v>114</v>
      </c>
      <c r="D787" s="38" t="s">
        <v>703</v>
      </c>
      <c r="E787" s="38" t="s">
        <v>17</v>
      </c>
      <c r="F787" s="38" t="s">
        <v>77</v>
      </c>
      <c r="G787" s="36" t="s">
        <v>11</v>
      </c>
      <c r="H787" s="38" t="s">
        <v>15</v>
      </c>
      <c r="I787" s="157">
        <v>407</v>
      </c>
      <c r="J787" t="s">
        <v>4035</v>
      </c>
    </row>
    <row r="788" spans="1:10" x14ac:dyDescent="0.25">
      <c r="A788" s="37" t="str">
        <f>C788&amp;"-"&amp;D788&amp;"-"&amp;E788&amp;"-"&amp;F788&amp;"-"&amp;CATALOGO[[#This Row],[Sub cuenta 3]]</f>
        <v>E-24-03-00-00</v>
      </c>
      <c r="B788" s="37" t="s">
        <v>721</v>
      </c>
      <c r="C788" s="37" t="s">
        <v>114</v>
      </c>
      <c r="D788" s="38" t="s">
        <v>703</v>
      </c>
      <c r="E788" s="38" t="s">
        <v>22</v>
      </c>
      <c r="F788" s="38" t="s">
        <v>11</v>
      </c>
      <c r="G788" s="36" t="s">
        <v>11</v>
      </c>
      <c r="H788" s="38" t="s">
        <v>12</v>
      </c>
      <c r="I788" s="157">
        <v>407</v>
      </c>
      <c r="J788" t="s">
        <v>4035</v>
      </c>
    </row>
    <row r="789" spans="1:10" x14ac:dyDescent="0.25">
      <c r="A789" s="37" t="str">
        <f>C789&amp;"-"&amp;D789&amp;"-"&amp;E789&amp;"-"&amp;F789&amp;"-"&amp;CATALOGO[[#This Row],[Sub cuenta 3]]</f>
        <v>E-24-03-01-00</v>
      </c>
      <c r="B789" s="37" t="s">
        <v>722</v>
      </c>
      <c r="C789" s="37" t="s">
        <v>114</v>
      </c>
      <c r="D789" s="38" t="s">
        <v>703</v>
      </c>
      <c r="E789" s="38" t="s">
        <v>22</v>
      </c>
      <c r="F789" s="38" t="s">
        <v>10</v>
      </c>
      <c r="G789" s="36" t="s">
        <v>11</v>
      </c>
      <c r="H789" s="38" t="s">
        <v>12</v>
      </c>
      <c r="I789" s="157">
        <v>407</v>
      </c>
      <c r="J789" t="s">
        <v>4035</v>
      </c>
    </row>
    <row r="790" spans="1:10" x14ac:dyDescent="0.25">
      <c r="A790" s="37" t="str">
        <f>C790&amp;"-"&amp;D790&amp;"-"&amp;E790&amp;"-"&amp;F790&amp;"-"&amp;CATALOGO[[#This Row],[Sub cuenta 3]]</f>
        <v>E-24-03-01-01</v>
      </c>
      <c r="B790" s="37" t="s">
        <v>723</v>
      </c>
      <c r="C790" s="37" t="s">
        <v>114</v>
      </c>
      <c r="D790" s="38" t="s">
        <v>703</v>
      </c>
      <c r="E790" s="38" t="s">
        <v>22</v>
      </c>
      <c r="F790" s="38" t="s">
        <v>10</v>
      </c>
      <c r="G790" s="38" t="s">
        <v>10</v>
      </c>
      <c r="H790" s="38" t="s">
        <v>15</v>
      </c>
      <c r="I790" s="157">
        <v>407</v>
      </c>
      <c r="J790" t="s">
        <v>4035</v>
      </c>
    </row>
    <row r="791" spans="1:10" x14ac:dyDescent="0.25">
      <c r="A791" s="37" t="str">
        <f>C791&amp;"-"&amp;D791&amp;"-"&amp;E791&amp;"-"&amp;F791&amp;"-"&amp;CATALOGO[[#This Row],[Sub cuenta 3]]</f>
        <v>E-24-03-01-02</v>
      </c>
      <c r="B791" s="37" t="s">
        <v>724</v>
      </c>
      <c r="C791" s="37" t="s">
        <v>114</v>
      </c>
      <c r="D791" s="38" t="s">
        <v>703</v>
      </c>
      <c r="E791" s="38" t="s">
        <v>22</v>
      </c>
      <c r="F791" s="38" t="s">
        <v>10</v>
      </c>
      <c r="G791" s="38" t="s">
        <v>17</v>
      </c>
      <c r="H791" s="38" t="s">
        <v>15</v>
      </c>
      <c r="I791" s="157">
        <v>407</v>
      </c>
      <c r="J791" t="s">
        <v>4035</v>
      </c>
    </row>
    <row r="792" spans="1:10" x14ac:dyDescent="0.25">
      <c r="A792" s="37" t="str">
        <f>C792&amp;"-"&amp;D792&amp;"-"&amp;E792&amp;"-"&amp;F792&amp;"-"&amp;CATALOGO[[#This Row],[Sub cuenta 3]]</f>
        <v>E-24-03-02-00</v>
      </c>
      <c r="B792" s="37" t="s">
        <v>725</v>
      </c>
      <c r="C792" s="37" t="s">
        <v>114</v>
      </c>
      <c r="D792" s="38" t="s">
        <v>703</v>
      </c>
      <c r="E792" s="38" t="s">
        <v>22</v>
      </c>
      <c r="F792" s="38" t="s">
        <v>17</v>
      </c>
      <c r="G792" s="36" t="s">
        <v>11</v>
      </c>
      <c r="H792" s="38" t="s">
        <v>12</v>
      </c>
      <c r="I792" s="157">
        <v>407</v>
      </c>
      <c r="J792" t="s">
        <v>4035</v>
      </c>
    </row>
    <row r="793" spans="1:10" x14ac:dyDescent="0.25">
      <c r="A793" s="37" t="str">
        <f>C793&amp;"-"&amp;D793&amp;"-"&amp;E793&amp;"-"&amp;F793&amp;"-"&amp;CATALOGO[[#This Row],[Sub cuenta 3]]</f>
        <v>E-24-03-02-01</v>
      </c>
      <c r="B793" s="37" t="s">
        <v>726</v>
      </c>
      <c r="C793" s="37" t="s">
        <v>114</v>
      </c>
      <c r="D793" s="38" t="s">
        <v>703</v>
      </c>
      <c r="E793" s="38" t="s">
        <v>22</v>
      </c>
      <c r="F793" s="38" t="s">
        <v>17</v>
      </c>
      <c r="G793" s="38" t="s">
        <v>10</v>
      </c>
      <c r="H793" s="38" t="s">
        <v>15</v>
      </c>
      <c r="I793" s="157">
        <v>407</v>
      </c>
      <c r="J793" t="s">
        <v>4035</v>
      </c>
    </row>
    <row r="794" spans="1:10" x14ac:dyDescent="0.25">
      <c r="A794" s="37" t="str">
        <f>C794&amp;"-"&amp;D794&amp;"-"&amp;E794&amp;"-"&amp;F794&amp;"-"&amp;CATALOGO[[#This Row],[Sub cuenta 3]]</f>
        <v>E-24-03-02-02</v>
      </c>
      <c r="B794" s="37" t="s">
        <v>727</v>
      </c>
      <c r="C794" s="37" t="s">
        <v>114</v>
      </c>
      <c r="D794" s="38" t="s">
        <v>703</v>
      </c>
      <c r="E794" s="38" t="s">
        <v>22</v>
      </c>
      <c r="F794" s="38" t="s">
        <v>17</v>
      </c>
      <c r="G794" s="38" t="s">
        <v>17</v>
      </c>
      <c r="H794" s="38" t="s">
        <v>15</v>
      </c>
      <c r="I794" s="157">
        <v>407</v>
      </c>
      <c r="J794" t="s">
        <v>4035</v>
      </c>
    </row>
    <row r="795" spans="1:10" x14ac:dyDescent="0.25">
      <c r="A795" s="37" t="str">
        <f>C795&amp;"-"&amp;D795&amp;"-"&amp;E795&amp;"-"&amp;F795&amp;"-"&amp;CATALOGO[[#This Row],[Sub cuenta 3]]</f>
        <v>E-24-03-03-00</v>
      </c>
      <c r="B795" s="37" t="s">
        <v>728</v>
      </c>
      <c r="C795" s="37" t="s">
        <v>114</v>
      </c>
      <c r="D795" s="38" t="s">
        <v>703</v>
      </c>
      <c r="E795" s="38" t="s">
        <v>22</v>
      </c>
      <c r="F795" s="38" t="s">
        <v>22</v>
      </c>
      <c r="G795" s="36" t="s">
        <v>11</v>
      </c>
      <c r="H795" s="38" t="s">
        <v>12</v>
      </c>
      <c r="I795" s="157">
        <v>407</v>
      </c>
      <c r="J795" t="s">
        <v>4035</v>
      </c>
    </row>
    <row r="796" spans="1:10" x14ac:dyDescent="0.25">
      <c r="A796" s="37" t="str">
        <f>C796&amp;"-"&amp;D796&amp;"-"&amp;E796&amp;"-"&amp;F796&amp;"-"&amp;CATALOGO[[#This Row],[Sub cuenta 3]]</f>
        <v>E-24-03-03-01</v>
      </c>
      <c r="B796" s="37" t="s">
        <v>729</v>
      </c>
      <c r="C796" s="37" t="s">
        <v>114</v>
      </c>
      <c r="D796" s="38" t="s">
        <v>703</v>
      </c>
      <c r="E796" s="38" t="s">
        <v>22</v>
      </c>
      <c r="F796" s="38" t="s">
        <v>22</v>
      </c>
      <c r="G796" s="38" t="s">
        <v>10</v>
      </c>
      <c r="H796" s="38" t="s">
        <v>15</v>
      </c>
      <c r="I796" s="157">
        <v>407</v>
      </c>
      <c r="J796" t="s">
        <v>4035</v>
      </c>
    </row>
    <row r="797" spans="1:10" x14ac:dyDescent="0.25">
      <c r="A797" s="37" t="str">
        <f>C797&amp;"-"&amp;D797&amp;"-"&amp;E797&amp;"-"&amp;F797&amp;"-"&amp;CATALOGO[[#This Row],[Sub cuenta 3]]</f>
        <v>E-24-03-03-02</v>
      </c>
      <c r="B797" s="37" t="s">
        <v>730</v>
      </c>
      <c r="C797" s="37" t="s">
        <v>114</v>
      </c>
      <c r="D797" s="38" t="s">
        <v>703</v>
      </c>
      <c r="E797" s="38" t="s">
        <v>22</v>
      </c>
      <c r="F797" s="38" t="s">
        <v>22</v>
      </c>
      <c r="G797" s="38" t="s">
        <v>17</v>
      </c>
      <c r="H797" s="38" t="s">
        <v>15</v>
      </c>
      <c r="I797" s="157">
        <v>407</v>
      </c>
      <c r="J797" t="s">
        <v>4035</v>
      </c>
    </row>
    <row r="798" spans="1:10" x14ac:dyDescent="0.25">
      <c r="A798" s="37" t="str">
        <f>C798&amp;"-"&amp;D798&amp;"-"&amp;E798&amp;"-"&amp;F798&amp;"-"&amp;CATALOGO[[#This Row],[Sub cuenta 3]]</f>
        <v>E-24-03-03-03</v>
      </c>
      <c r="B798" s="37" t="s">
        <v>731</v>
      </c>
      <c r="C798" s="37" t="s">
        <v>114</v>
      </c>
      <c r="D798" s="38" t="s">
        <v>703</v>
      </c>
      <c r="E798" s="38" t="s">
        <v>22</v>
      </c>
      <c r="F798" s="38" t="s">
        <v>22</v>
      </c>
      <c r="G798" s="38" t="s">
        <v>22</v>
      </c>
      <c r="H798" s="38" t="s">
        <v>15</v>
      </c>
      <c r="I798" s="157">
        <v>407</v>
      </c>
      <c r="J798" t="s">
        <v>4035</v>
      </c>
    </row>
    <row r="799" spans="1:10" x14ac:dyDescent="0.25">
      <c r="A799" s="37" t="str">
        <f>C799&amp;"-"&amp;D799&amp;"-"&amp;E799&amp;"-"&amp;F799&amp;"-"&amp;CATALOGO[[#This Row],[Sub cuenta 3]]</f>
        <v>E-24-03-03-04</v>
      </c>
      <c r="B799" s="37" t="s">
        <v>732</v>
      </c>
      <c r="C799" s="37" t="s">
        <v>114</v>
      </c>
      <c r="D799" s="38" t="s">
        <v>703</v>
      </c>
      <c r="E799" s="38" t="s">
        <v>22</v>
      </c>
      <c r="F799" s="38" t="s">
        <v>22</v>
      </c>
      <c r="G799" s="38" t="s">
        <v>26</v>
      </c>
      <c r="H799" s="38" t="s">
        <v>15</v>
      </c>
      <c r="I799" s="157">
        <v>407</v>
      </c>
      <c r="J799" t="s">
        <v>4035</v>
      </c>
    </row>
    <row r="800" spans="1:10" x14ac:dyDescent="0.25">
      <c r="A800" s="37" t="str">
        <f>C800&amp;"-"&amp;D800&amp;"-"&amp;E800&amp;"-"&amp;F800&amp;"-"&amp;CATALOGO[[#This Row],[Sub cuenta 3]]</f>
        <v>E-24-03-04-00</v>
      </c>
      <c r="B800" s="37" t="s">
        <v>733</v>
      </c>
      <c r="C800" s="37" t="s">
        <v>114</v>
      </c>
      <c r="D800" s="38" t="s">
        <v>703</v>
      </c>
      <c r="E800" s="38" t="s">
        <v>22</v>
      </c>
      <c r="F800" s="38" t="s">
        <v>26</v>
      </c>
      <c r="G800" s="36" t="s">
        <v>11</v>
      </c>
      <c r="H800" s="38" t="s">
        <v>12</v>
      </c>
      <c r="I800" s="157">
        <v>407</v>
      </c>
      <c r="J800" t="s">
        <v>4035</v>
      </c>
    </row>
    <row r="801" spans="1:10" x14ac:dyDescent="0.25">
      <c r="A801" s="37" t="str">
        <f>C801&amp;"-"&amp;D801&amp;"-"&amp;E801&amp;"-"&amp;F801&amp;"-"&amp;CATALOGO[[#This Row],[Sub cuenta 3]]</f>
        <v>E-24-03-04-01</v>
      </c>
      <c r="B801" s="37" t="s">
        <v>734</v>
      </c>
      <c r="C801" s="37" t="s">
        <v>114</v>
      </c>
      <c r="D801" s="38" t="s">
        <v>703</v>
      </c>
      <c r="E801" s="38" t="s">
        <v>22</v>
      </c>
      <c r="F801" s="38" t="s">
        <v>26</v>
      </c>
      <c r="G801" s="36" t="s">
        <v>10</v>
      </c>
      <c r="H801" s="38" t="s">
        <v>15</v>
      </c>
      <c r="I801" s="157">
        <v>407</v>
      </c>
      <c r="J801" t="s">
        <v>4035</v>
      </c>
    </row>
    <row r="802" spans="1:10" x14ac:dyDescent="0.25">
      <c r="A802" s="37" t="str">
        <f>C802&amp;"-"&amp;D802&amp;"-"&amp;E802&amp;"-"&amp;F802&amp;"-"&amp;CATALOGO[[#This Row],[Sub cuenta 3]]</f>
        <v>E-24-03-04-02</v>
      </c>
      <c r="B802" s="37" t="s">
        <v>735</v>
      </c>
      <c r="C802" s="37" t="s">
        <v>114</v>
      </c>
      <c r="D802" s="38" t="s">
        <v>703</v>
      </c>
      <c r="E802" s="38" t="s">
        <v>22</v>
      </c>
      <c r="F802" s="38" t="s">
        <v>26</v>
      </c>
      <c r="G802" s="36" t="s">
        <v>17</v>
      </c>
      <c r="H802" s="38" t="s">
        <v>15</v>
      </c>
      <c r="I802" s="157">
        <v>407</v>
      </c>
      <c r="J802" t="s">
        <v>4035</v>
      </c>
    </row>
    <row r="803" spans="1:10" x14ac:dyDescent="0.25">
      <c r="A803" s="37" t="str">
        <f>C803&amp;"-"&amp;D803&amp;"-"&amp;E803&amp;"-"&amp;F803&amp;"-"&amp;CATALOGO[[#This Row],[Sub cuenta 3]]</f>
        <v>E-24-03-05-00</v>
      </c>
      <c r="B803" s="37" t="s">
        <v>505</v>
      </c>
      <c r="C803" s="37" t="s">
        <v>114</v>
      </c>
      <c r="D803" s="38" t="s">
        <v>703</v>
      </c>
      <c r="E803" s="38" t="s">
        <v>22</v>
      </c>
      <c r="F803" s="38" t="s">
        <v>62</v>
      </c>
      <c r="G803" s="36" t="s">
        <v>11</v>
      </c>
      <c r="H803" s="38" t="s">
        <v>15</v>
      </c>
      <c r="I803" s="157">
        <v>407</v>
      </c>
      <c r="J803" t="s">
        <v>4035</v>
      </c>
    </row>
    <row r="804" spans="1:10" x14ac:dyDescent="0.25">
      <c r="A804" s="37" t="str">
        <f>C804&amp;"-"&amp;D804&amp;"-"&amp;E804&amp;"-"&amp;F804&amp;"-"&amp;CATALOGO[[#This Row],[Sub cuenta 3]]</f>
        <v>E-24-04-00-00</v>
      </c>
      <c r="B804" s="35" t="s">
        <v>736</v>
      </c>
      <c r="C804" s="37" t="s">
        <v>114</v>
      </c>
      <c r="D804" s="38" t="s">
        <v>703</v>
      </c>
      <c r="E804" s="38" t="s">
        <v>26</v>
      </c>
      <c r="F804" s="38" t="s">
        <v>11</v>
      </c>
      <c r="G804" s="36" t="s">
        <v>11</v>
      </c>
      <c r="H804" s="38" t="s">
        <v>12</v>
      </c>
      <c r="I804" s="157">
        <v>407</v>
      </c>
      <c r="J804" t="s">
        <v>4035</v>
      </c>
    </row>
    <row r="805" spans="1:10" x14ac:dyDescent="0.25">
      <c r="A805" s="37" t="str">
        <f>C805&amp;"-"&amp;D805&amp;"-"&amp;E805&amp;"-"&amp;F805&amp;"-"&amp;CATALOGO[[#This Row],[Sub cuenta 3]]</f>
        <v>E-24-04-01-00</v>
      </c>
      <c r="B805" s="37" t="s">
        <v>737</v>
      </c>
      <c r="C805" s="37" t="s">
        <v>114</v>
      </c>
      <c r="D805" s="38" t="s">
        <v>703</v>
      </c>
      <c r="E805" s="38" t="s">
        <v>26</v>
      </c>
      <c r="F805" s="38" t="s">
        <v>10</v>
      </c>
      <c r="G805" s="36" t="s">
        <v>11</v>
      </c>
      <c r="H805" s="38" t="s">
        <v>12</v>
      </c>
      <c r="I805" s="157">
        <v>407</v>
      </c>
      <c r="J805" t="s">
        <v>4035</v>
      </c>
    </row>
    <row r="806" spans="1:10" x14ac:dyDescent="0.25">
      <c r="A806" s="37" t="str">
        <f>C806&amp;"-"&amp;D806&amp;"-"&amp;E806&amp;"-"&amp;F806&amp;"-"&amp;CATALOGO[[#This Row],[Sub cuenta 3]]</f>
        <v>E-24-04-01-01</v>
      </c>
      <c r="B806" s="37" t="s">
        <v>738</v>
      </c>
      <c r="C806" s="37" t="s">
        <v>114</v>
      </c>
      <c r="D806" s="38" t="s">
        <v>703</v>
      </c>
      <c r="E806" s="38" t="s">
        <v>26</v>
      </c>
      <c r="F806" s="38" t="s">
        <v>10</v>
      </c>
      <c r="G806" s="36" t="s">
        <v>10</v>
      </c>
      <c r="H806" s="38" t="s">
        <v>15</v>
      </c>
      <c r="I806" s="157">
        <v>407</v>
      </c>
      <c r="J806" t="s">
        <v>4035</v>
      </c>
    </row>
    <row r="807" spans="1:10" x14ac:dyDescent="0.25">
      <c r="A807" s="37" t="str">
        <f>C807&amp;"-"&amp;D807&amp;"-"&amp;E807&amp;"-"&amp;F807&amp;"-"&amp;CATALOGO[[#This Row],[Sub cuenta 3]]</f>
        <v>E-24-04-01-02</v>
      </c>
      <c r="B807" s="37" t="s">
        <v>739</v>
      </c>
      <c r="C807" s="37" t="s">
        <v>114</v>
      </c>
      <c r="D807" s="38" t="s">
        <v>703</v>
      </c>
      <c r="E807" s="38" t="s">
        <v>26</v>
      </c>
      <c r="F807" s="38" t="s">
        <v>10</v>
      </c>
      <c r="G807" s="36" t="s">
        <v>17</v>
      </c>
      <c r="H807" s="38" t="s">
        <v>15</v>
      </c>
      <c r="I807" s="157">
        <v>407</v>
      </c>
      <c r="J807" t="s">
        <v>4035</v>
      </c>
    </row>
    <row r="808" spans="1:10" x14ac:dyDescent="0.25">
      <c r="A808" s="37" t="str">
        <f>C808&amp;"-"&amp;D808&amp;"-"&amp;E808&amp;"-"&amp;F808&amp;"-"&amp;CATALOGO[[#This Row],[Sub cuenta 3]]</f>
        <v>E-24-04-01-03</v>
      </c>
      <c r="B808" s="37" t="s">
        <v>740</v>
      </c>
      <c r="C808" s="37" t="s">
        <v>114</v>
      </c>
      <c r="D808" s="38" t="s">
        <v>703</v>
      </c>
      <c r="E808" s="38" t="s">
        <v>26</v>
      </c>
      <c r="F808" s="38" t="s">
        <v>10</v>
      </c>
      <c r="G808" s="36" t="s">
        <v>22</v>
      </c>
      <c r="H808" s="38" t="s">
        <v>15</v>
      </c>
      <c r="I808" s="157">
        <v>407</v>
      </c>
      <c r="J808" t="s">
        <v>4035</v>
      </c>
    </row>
    <row r="809" spans="1:10" x14ac:dyDescent="0.25">
      <c r="A809" s="37" t="str">
        <f>C809&amp;"-"&amp;D809&amp;"-"&amp;E809&amp;"-"&amp;F809&amp;"-"&amp;CATALOGO[[#This Row],[Sub cuenta 3]]</f>
        <v>E-24-04-01-04</v>
      </c>
      <c r="B809" s="37" t="s">
        <v>741</v>
      </c>
      <c r="C809" s="37" t="s">
        <v>114</v>
      </c>
      <c r="D809" s="38" t="s">
        <v>703</v>
      </c>
      <c r="E809" s="38" t="s">
        <v>26</v>
      </c>
      <c r="F809" s="38" t="s">
        <v>10</v>
      </c>
      <c r="G809" s="36" t="s">
        <v>26</v>
      </c>
      <c r="H809" s="38" t="s">
        <v>15</v>
      </c>
      <c r="I809" s="157">
        <v>407</v>
      </c>
      <c r="J809" t="s">
        <v>4035</v>
      </c>
    </row>
    <row r="810" spans="1:10" x14ac:dyDescent="0.25">
      <c r="A810" s="37" t="str">
        <f>C810&amp;"-"&amp;D810&amp;"-"&amp;E810&amp;"-"&amp;F810&amp;"-"&amp;CATALOGO[[#This Row],[Sub cuenta 3]]</f>
        <v>E-24-04-02-00</v>
      </c>
      <c r="B810" s="37" t="s">
        <v>742</v>
      </c>
      <c r="C810" s="37" t="s">
        <v>114</v>
      </c>
      <c r="D810" s="38" t="s">
        <v>703</v>
      </c>
      <c r="E810" s="38" t="s">
        <v>26</v>
      </c>
      <c r="F810" s="38" t="s">
        <v>17</v>
      </c>
      <c r="G810" s="36" t="s">
        <v>11</v>
      </c>
      <c r="H810" s="38" t="s">
        <v>12</v>
      </c>
      <c r="I810" s="157">
        <v>407</v>
      </c>
      <c r="J810" t="s">
        <v>4035</v>
      </c>
    </row>
    <row r="811" spans="1:10" x14ac:dyDescent="0.25">
      <c r="A811" s="37" t="str">
        <f>C811&amp;"-"&amp;D811&amp;"-"&amp;E811&amp;"-"&amp;F811&amp;"-"&amp;CATALOGO[[#This Row],[Sub cuenta 3]]</f>
        <v>E-24-04-02-01</v>
      </c>
      <c r="B811" s="37" t="s">
        <v>743</v>
      </c>
      <c r="C811" s="37" t="s">
        <v>114</v>
      </c>
      <c r="D811" s="38" t="s">
        <v>703</v>
      </c>
      <c r="E811" s="38" t="s">
        <v>26</v>
      </c>
      <c r="F811" s="38" t="s">
        <v>17</v>
      </c>
      <c r="G811" s="38" t="s">
        <v>10</v>
      </c>
      <c r="H811" s="38" t="s">
        <v>15</v>
      </c>
      <c r="I811" s="157">
        <v>407</v>
      </c>
      <c r="J811" t="s">
        <v>4035</v>
      </c>
    </row>
    <row r="812" spans="1:10" x14ac:dyDescent="0.25">
      <c r="A812" s="37" t="str">
        <f>C812&amp;"-"&amp;D812&amp;"-"&amp;E812&amp;"-"&amp;F812&amp;"-"&amp;CATALOGO[[#This Row],[Sub cuenta 3]]</f>
        <v>E-24-04-02-02</v>
      </c>
      <c r="B812" s="37" t="s">
        <v>744</v>
      </c>
      <c r="C812" s="37" t="s">
        <v>114</v>
      </c>
      <c r="D812" s="38" t="s">
        <v>703</v>
      </c>
      <c r="E812" s="38" t="s">
        <v>26</v>
      </c>
      <c r="F812" s="38" t="s">
        <v>17</v>
      </c>
      <c r="G812" s="38" t="s">
        <v>17</v>
      </c>
      <c r="H812" s="38" t="s">
        <v>15</v>
      </c>
      <c r="I812" s="157">
        <v>407</v>
      </c>
      <c r="J812" t="s">
        <v>4035</v>
      </c>
    </row>
    <row r="813" spans="1:10" x14ac:dyDescent="0.25">
      <c r="A813" s="37" t="str">
        <f>C813&amp;"-"&amp;D813&amp;"-"&amp;E813&amp;"-"&amp;F813&amp;"-"&amp;CATALOGO[[#This Row],[Sub cuenta 3]]</f>
        <v>E-24-04-02-03</v>
      </c>
      <c r="B813" s="37" t="s">
        <v>745</v>
      </c>
      <c r="C813" s="37" t="s">
        <v>114</v>
      </c>
      <c r="D813" s="38" t="s">
        <v>703</v>
      </c>
      <c r="E813" s="38" t="s">
        <v>26</v>
      </c>
      <c r="F813" s="38" t="s">
        <v>17</v>
      </c>
      <c r="G813" s="38" t="s">
        <v>22</v>
      </c>
      <c r="H813" s="38" t="s">
        <v>15</v>
      </c>
      <c r="I813" s="157">
        <v>407</v>
      </c>
      <c r="J813" t="s">
        <v>4035</v>
      </c>
    </row>
    <row r="814" spans="1:10" x14ac:dyDescent="0.25">
      <c r="A814" s="37" t="str">
        <f>C814&amp;"-"&amp;D814&amp;"-"&amp;E814&amp;"-"&amp;F814&amp;"-"&amp;CATALOGO[[#This Row],[Sub cuenta 3]]</f>
        <v>E-24-04-02-04</v>
      </c>
      <c r="B814" s="37" t="s">
        <v>746</v>
      </c>
      <c r="C814" s="37" t="s">
        <v>114</v>
      </c>
      <c r="D814" s="38" t="s">
        <v>703</v>
      </c>
      <c r="E814" s="38" t="s">
        <v>26</v>
      </c>
      <c r="F814" s="38" t="s">
        <v>17</v>
      </c>
      <c r="G814" s="38" t="s">
        <v>26</v>
      </c>
      <c r="H814" s="38" t="s">
        <v>15</v>
      </c>
      <c r="I814" s="157">
        <v>407</v>
      </c>
      <c r="J814" t="s">
        <v>4035</v>
      </c>
    </row>
    <row r="815" spans="1:10" x14ac:dyDescent="0.25">
      <c r="A815" s="37" t="str">
        <f>C815&amp;"-"&amp;D815&amp;"-"&amp;E815&amp;"-"&amp;F815&amp;"-"&amp;CATALOGO[[#This Row],[Sub cuenta 3]]</f>
        <v>E-24-04-03-00</v>
      </c>
      <c r="B815" s="37" t="s">
        <v>747</v>
      </c>
      <c r="C815" s="37" t="s">
        <v>114</v>
      </c>
      <c r="D815" s="38" t="s">
        <v>703</v>
      </c>
      <c r="E815" s="38" t="s">
        <v>26</v>
      </c>
      <c r="F815" s="38" t="s">
        <v>22</v>
      </c>
      <c r="G815" s="36" t="s">
        <v>11</v>
      </c>
      <c r="H815" s="38" t="s">
        <v>12</v>
      </c>
      <c r="I815" s="157">
        <v>407</v>
      </c>
      <c r="J815" t="s">
        <v>4035</v>
      </c>
    </row>
    <row r="816" spans="1:10" x14ac:dyDescent="0.25">
      <c r="A816" s="37" t="str">
        <f>C816&amp;"-"&amp;D816&amp;"-"&amp;E816&amp;"-"&amp;F816&amp;"-"&amp;CATALOGO[[#This Row],[Sub cuenta 3]]</f>
        <v>E-24-04-03-01</v>
      </c>
      <c r="B816" s="37" t="s">
        <v>748</v>
      </c>
      <c r="C816" s="37" t="s">
        <v>114</v>
      </c>
      <c r="D816" s="38" t="s">
        <v>703</v>
      </c>
      <c r="E816" s="38" t="s">
        <v>26</v>
      </c>
      <c r="F816" s="38" t="s">
        <v>22</v>
      </c>
      <c r="G816" s="36" t="s">
        <v>10</v>
      </c>
      <c r="H816" s="38" t="s">
        <v>15</v>
      </c>
      <c r="I816" s="157">
        <v>407</v>
      </c>
      <c r="J816" t="s">
        <v>4035</v>
      </c>
    </row>
    <row r="817" spans="1:10" x14ac:dyDescent="0.25">
      <c r="A817" s="37" t="str">
        <f>C817&amp;"-"&amp;D817&amp;"-"&amp;E817&amp;"-"&amp;F817&amp;"-"&amp;CATALOGO[[#This Row],[Sub cuenta 3]]</f>
        <v>E-24-04-03-02</v>
      </c>
      <c r="B817" s="37" t="s">
        <v>745</v>
      </c>
      <c r="C817" s="37" t="s">
        <v>114</v>
      </c>
      <c r="D817" s="38" t="s">
        <v>703</v>
      </c>
      <c r="E817" s="38" t="s">
        <v>26</v>
      </c>
      <c r="F817" s="38" t="s">
        <v>22</v>
      </c>
      <c r="G817" s="36" t="s">
        <v>17</v>
      </c>
      <c r="H817" s="38" t="s">
        <v>15</v>
      </c>
      <c r="I817" s="157">
        <v>407</v>
      </c>
      <c r="J817" t="s">
        <v>4035</v>
      </c>
    </row>
    <row r="818" spans="1:10" x14ac:dyDescent="0.25">
      <c r="A818" s="37" t="str">
        <f>C818&amp;"-"&amp;D818&amp;"-"&amp;E818&amp;"-"&amp;F818&amp;"-"&amp;CATALOGO[[#This Row],[Sub cuenta 3]]</f>
        <v>E-24-04-03-03</v>
      </c>
      <c r="B818" s="37" t="s">
        <v>749</v>
      </c>
      <c r="C818" s="37" t="s">
        <v>114</v>
      </c>
      <c r="D818" s="38" t="s">
        <v>703</v>
      </c>
      <c r="E818" s="38" t="s">
        <v>26</v>
      </c>
      <c r="F818" s="38" t="s">
        <v>22</v>
      </c>
      <c r="G818" s="36" t="s">
        <v>22</v>
      </c>
      <c r="H818" s="38" t="s">
        <v>15</v>
      </c>
      <c r="I818" s="157">
        <v>407</v>
      </c>
      <c r="J818" t="s">
        <v>4035</v>
      </c>
    </row>
    <row r="819" spans="1:10" x14ac:dyDescent="0.25">
      <c r="A819" s="37" t="str">
        <f>C819&amp;"-"&amp;D819&amp;"-"&amp;E819&amp;"-"&amp;F819&amp;"-"&amp;CATALOGO[[#This Row],[Sub cuenta 3]]</f>
        <v>E-24-04-03-04</v>
      </c>
      <c r="B819" s="37" t="s">
        <v>750</v>
      </c>
      <c r="C819" s="37" t="s">
        <v>114</v>
      </c>
      <c r="D819" s="38" t="s">
        <v>703</v>
      </c>
      <c r="E819" s="38" t="s">
        <v>26</v>
      </c>
      <c r="F819" s="38" t="s">
        <v>22</v>
      </c>
      <c r="G819" s="36" t="s">
        <v>26</v>
      </c>
      <c r="H819" s="38" t="s">
        <v>15</v>
      </c>
      <c r="I819" s="157">
        <v>407</v>
      </c>
      <c r="J819" t="s">
        <v>4035</v>
      </c>
    </row>
    <row r="820" spans="1:10" x14ac:dyDescent="0.25">
      <c r="A820" s="37" t="str">
        <f>C820&amp;"-"&amp;D820&amp;"-"&amp;E820&amp;"-"&amp;F820&amp;"-"&amp;CATALOGO[[#This Row],[Sub cuenta 3]]</f>
        <v>E-24-04-03-05</v>
      </c>
      <c r="B820" s="37" t="s">
        <v>751</v>
      </c>
      <c r="C820" s="37" t="s">
        <v>114</v>
      </c>
      <c r="D820" s="38" t="s">
        <v>703</v>
      </c>
      <c r="E820" s="38" t="s">
        <v>26</v>
      </c>
      <c r="F820" s="38" t="s">
        <v>22</v>
      </c>
      <c r="G820" s="36" t="s">
        <v>62</v>
      </c>
      <c r="H820" s="38" t="s">
        <v>15</v>
      </c>
      <c r="I820" s="157">
        <v>407</v>
      </c>
      <c r="J820" t="s">
        <v>4035</v>
      </c>
    </row>
    <row r="821" spans="1:10" x14ac:dyDescent="0.25">
      <c r="A821" s="39" t="str">
        <f>C821&amp;"-"&amp;D821&amp;"-"&amp;E821&amp;"-"&amp;F821&amp;"-"&amp;CATALOGO[[#This Row],[Sub cuenta 3]]</f>
        <v>E-24-05-00-00</v>
      </c>
      <c r="B821" s="39" t="s">
        <v>752</v>
      </c>
      <c r="C821" s="37" t="s">
        <v>114</v>
      </c>
      <c r="D821" s="38" t="s">
        <v>703</v>
      </c>
      <c r="E821" s="38" t="s">
        <v>62</v>
      </c>
      <c r="F821" s="38" t="s">
        <v>11</v>
      </c>
      <c r="G821" s="36" t="s">
        <v>11</v>
      </c>
      <c r="H821" s="38" t="s">
        <v>12</v>
      </c>
      <c r="I821" s="157">
        <v>407</v>
      </c>
      <c r="J821" t="s">
        <v>4035</v>
      </c>
    </row>
    <row r="822" spans="1:10" x14ac:dyDescent="0.25">
      <c r="A822" s="37" t="str">
        <f>C822&amp;"-"&amp;D822&amp;"-"&amp;E822&amp;"-"&amp;F822&amp;"-"&amp;CATALOGO[[#This Row],[Sub cuenta 3]]</f>
        <v>E-24-05-01-00</v>
      </c>
      <c r="B822" s="37" t="s">
        <v>753</v>
      </c>
      <c r="C822" s="37" t="s">
        <v>114</v>
      </c>
      <c r="D822" s="38" t="s">
        <v>703</v>
      </c>
      <c r="E822" s="38" t="s">
        <v>62</v>
      </c>
      <c r="F822" s="38" t="s">
        <v>10</v>
      </c>
      <c r="G822" s="36" t="s">
        <v>11</v>
      </c>
      <c r="H822" s="38" t="s">
        <v>15</v>
      </c>
      <c r="I822" s="157">
        <v>407</v>
      </c>
      <c r="J822" t="s">
        <v>4035</v>
      </c>
    </row>
    <row r="823" spans="1:10" x14ac:dyDescent="0.25">
      <c r="A823" s="37" t="str">
        <f>C823&amp;"-"&amp;D823&amp;"-"&amp;E823&amp;"-"&amp;F823&amp;"-"&amp;CATALOGO[[#This Row],[Sub cuenta 3]]</f>
        <v>E-24-05-02-00</v>
      </c>
      <c r="B823" s="37" t="s">
        <v>754</v>
      </c>
      <c r="C823" s="37" t="s">
        <v>114</v>
      </c>
      <c r="D823" s="38" t="s">
        <v>703</v>
      </c>
      <c r="E823" s="38" t="s">
        <v>62</v>
      </c>
      <c r="F823" s="38" t="s">
        <v>17</v>
      </c>
      <c r="G823" s="36" t="s">
        <v>11</v>
      </c>
      <c r="H823" s="38" t="s">
        <v>15</v>
      </c>
      <c r="I823" s="157">
        <v>407</v>
      </c>
      <c r="J823" t="s">
        <v>4035</v>
      </c>
    </row>
    <row r="824" spans="1:10" x14ac:dyDescent="0.25">
      <c r="A824" s="37" t="str">
        <f>C824&amp;"-"&amp;D824&amp;"-"&amp;E824&amp;"-"&amp;F824&amp;"-"&amp;CATALOGO[[#This Row],[Sub cuenta 3]]</f>
        <v>E-24-05-03-00</v>
      </c>
      <c r="B824" s="37" t="s">
        <v>755</v>
      </c>
      <c r="C824" s="37" t="s">
        <v>114</v>
      </c>
      <c r="D824" s="38" t="s">
        <v>703</v>
      </c>
      <c r="E824" s="38" t="s">
        <v>62</v>
      </c>
      <c r="F824" s="38" t="s">
        <v>22</v>
      </c>
      <c r="G824" s="36" t="s">
        <v>11</v>
      </c>
      <c r="H824" s="38" t="s">
        <v>15</v>
      </c>
      <c r="I824" s="157">
        <v>407</v>
      </c>
      <c r="J824" t="s">
        <v>4035</v>
      </c>
    </row>
    <row r="825" spans="1:10" x14ac:dyDescent="0.25">
      <c r="A825" s="37" t="str">
        <f>C825&amp;"-"&amp;D825&amp;"-"&amp;E825&amp;"-"&amp;F825&amp;"-"&amp;CATALOGO[[#This Row],[Sub cuenta 3]]</f>
        <v>E-24-05-04-00</v>
      </c>
      <c r="B825" s="37" t="s">
        <v>756</v>
      </c>
      <c r="C825" s="37" t="s">
        <v>114</v>
      </c>
      <c r="D825" s="38" t="s">
        <v>703</v>
      </c>
      <c r="E825" s="38" t="s">
        <v>62</v>
      </c>
      <c r="F825" s="38" t="s">
        <v>26</v>
      </c>
      <c r="G825" s="36" t="s">
        <v>11</v>
      </c>
      <c r="H825" s="38" t="s">
        <v>15</v>
      </c>
      <c r="I825" s="157">
        <v>407</v>
      </c>
      <c r="J825" t="s">
        <v>4035</v>
      </c>
    </row>
    <row r="826" spans="1:10" x14ac:dyDescent="0.25">
      <c r="A826" s="37" t="str">
        <f>C826&amp;"-"&amp;D826&amp;"-"&amp;E826&amp;"-"&amp;F826&amp;"-"&amp;CATALOGO[[#This Row],[Sub cuenta 3]]</f>
        <v>E-24-05-05-00</v>
      </c>
      <c r="B826" s="37" t="s">
        <v>757</v>
      </c>
      <c r="C826" s="37" t="s">
        <v>114</v>
      </c>
      <c r="D826" s="38" t="s">
        <v>703</v>
      </c>
      <c r="E826" s="38" t="s">
        <v>62</v>
      </c>
      <c r="F826" s="38" t="s">
        <v>62</v>
      </c>
      <c r="G826" s="36" t="s">
        <v>11</v>
      </c>
      <c r="H826" s="38" t="s">
        <v>15</v>
      </c>
      <c r="I826" s="157">
        <v>407</v>
      </c>
      <c r="J826" t="s">
        <v>4035</v>
      </c>
    </row>
    <row r="827" spans="1:10" x14ac:dyDescent="0.25">
      <c r="A827" s="37" t="str">
        <f>C827&amp;"-"&amp;D827&amp;"-"&amp;E827&amp;"-"&amp;F827&amp;"-"&amp;CATALOGO[[#This Row],[Sub cuenta 3]]</f>
        <v>E-24-05-06-00</v>
      </c>
      <c r="B827" s="37" t="s">
        <v>758</v>
      </c>
      <c r="C827" s="37" t="s">
        <v>114</v>
      </c>
      <c r="D827" s="38" t="s">
        <v>703</v>
      </c>
      <c r="E827" s="38" t="s">
        <v>62</v>
      </c>
      <c r="F827" s="38" t="s">
        <v>73</v>
      </c>
      <c r="G827" s="36" t="s">
        <v>11</v>
      </c>
      <c r="H827" s="38" t="s">
        <v>15</v>
      </c>
      <c r="I827" s="157">
        <v>407</v>
      </c>
      <c r="J827" t="s">
        <v>4035</v>
      </c>
    </row>
    <row r="828" spans="1:10" x14ac:dyDescent="0.25">
      <c r="A828" s="37" t="str">
        <f>C828&amp;"-"&amp;D828&amp;"-"&amp;E828&amp;"-"&amp;F828&amp;"-"&amp;CATALOGO[[#This Row],[Sub cuenta 3]]</f>
        <v>E-24-05-07-00</v>
      </c>
      <c r="B828" s="37" t="s">
        <v>759</v>
      </c>
      <c r="C828" s="37" t="s">
        <v>114</v>
      </c>
      <c r="D828" s="38" t="s">
        <v>703</v>
      </c>
      <c r="E828" s="38" t="s">
        <v>62</v>
      </c>
      <c r="F828" s="38" t="s">
        <v>75</v>
      </c>
      <c r="G828" s="36" t="s">
        <v>11</v>
      </c>
      <c r="H828" s="38" t="s">
        <v>15</v>
      </c>
      <c r="I828" s="157">
        <v>407</v>
      </c>
      <c r="J828" t="s">
        <v>4035</v>
      </c>
    </row>
    <row r="829" spans="1:10" x14ac:dyDescent="0.25">
      <c r="A829" s="37" t="str">
        <f>C829&amp;"-"&amp;D829&amp;"-"&amp;E829&amp;"-"&amp;F829&amp;"-"&amp;CATALOGO[[#This Row],[Sub cuenta 3]]</f>
        <v>E-24-05-08-00</v>
      </c>
      <c r="B829" s="37" t="s">
        <v>760</v>
      </c>
      <c r="C829" s="37" t="s">
        <v>114</v>
      </c>
      <c r="D829" s="38" t="s">
        <v>703</v>
      </c>
      <c r="E829" s="38" t="s">
        <v>62</v>
      </c>
      <c r="F829" s="38" t="s">
        <v>77</v>
      </c>
      <c r="G829" s="36" t="s">
        <v>11</v>
      </c>
      <c r="H829" s="38" t="s">
        <v>15</v>
      </c>
      <c r="I829" s="157">
        <v>407</v>
      </c>
      <c r="J829" t="s">
        <v>4035</v>
      </c>
    </row>
    <row r="830" spans="1:10" x14ac:dyDescent="0.25">
      <c r="A830" s="37" t="str">
        <f>C830&amp;"-"&amp;D830&amp;"-"&amp;E830&amp;"-"&amp;F830&amp;"-"&amp;CATALOGO[[#This Row],[Sub cuenta 3]]</f>
        <v>E-24-05-09-00</v>
      </c>
      <c r="B830" s="37" t="s">
        <v>761</v>
      </c>
      <c r="C830" s="37" t="s">
        <v>114</v>
      </c>
      <c r="D830" s="38" t="s">
        <v>703</v>
      </c>
      <c r="E830" s="38" t="s">
        <v>62</v>
      </c>
      <c r="F830" s="38" t="s">
        <v>79</v>
      </c>
      <c r="G830" s="36" t="s">
        <v>11</v>
      </c>
      <c r="H830" s="38" t="s">
        <v>15</v>
      </c>
      <c r="I830" s="157">
        <v>407</v>
      </c>
      <c r="J830" t="s">
        <v>4035</v>
      </c>
    </row>
    <row r="831" spans="1:10" x14ac:dyDescent="0.25">
      <c r="A831" s="37" t="str">
        <f>C831&amp;"-"&amp;D831&amp;"-"&amp;E831&amp;"-"&amp;F831&amp;"-"&amp;CATALOGO[[#This Row],[Sub cuenta 3]]</f>
        <v>E-24-05-10-00</v>
      </c>
      <c r="B831" s="37" t="s">
        <v>762</v>
      </c>
      <c r="C831" s="37" t="s">
        <v>114</v>
      </c>
      <c r="D831" s="38" t="s">
        <v>703</v>
      </c>
      <c r="E831" s="38" t="s">
        <v>62</v>
      </c>
      <c r="F831" s="38" t="s">
        <v>80</v>
      </c>
      <c r="G831" s="36" t="s">
        <v>11</v>
      </c>
      <c r="H831" s="38" t="s">
        <v>15</v>
      </c>
      <c r="I831" s="157">
        <v>407</v>
      </c>
      <c r="J831" t="s">
        <v>4035</v>
      </c>
    </row>
    <row r="832" spans="1:10" x14ac:dyDescent="0.25">
      <c r="A832" s="37" t="str">
        <f>C832&amp;"-"&amp;D832&amp;"-"&amp;E832&amp;"-"&amp;F832&amp;"-"&amp;CATALOGO[[#This Row],[Sub cuenta 3]]</f>
        <v>E-24-05-11-00</v>
      </c>
      <c r="B832" s="37" t="s">
        <v>763</v>
      </c>
      <c r="C832" s="37" t="s">
        <v>114</v>
      </c>
      <c r="D832" s="38" t="s">
        <v>703</v>
      </c>
      <c r="E832" s="38" t="s">
        <v>62</v>
      </c>
      <c r="F832" s="38" t="s">
        <v>82</v>
      </c>
      <c r="G832" s="36" t="s">
        <v>11</v>
      </c>
      <c r="H832" s="38" t="s">
        <v>15</v>
      </c>
      <c r="I832" s="157">
        <v>407</v>
      </c>
      <c r="J832" t="s">
        <v>4035</v>
      </c>
    </row>
    <row r="833" spans="1:10" x14ac:dyDescent="0.25">
      <c r="A833" s="7" t="str">
        <f>C833&amp;"-"&amp;D833&amp;"-"&amp;E833&amp;"-"&amp;F833&amp;"-"&amp;CATALOGO[[#This Row],[Sub cuenta 3]]</f>
        <v>E-24-06-00-00</v>
      </c>
      <c r="B833" s="7" t="s">
        <v>764</v>
      </c>
      <c r="C833" s="37" t="s">
        <v>114</v>
      </c>
      <c r="D833" s="38" t="s">
        <v>703</v>
      </c>
      <c r="E833" s="38" t="s">
        <v>73</v>
      </c>
      <c r="F833" s="38" t="s">
        <v>11</v>
      </c>
      <c r="G833" s="36" t="s">
        <v>11</v>
      </c>
      <c r="H833" s="38" t="s">
        <v>12</v>
      </c>
      <c r="I833" s="157">
        <v>407</v>
      </c>
      <c r="J833" t="s">
        <v>4035</v>
      </c>
    </row>
    <row r="834" spans="1:10" x14ac:dyDescent="0.25">
      <c r="A834" s="37" t="str">
        <f>C834&amp;"-"&amp;D834&amp;"-"&amp;E834&amp;"-"&amp;F834&amp;"-"&amp;CATALOGO[[#This Row],[Sub cuenta 3]]</f>
        <v>E-24-06-01-00</v>
      </c>
      <c r="B834" s="37" t="s">
        <v>765</v>
      </c>
      <c r="C834" s="37" t="s">
        <v>114</v>
      </c>
      <c r="D834" s="38" t="s">
        <v>703</v>
      </c>
      <c r="E834" s="38" t="s">
        <v>73</v>
      </c>
      <c r="F834" s="38" t="s">
        <v>10</v>
      </c>
      <c r="G834" s="36" t="s">
        <v>11</v>
      </c>
      <c r="H834" s="38" t="s">
        <v>15</v>
      </c>
      <c r="I834" s="157">
        <v>407</v>
      </c>
      <c r="J834" t="s">
        <v>4035</v>
      </c>
    </row>
    <row r="835" spans="1:10" x14ac:dyDescent="0.25">
      <c r="A835" s="37" t="str">
        <f>C835&amp;"-"&amp;D835&amp;"-"&amp;E835&amp;"-"&amp;F835&amp;"-"&amp;CATALOGO[[#This Row],[Sub cuenta 3]]</f>
        <v>E-24-06-02-00</v>
      </c>
      <c r="B835" s="37" t="s">
        <v>766</v>
      </c>
      <c r="C835" s="37" t="s">
        <v>114</v>
      </c>
      <c r="D835" s="38" t="s">
        <v>703</v>
      </c>
      <c r="E835" s="38" t="s">
        <v>73</v>
      </c>
      <c r="F835" s="38" t="s">
        <v>17</v>
      </c>
      <c r="G835" s="36" t="s">
        <v>11</v>
      </c>
      <c r="H835" s="38" t="s">
        <v>15</v>
      </c>
      <c r="I835" s="157">
        <v>407</v>
      </c>
      <c r="J835" t="s">
        <v>4035</v>
      </c>
    </row>
    <row r="836" spans="1:10" x14ac:dyDescent="0.25">
      <c r="A836" s="37" t="str">
        <f>C836&amp;"-"&amp;D836&amp;"-"&amp;E836&amp;"-"&amp;F836&amp;"-"&amp;CATALOGO[[#This Row],[Sub cuenta 3]]</f>
        <v>E-24-06-03-00</v>
      </c>
      <c r="B836" s="37" t="s">
        <v>767</v>
      </c>
      <c r="C836" s="37" t="s">
        <v>114</v>
      </c>
      <c r="D836" s="38" t="s">
        <v>703</v>
      </c>
      <c r="E836" s="38" t="s">
        <v>73</v>
      </c>
      <c r="F836" s="38" t="s">
        <v>22</v>
      </c>
      <c r="G836" s="36" t="s">
        <v>11</v>
      </c>
      <c r="H836" s="38" t="s">
        <v>15</v>
      </c>
      <c r="I836" s="157">
        <v>407</v>
      </c>
      <c r="J836" t="s">
        <v>4035</v>
      </c>
    </row>
    <row r="837" spans="1:10" x14ac:dyDescent="0.25">
      <c r="A837" s="37" t="str">
        <f>C837&amp;"-"&amp;D837&amp;"-"&amp;E837&amp;"-"&amp;F837&amp;"-"&amp;CATALOGO[[#This Row],[Sub cuenta 3]]</f>
        <v>E-24-06-04-00</v>
      </c>
      <c r="B837" s="37" t="s">
        <v>768</v>
      </c>
      <c r="C837" s="37" t="s">
        <v>114</v>
      </c>
      <c r="D837" s="38" t="s">
        <v>703</v>
      </c>
      <c r="E837" s="38" t="s">
        <v>73</v>
      </c>
      <c r="F837" s="38" t="s">
        <v>26</v>
      </c>
      <c r="G837" s="36" t="s">
        <v>11</v>
      </c>
      <c r="H837" s="38" t="s">
        <v>15</v>
      </c>
      <c r="I837" s="157">
        <v>407</v>
      </c>
      <c r="J837" t="s">
        <v>4035</v>
      </c>
    </row>
    <row r="838" spans="1:10" x14ac:dyDescent="0.25">
      <c r="A838" s="39" t="str">
        <f>C838&amp;"-"&amp;D838&amp;"-"&amp;E838&amp;"-"&amp;F838&amp;"-"&amp;CATALOGO[[#This Row],[Sub cuenta 3]]</f>
        <v>E-24-07-00-00</v>
      </c>
      <c r="B838" s="39" t="s">
        <v>769</v>
      </c>
      <c r="C838" s="37" t="s">
        <v>114</v>
      </c>
      <c r="D838" s="38" t="s">
        <v>703</v>
      </c>
      <c r="E838" s="38" t="s">
        <v>75</v>
      </c>
      <c r="F838" s="38" t="s">
        <v>11</v>
      </c>
      <c r="G838" s="36" t="s">
        <v>11</v>
      </c>
      <c r="H838" s="38" t="s">
        <v>12</v>
      </c>
      <c r="I838" s="157">
        <v>407</v>
      </c>
      <c r="J838" t="s">
        <v>4035</v>
      </c>
    </row>
    <row r="839" spans="1:10" x14ac:dyDescent="0.25">
      <c r="A839" s="37" t="str">
        <f>C839&amp;"-"&amp;D839&amp;"-"&amp;E839&amp;"-"&amp;F839&amp;"-"&amp;CATALOGO[[#This Row],[Sub cuenta 3]]</f>
        <v>E-24-07-01-00</v>
      </c>
      <c r="B839" s="37" t="s">
        <v>770</v>
      </c>
      <c r="C839" s="37" t="s">
        <v>114</v>
      </c>
      <c r="D839" s="38" t="s">
        <v>703</v>
      </c>
      <c r="E839" s="38" t="s">
        <v>75</v>
      </c>
      <c r="F839" s="38" t="s">
        <v>10</v>
      </c>
      <c r="G839" s="36" t="s">
        <v>11</v>
      </c>
      <c r="H839" s="38" t="s">
        <v>15</v>
      </c>
      <c r="I839" s="157">
        <v>407</v>
      </c>
      <c r="J839" t="s">
        <v>4035</v>
      </c>
    </row>
    <row r="840" spans="1:10" x14ac:dyDescent="0.25">
      <c r="A840" s="37" t="str">
        <f>C840&amp;"-"&amp;D840&amp;"-"&amp;E840&amp;"-"&amp;F840&amp;"-"&amp;CATALOGO[[#This Row],[Sub cuenta 3]]</f>
        <v>E-24-07-02-00</v>
      </c>
      <c r="B840" s="37" t="s">
        <v>771</v>
      </c>
      <c r="C840" s="37" t="s">
        <v>114</v>
      </c>
      <c r="D840" s="38" t="s">
        <v>703</v>
      </c>
      <c r="E840" s="38" t="s">
        <v>75</v>
      </c>
      <c r="F840" s="38" t="s">
        <v>17</v>
      </c>
      <c r="G840" s="36" t="s">
        <v>11</v>
      </c>
      <c r="H840" s="38" t="s">
        <v>15</v>
      </c>
      <c r="I840" s="157">
        <v>407</v>
      </c>
      <c r="J840" t="s">
        <v>4035</v>
      </c>
    </row>
    <row r="841" spans="1:10" x14ac:dyDescent="0.25">
      <c r="A841" s="37" t="str">
        <f>C841&amp;"-"&amp;D841&amp;"-"&amp;E841&amp;"-"&amp;F841&amp;"-"&amp;CATALOGO[[#This Row],[Sub cuenta 3]]</f>
        <v>E-24-07-03-00</v>
      </c>
      <c r="B841" s="37" t="s">
        <v>772</v>
      </c>
      <c r="C841" s="37" t="s">
        <v>114</v>
      </c>
      <c r="D841" s="38" t="s">
        <v>703</v>
      </c>
      <c r="E841" s="38" t="s">
        <v>75</v>
      </c>
      <c r="F841" s="38" t="s">
        <v>22</v>
      </c>
      <c r="G841" s="36" t="s">
        <v>11</v>
      </c>
      <c r="H841" s="38" t="s">
        <v>15</v>
      </c>
      <c r="I841" s="157">
        <v>407</v>
      </c>
      <c r="J841" t="s">
        <v>4035</v>
      </c>
    </row>
    <row r="842" spans="1:10" x14ac:dyDescent="0.25">
      <c r="A842" s="37" t="str">
        <f>C842&amp;"-"&amp;D842&amp;"-"&amp;E842&amp;"-"&amp;F842&amp;"-"&amp;CATALOGO[[#This Row],[Sub cuenta 3]]</f>
        <v>E-24-07-04-00</v>
      </c>
      <c r="B842" s="37" t="s">
        <v>773</v>
      </c>
      <c r="C842" s="37" t="s">
        <v>114</v>
      </c>
      <c r="D842" s="38" t="s">
        <v>703</v>
      </c>
      <c r="E842" s="38" t="s">
        <v>75</v>
      </c>
      <c r="F842" s="38" t="s">
        <v>26</v>
      </c>
      <c r="G842" s="36" t="s">
        <v>11</v>
      </c>
      <c r="H842" s="38" t="s">
        <v>15</v>
      </c>
      <c r="I842" s="157">
        <v>407</v>
      </c>
      <c r="J842" t="s">
        <v>4035</v>
      </c>
    </row>
    <row r="843" spans="1:10" x14ac:dyDescent="0.25">
      <c r="A843" s="37" t="str">
        <f>C843&amp;"-"&amp;D843&amp;"-"&amp;E843&amp;"-"&amp;F843&amp;"-"&amp;CATALOGO[[#This Row],[Sub cuenta 3]]</f>
        <v>E-24-07-05-00</v>
      </c>
      <c r="B843" s="37" t="s">
        <v>774</v>
      </c>
      <c r="C843" s="37" t="s">
        <v>114</v>
      </c>
      <c r="D843" s="38" t="s">
        <v>703</v>
      </c>
      <c r="E843" s="38" t="s">
        <v>75</v>
      </c>
      <c r="F843" s="38" t="s">
        <v>62</v>
      </c>
      <c r="G843" s="36" t="s">
        <v>11</v>
      </c>
      <c r="H843" s="38" t="s">
        <v>15</v>
      </c>
      <c r="I843" s="157">
        <v>407</v>
      </c>
      <c r="J843" t="s">
        <v>4035</v>
      </c>
    </row>
    <row r="844" spans="1:10" x14ac:dyDescent="0.25">
      <c r="A844" s="37" t="str">
        <f>C844&amp;"-"&amp;D844&amp;"-"&amp;E844&amp;"-"&amp;F844&amp;"-"&amp;CATALOGO[[#This Row],[Sub cuenta 3]]</f>
        <v>E-24-07-06-00</v>
      </c>
      <c r="B844" s="37" t="s">
        <v>775</v>
      </c>
      <c r="C844" s="37" t="s">
        <v>114</v>
      </c>
      <c r="D844" s="38" t="s">
        <v>703</v>
      </c>
      <c r="E844" s="38" t="s">
        <v>75</v>
      </c>
      <c r="F844" s="38" t="s">
        <v>73</v>
      </c>
      <c r="G844" s="36" t="s">
        <v>11</v>
      </c>
      <c r="H844" s="38" t="s">
        <v>15</v>
      </c>
      <c r="I844" s="157">
        <v>407</v>
      </c>
      <c r="J844" t="s">
        <v>4035</v>
      </c>
    </row>
    <row r="845" spans="1:10" x14ac:dyDescent="0.25">
      <c r="A845" s="37" t="str">
        <f>C845&amp;"-"&amp;D845&amp;"-"&amp;E845&amp;"-"&amp;F845&amp;"-"&amp;CATALOGO[[#This Row],[Sub cuenta 3]]</f>
        <v>E-24-07-07-00</v>
      </c>
      <c r="B845" s="37" t="s">
        <v>776</v>
      </c>
      <c r="C845" s="37" t="s">
        <v>114</v>
      </c>
      <c r="D845" s="38" t="s">
        <v>703</v>
      </c>
      <c r="E845" s="38" t="s">
        <v>75</v>
      </c>
      <c r="F845" s="38" t="s">
        <v>75</v>
      </c>
      <c r="G845" s="36" t="s">
        <v>11</v>
      </c>
      <c r="H845" s="38" t="s">
        <v>15</v>
      </c>
      <c r="I845" s="157">
        <v>407</v>
      </c>
      <c r="J845" t="s">
        <v>4035</v>
      </c>
    </row>
    <row r="846" spans="1:10" x14ac:dyDescent="0.25">
      <c r="A846" s="37" t="str">
        <f>C846&amp;"-"&amp;D846&amp;"-"&amp;E846&amp;"-"&amp;F846&amp;"-"&amp;CATALOGO[[#This Row],[Sub cuenta 3]]</f>
        <v>E-24-07-08-00</v>
      </c>
      <c r="B846" s="37" t="s">
        <v>777</v>
      </c>
      <c r="C846" s="37" t="s">
        <v>114</v>
      </c>
      <c r="D846" s="38" t="s">
        <v>703</v>
      </c>
      <c r="E846" s="38" t="s">
        <v>75</v>
      </c>
      <c r="F846" s="38" t="s">
        <v>77</v>
      </c>
      <c r="G846" s="36" t="s">
        <v>11</v>
      </c>
      <c r="H846" s="38" t="s">
        <v>15</v>
      </c>
      <c r="I846" s="157">
        <v>407</v>
      </c>
      <c r="J846" t="s">
        <v>4035</v>
      </c>
    </row>
    <row r="847" spans="1:10" x14ac:dyDescent="0.25">
      <c r="A847" s="37" t="str">
        <f>C847&amp;"-"&amp;D847&amp;"-"&amp;E847&amp;"-"&amp;F847&amp;"-"&amp;CATALOGO[[#This Row],[Sub cuenta 3]]</f>
        <v>E-24-07-09-00</v>
      </c>
      <c r="B847" s="37" t="s">
        <v>778</v>
      </c>
      <c r="C847" s="37" t="s">
        <v>114</v>
      </c>
      <c r="D847" s="38" t="s">
        <v>703</v>
      </c>
      <c r="E847" s="38" t="s">
        <v>75</v>
      </c>
      <c r="F847" s="38" t="s">
        <v>79</v>
      </c>
      <c r="G847" s="36" t="s">
        <v>11</v>
      </c>
      <c r="H847" s="38" t="s">
        <v>15</v>
      </c>
      <c r="I847" s="157">
        <v>407</v>
      </c>
      <c r="J847" t="s">
        <v>4035</v>
      </c>
    </row>
    <row r="848" spans="1:10" x14ac:dyDescent="0.25">
      <c r="A848" s="37" t="str">
        <f>C848&amp;"-"&amp;D848&amp;"-"&amp;E848&amp;"-"&amp;F848&amp;"-"&amp;CATALOGO[[#This Row],[Sub cuenta 3]]</f>
        <v>E-24-07-10-00</v>
      </c>
      <c r="B848" s="37" t="s">
        <v>779</v>
      </c>
      <c r="C848" s="37" t="s">
        <v>114</v>
      </c>
      <c r="D848" s="38" t="s">
        <v>703</v>
      </c>
      <c r="E848" s="38" t="s">
        <v>75</v>
      </c>
      <c r="F848" s="38" t="s">
        <v>80</v>
      </c>
      <c r="G848" s="36" t="s">
        <v>11</v>
      </c>
      <c r="H848" s="38" t="s">
        <v>15</v>
      </c>
      <c r="I848" s="157">
        <v>407</v>
      </c>
      <c r="J848" t="s">
        <v>4035</v>
      </c>
    </row>
    <row r="849" spans="1:10" x14ac:dyDescent="0.25">
      <c r="A849" s="37" t="str">
        <f>C849&amp;"-"&amp;D849&amp;"-"&amp;E849&amp;"-"&amp;F849&amp;"-"&amp;CATALOGO[[#This Row],[Sub cuenta 3]]</f>
        <v>E-24-07-11-00</v>
      </c>
      <c r="B849" s="37" t="s">
        <v>780</v>
      </c>
      <c r="C849" s="37" t="s">
        <v>114</v>
      </c>
      <c r="D849" s="38" t="s">
        <v>703</v>
      </c>
      <c r="E849" s="38" t="s">
        <v>75</v>
      </c>
      <c r="F849" s="38" t="s">
        <v>82</v>
      </c>
      <c r="G849" s="36" t="s">
        <v>11</v>
      </c>
      <c r="H849" s="38" t="s">
        <v>15</v>
      </c>
      <c r="I849" s="157">
        <v>407</v>
      </c>
      <c r="J849" t="s">
        <v>4035</v>
      </c>
    </row>
    <row r="850" spans="1:10" x14ac:dyDescent="0.25">
      <c r="A850" s="37" t="str">
        <f>C850&amp;"-"&amp;D850&amp;"-"&amp;E850&amp;"-"&amp;F850&amp;"-"&amp;CATALOGO[[#This Row],[Sub cuenta 3]]</f>
        <v>E-24-07-12-00</v>
      </c>
      <c r="B850" s="37" t="s">
        <v>781</v>
      </c>
      <c r="C850" s="37" t="s">
        <v>114</v>
      </c>
      <c r="D850" s="38" t="s">
        <v>703</v>
      </c>
      <c r="E850" s="38" t="s">
        <v>75</v>
      </c>
      <c r="F850" s="38" t="s">
        <v>87</v>
      </c>
      <c r="G850" s="36" t="s">
        <v>11</v>
      </c>
      <c r="H850" s="38" t="s">
        <v>15</v>
      </c>
      <c r="I850" s="157">
        <v>407</v>
      </c>
      <c r="J850" t="s">
        <v>4035</v>
      </c>
    </row>
    <row r="851" spans="1:10" x14ac:dyDescent="0.25">
      <c r="A851" s="37" t="str">
        <f>C851&amp;"-"&amp;D851&amp;"-"&amp;E851&amp;"-"&amp;F851&amp;"-"&amp;CATALOGO[[#This Row],[Sub cuenta 3]]</f>
        <v>E-24-07-13-00</v>
      </c>
      <c r="B851" s="37" t="s">
        <v>782</v>
      </c>
      <c r="C851" s="37" t="s">
        <v>114</v>
      </c>
      <c r="D851" s="38" t="s">
        <v>703</v>
      </c>
      <c r="E851" s="38" t="s">
        <v>75</v>
      </c>
      <c r="F851" s="38" t="s">
        <v>89</v>
      </c>
      <c r="G851" s="36" t="s">
        <v>11</v>
      </c>
      <c r="H851" s="38" t="s">
        <v>15</v>
      </c>
      <c r="I851" s="157">
        <v>407</v>
      </c>
      <c r="J851" t="s">
        <v>4035</v>
      </c>
    </row>
    <row r="852" spans="1:10" x14ac:dyDescent="0.25">
      <c r="A852" s="39" t="str">
        <f>C852&amp;"-"&amp;D852&amp;"-"&amp;E852&amp;"-"&amp;F852&amp;"-"&amp;CATALOGO[[#This Row],[Sub cuenta 3]]</f>
        <v>E-25-00-00-00</v>
      </c>
      <c r="B852" s="39" t="s">
        <v>672</v>
      </c>
      <c r="C852" s="37" t="s">
        <v>114</v>
      </c>
      <c r="D852" s="38" t="s">
        <v>783</v>
      </c>
      <c r="E852" s="38" t="s">
        <v>11</v>
      </c>
      <c r="F852" s="38" t="s">
        <v>11</v>
      </c>
      <c r="G852" s="38" t="s">
        <v>11</v>
      </c>
      <c r="H852" s="38" t="s">
        <v>12</v>
      </c>
      <c r="I852" s="157">
        <v>407</v>
      </c>
      <c r="J852" t="s">
        <v>4035</v>
      </c>
    </row>
    <row r="853" spans="1:10" x14ac:dyDescent="0.25">
      <c r="A853" s="37" t="str">
        <f>C853&amp;"-"&amp;D853&amp;"-"&amp;E853&amp;"-"&amp;F853&amp;"-"&amp;CATALOGO[[#This Row],[Sub cuenta 3]]</f>
        <v>E-25-01-00-00</v>
      </c>
      <c r="B853" s="37" t="s">
        <v>672</v>
      </c>
      <c r="C853" s="37" t="s">
        <v>114</v>
      </c>
      <c r="D853" s="38" t="s">
        <v>783</v>
      </c>
      <c r="E853" s="38" t="s">
        <v>10</v>
      </c>
      <c r="F853" s="38" t="s">
        <v>11</v>
      </c>
      <c r="G853" s="38" t="s">
        <v>11</v>
      </c>
      <c r="H853" s="38" t="s">
        <v>12</v>
      </c>
      <c r="I853" s="157">
        <v>407</v>
      </c>
      <c r="J853" t="s">
        <v>4035</v>
      </c>
    </row>
    <row r="854" spans="1:10" x14ac:dyDescent="0.25">
      <c r="A854" s="37" t="str">
        <f>C854&amp;"-"&amp;D854&amp;"-"&amp;E854&amp;"-"&amp;F854&amp;"-"&amp;CATALOGO[[#This Row],[Sub cuenta 3]]</f>
        <v>E-25-01-01-00</v>
      </c>
      <c r="B854" s="37" t="s">
        <v>256</v>
      </c>
      <c r="C854" s="37" t="s">
        <v>114</v>
      </c>
      <c r="D854" s="38" t="s">
        <v>783</v>
      </c>
      <c r="E854" s="38" t="s">
        <v>10</v>
      </c>
      <c r="F854" s="38" t="s">
        <v>10</v>
      </c>
      <c r="G854" s="38" t="s">
        <v>11</v>
      </c>
      <c r="H854" s="38" t="s">
        <v>15</v>
      </c>
      <c r="I854" s="157">
        <v>407</v>
      </c>
      <c r="J854" t="s">
        <v>4035</v>
      </c>
    </row>
    <row r="855" spans="1:10" x14ac:dyDescent="0.25">
      <c r="A855" s="37" t="str">
        <f>C855&amp;"-"&amp;D855&amp;"-"&amp;E855&amp;"-"&amp;F855&amp;"-"&amp;CATALOGO[[#This Row],[Sub cuenta 3]]</f>
        <v>E-25-01-02-00</v>
      </c>
      <c r="B855" s="37" t="s">
        <v>784</v>
      </c>
      <c r="C855" s="37" t="s">
        <v>114</v>
      </c>
      <c r="D855" s="38" t="s">
        <v>783</v>
      </c>
      <c r="E855" s="38" t="s">
        <v>10</v>
      </c>
      <c r="F855" s="38" t="s">
        <v>17</v>
      </c>
      <c r="G855" s="38" t="s">
        <v>11</v>
      </c>
      <c r="H855" s="38" t="s">
        <v>15</v>
      </c>
      <c r="I855" s="157">
        <v>407</v>
      </c>
      <c r="J855" t="s">
        <v>4035</v>
      </c>
    </row>
    <row r="856" spans="1:10" x14ac:dyDescent="0.25">
      <c r="A856" s="37" t="str">
        <f>C856&amp;"-"&amp;D856&amp;"-"&amp;E856&amp;"-"&amp;F856&amp;"-"&amp;CATALOGO[[#This Row],[Sub cuenta 3]]</f>
        <v>E-25-01-03-00</v>
      </c>
      <c r="B856" s="37" t="s">
        <v>785</v>
      </c>
      <c r="C856" s="37" t="s">
        <v>114</v>
      </c>
      <c r="D856" s="38" t="s">
        <v>783</v>
      </c>
      <c r="E856" s="38" t="s">
        <v>10</v>
      </c>
      <c r="F856" s="38" t="s">
        <v>22</v>
      </c>
      <c r="G856" s="38" t="s">
        <v>11</v>
      </c>
      <c r="H856" s="38" t="s">
        <v>15</v>
      </c>
      <c r="I856" s="157">
        <v>407</v>
      </c>
      <c r="J856" t="s">
        <v>4035</v>
      </c>
    </row>
    <row r="857" spans="1:10" x14ac:dyDescent="0.25">
      <c r="A857" s="37" t="str">
        <f>C857&amp;"-"&amp;D857&amp;"-"&amp;E857&amp;"-"&amp;F857&amp;"-"&amp;CATALOGO[[#This Row],[Sub cuenta 3]]</f>
        <v>E-25-01-04-00</v>
      </c>
      <c r="B857" s="37" t="s">
        <v>786</v>
      </c>
      <c r="C857" s="37" t="s">
        <v>114</v>
      </c>
      <c r="D857" s="38" t="s">
        <v>783</v>
      </c>
      <c r="E857" s="38" t="s">
        <v>10</v>
      </c>
      <c r="F857" s="38" t="s">
        <v>26</v>
      </c>
      <c r="G857" s="38" t="s">
        <v>11</v>
      </c>
      <c r="H857" s="38" t="s">
        <v>15</v>
      </c>
      <c r="I857" s="157">
        <v>407</v>
      </c>
      <c r="J857" t="s">
        <v>4035</v>
      </c>
    </row>
    <row r="858" spans="1:10" x14ac:dyDescent="0.25">
      <c r="A858" s="35" t="str">
        <f>C858&amp;"-"&amp;D858&amp;"-"&amp;E858&amp;"-"&amp;F858&amp;"-"&amp;CATALOGO[[#This Row],[Sub cuenta 3]]</f>
        <v>E-25-02-00-00</v>
      </c>
      <c r="B858" s="35" t="s">
        <v>787</v>
      </c>
      <c r="C858" s="37" t="s">
        <v>114</v>
      </c>
      <c r="D858" s="38" t="s">
        <v>783</v>
      </c>
      <c r="E858" s="38" t="s">
        <v>17</v>
      </c>
      <c r="F858" s="38" t="s">
        <v>11</v>
      </c>
      <c r="G858" s="38" t="s">
        <v>11</v>
      </c>
      <c r="H858" s="38" t="s">
        <v>12</v>
      </c>
      <c r="I858" s="157">
        <v>407</v>
      </c>
      <c r="J858" t="s">
        <v>4035</v>
      </c>
    </row>
    <row r="859" spans="1:10" x14ac:dyDescent="0.25">
      <c r="A859" s="37" t="str">
        <f>C859&amp;"-"&amp;D859&amp;"-"&amp;E859&amp;"-"&amp;F859&amp;"-"&amp;CATALOGO[[#This Row],[Sub cuenta 3]]</f>
        <v>E-25-02-01-00</v>
      </c>
      <c r="B859" s="37" t="s">
        <v>788</v>
      </c>
      <c r="C859" s="37" t="s">
        <v>114</v>
      </c>
      <c r="D859" s="38" t="s">
        <v>783</v>
      </c>
      <c r="E859" s="38" t="s">
        <v>17</v>
      </c>
      <c r="F859" s="38" t="s">
        <v>10</v>
      </c>
      <c r="G859" s="38" t="s">
        <v>11</v>
      </c>
      <c r="H859" s="38" t="s">
        <v>15</v>
      </c>
      <c r="I859" s="157">
        <v>407</v>
      </c>
      <c r="J859" t="s">
        <v>4035</v>
      </c>
    </row>
    <row r="860" spans="1:10" x14ac:dyDescent="0.25">
      <c r="A860" s="37" t="str">
        <f>C860&amp;"-"&amp;D860&amp;"-"&amp;E860&amp;"-"&amp;F860&amp;"-"&amp;CATALOGO[[#This Row],[Sub cuenta 3]]</f>
        <v>E-25-02-02-00</v>
      </c>
      <c r="B860" s="37" t="s">
        <v>789</v>
      </c>
      <c r="C860" s="37" t="s">
        <v>114</v>
      </c>
      <c r="D860" s="38" t="s">
        <v>783</v>
      </c>
      <c r="E860" s="38" t="s">
        <v>17</v>
      </c>
      <c r="F860" s="38" t="s">
        <v>17</v>
      </c>
      <c r="G860" s="38" t="s">
        <v>11</v>
      </c>
      <c r="H860" s="38" t="s">
        <v>15</v>
      </c>
      <c r="I860" s="157">
        <v>407</v>
      </c>
      <c r="J860" t="s">
        <v>4035</v>
      </c>
    </row>
    <row r="861" spans="1:10" x14ac:dyDescent="0.25">
      <c r="A861" s="37" t="str">
        <f>C861&amp;"-"&amp;D861&amp;"-"&amp;E861&amp;"-"&amp;F861&amp;"-"&amp;CATALOGO[[#This Row],[Sub cuenta 3]]</f>
        <v>E-25-02-03-00</v>
      </c>
      <c r="B861" s="37" t="s">
        <v>790</v>
      </c>
      <c r="C861" s="37" t="s">
        <v>114</v>
      </c>
      <c r="D861" s="38" t="s">
        <v>783</v>
      </c>
      <c r="E861" s="38" t="s">
        <v>17</v>
      </c>
      <c r="F861" s="38" t="s">
        <v>22</v>
      </c>
      <c r="G861" s="38" t="s">
        <v>11</v>
      </c>
      <c r="H861" s="38" t="s">
        <v>15</v>
      </c>
      <c r="I861" s="157">
        <v>407</v>
      </c>
      <c r="J861" t="s">
        <v>4035</v>
      </c>
    </row>
    <row r="862" spans="1:10" x14ac:dyDescent="0.25">
      <c r="A862" s="35" t="str">
        <f>C862&amp;"-"&amp;D862&amp;"-"&amp;E862&amp;"-"&amp;F862&amp;"-"&amp;CATALOGO[[#This Row],[Sub cuenta 3]]</f>
        <v>E-25-03-00-00</v>
      </c>
      <c r="B862" s="35" t="s">
        <v>791</v>
      </c>
      <c r="C862" s="37" t="s">
        <v>114</v>
      </c>
      <c r="D862" s="38" t="s">
        <v>783</v>
      </c>
      <c r="E862" s="38" t="s">
        <v>22</v>
      </c>
      <c r="F862" s="38" t="s">
        <v>11</v>
      </c>
      <c r="G862" s="38" t="s">
        <v>11</v>
      </c>
      <c r="H862" s="38" t="s">
        <v>12</v>
      </c>
      <c r="I862" s="157">
        <v>407</v>
      </c>
      <c r="J862" t="s">
        <v>4035</v>
      </c>
    </row>
    <row r="863" spans="1:10" x14ac:dyDescent="0.25">
      <c r="A863" s="37" t="str">
        <f>C863&amp;"-"&amp;D863&amp;"-"&amp;E863&amp;"-"&amp;F863&amp;"-"&amp;CATALOGO[[#This Row],[Sub cuenta 3]]</f>
        <v>E-25-03-01-00</v>
      </c>
      <c r="B863" s="37" t="s">
        <v>792</v>
      </c>
      <c r="C863" s="37" t="s">
        <v>114</v>
      </c>
      <c r="D863" s="38" t="s">
        <v>783</v>
      </c>
      <c r="E863" s="38" t="s">
        <v>22</v>
      </c>
      <c r="F863" s="38" t="s">
        <v>10</v>
      </c>
      <c r="G863" s="38" t="s">
        <v>11</v>
      </c>
      <c r="H863" s="38" t="s">
        <v>15</v>
      </c>
      <c r="I863" s="157">
        <v>407</v>
      </c>
      <c r="J863" t="s">
        <v>4035</v>
      </c>
    </row>
    <row r="864" spans="1:10" x14ac:dyDescent="0.25">
      <c r="A864" s="37" t="str">
        <f>C864&amp;"-"&amp;D864&amp;"-"&amp;E864&amp;"-"&amp;F864&amp;"-"&amp;CATALOGO[[#This Row],[Sub cuenta 3]]</f>
        <v>E-25-03-02-00</v>
      </c>
      <c r="B864" s="37" t="s">
        <v>793</v>
      </c>
      <c r="C864" s="37" t="s">
        <v>114</v>
      </c>
      <c r="D864" s="38" t="s">
        <v>783</v>
      </c>
      <c r="E864" s="38" t="s">
        <v>22</v>
      </c>
      <c r="F864" s="38" t="s">
        <v>17</v>
      </c>
      <c r="G864" s="38" t="s">
        <v>11</v>
      </c>
      <c r="H864" s="38" t="s">
        <v>15</v>
      </c>
      <c r="I864" s="157">
        <v>407</v>
      </c>
      <c r="J864" t="s">
        <v>4035</v>
      </c>
    </row>
    <row r="865" spans="1:10" x14ac:dyDescent="0.25">
      <c r="A865" s="35" t="str">
        <f>C865&amp;"-"&amp;D865&amp;"-"&amp;E865&amp;"-"&amp;F865&amp;"-"&amp;CATALOGO[[#This Row],[Sub cuenta 3]]</f>
        <v>E-25-04-00-00</v>
      </c>
      <c r="B865" s="35" t="s">
        <v>794</v>
      </c>
      <c r="C865" s="37" t="s">
        <v>114</v>
      </c>
      <c r="D865" s="38" t="s">
        <v>783</v>
      </c>
      <c r="E865" s="38" t="s">
        <v>26</v>
      </c>
      <c r="F865" s="38" t="s">
        <v>11</v>
      </c>
      <c r="G865" s="38" t="s">
        <v>11</v>
      </c>
      <c r="H865" s="38" t="s">
        <v>12</v>
      </c>
      <c r="I865" s="157">
        <v>407</v>
      </c>
      <c r="J865" t="s">
        <v>4035</v>
      </c>
    </row>
    <row r="866" spans="1:10" x14ac:dyDescent="0.25">
      <c r="A866" s="37" t="str">
        <f>C866&amp;"-"&amp;D866&amp;"-"&amp;E866&amp;"-"&amp;F866&amp;"-"&amp;CATALOGO[[#This Row],[Sub cuenta 3]]</f>
        <v>E-25-04-01-00</v>
      </c>
      <c r="B866" s="37" t="s">
        <v>795</v>
      </c>
      <c r="C866" s="37" t="s">
        <v>114</v>
      </c>
      <c r="D866" s="38" t="s">
        <v>783</v>
      </c>
      <c r="E866" s="38" t="s">
        <v>26</v>
      </c>
      <c r="F866" s="38" t="s">
        <v>10</v>
      </c>
      <c r="G866" s="38" t="s">
        <v>11</v>
      </c>
      <c r="H866" s="38" t="s">
        <v>15</v>
      </c>
      <c r="I866" s="157">
        <v>407</v>
      </c>
      <c r="J866" t="s">
        <v>4035</v>
      </c>
    </row>
    <row r="867" spans="1:10" x14ac:dyDescent="0.25">
      <c r="A867" s="37" t="str">
        <f>C867&amp;"-"&amp;D867&amp;"-"&amp;E867&amp;"-"&amp;F867&amp;"-"&amp;CATALOGO[[#This Row],[Sub cuenta 3]]</f>
        <v>E-25-04-02-00</v>
      </c>
      <c r="B867" s="37" t="s">
        <v>796</v>
      </c>
      <c r="C867" s="37" t="s">
        <v>114</v>
      </c>
      <c r="D867" s="38" t="s">
        <v>783</v>
      </c>
      <c r="E867" s="38" t="s">
        <v>26</v>
      </c>
      <c r="F867" s="38" t="s">
        <v>17</v>
      </c>
      <c r="G867" s="38" t="s">
        <v>11</v>
      </c>
      <c r="H867" s="38" t="s">
        <v>15</v>
      </c>
      <c r="I867" s="157">
        <v>407</v>
      </c>
      <c r="J867" t="s">
        <v>4035</v>
      </c>
    </row>
    <row r="868" spans="1:10" x14ac:dyDescent="0.25">
      <c r="A868" s="37" t="str">
        <f>C868&amp;"-"&amp;D868&amp;"-"&amp;E868&amp;"-"&amp;F868&amp;"-"&amp;CATALOGO[[#This Row],[Sub cuenta 3]]</f>
        <v>E-25-04-03-00</v>
      </c>
      <c r="B868" s="37" t="s">
        <v>797</v>
      </c>
      <c r="C868" s="37" t="s">
        <v>114</v>
      </c>
      <c r="D868" s="38" t="s">
        <v>783</v>
      </c>
      <c r="E868" s="38" t="s">
        <v>26</v>
      </c>
      <c r="F868" s="38" t="s">
        <v>22</v>
      </c>
      <c r="G868" s="38" t="s">
        <v>11</v>
      </c>
      <c r="H868" s="38" t="s">
        <v>15</v>
      </c>
      <c r="I868" s="157">
        <v>407</v>
      </c>
      <c r="J868" t="s">
        <v>4035</v>
      </c>
    </row>
    <row r="869" spans="1:10" x14ac:dyDescent="0.25">
      <c r="A869" s="7" t="str">
        <f>C869&amp;"-"&amp;D869&amp;"-"&amp;E869&amp;"-"&amp;F869&amp;"-"&amp;CATALOGO[[#This Row],[Sub cuenta 3]]</f>
        <v>E-25-05-00-00</v>
      </c>
      <c r="B869" s="7" t="s">
        <v>798</v>
      </c>
      <c r="C869" s="37" t="s">
        <v>114</v>
      </c>
      <c r="D869" s="38" t="s">
        <v>783</v>
      </c>
      <c r="E869" s="38" t="s">
        <v>62</v>
      </c>
      <c r="F869" s="38" t="s">
        <v>11</v>
      </c>
      <c r="G869" s="38" t="s">
        <v>11</v>
      </c>
      <c r="H869" s="38" t="s">
        <v>12</v>
      </c>
      <c r="I869" s="157">
        <v>407</v>
      </c>
      <c r="J869" t="s">
        <v>4035</v>
      </c>
    </row>
    <row r="870" spans="1:10" x14ac:dyDescent="0.25">
      <c r="A870" s="37" t="str">
        <f>C870&amp;"-"&amp;D870&amp;"-"&amp;E870&amp;"-"&amp;F870&amp;"-"&amp;CATALOGO[[#This Row],[Sub cuenta 3]]</f>
        <v>E-25-05-01-00</v>
      </c>
      <c r="B870" s="37" t="s">
        <v>799</v>
      </c>
      <c r="C870" s="37" t="s">
        <v>114</v>
      </c>
      <c r="D870" s="38" t="s">
        <v>783</v>
      </c>
      <c r="E870" s="38" t="s">
        <v>62</v>
      </c>
      <c r="F870" s="38" t="s">
        <v>10</v>
      </c>
      <c r="G870" s="38" t="s">
        <v>11</v>
      </c>
      <c r="H870" s="38" t="s">
        <v>15</v>
      </c>
      <c r="I870" s="157">
        <v>407</v>
      </c>
      <c r="J870" t="s">
        <v>4035</v>
      </c>
    </row>
    <row r="871" spans="1:10" x14ac:dyDescent="0.25">
      <c r="A871" s="37" t="str">
        <f>C871&amp;"-"&amp;D871&amp;"-"&amp;E871&amp;"-"&amp;F871&amp;"-"&amp;CATALOGO[[#This Row],[Sub cuenta 3]]</f>
        <v>E-25-05-02-00</v>
      </c>
      <c r="B871" s="37" t="s">
        <v>800</v>
      </c>
      <c r="C871" s="37" t="s">
        <v>114</v>
      </c>
      <c r="D871" s="38" t="s">
        <v>783</v>
      </c>
      <c r="E871" s="38" t="s">
        <v>62</v>
      </c>
      <c r="F871" s="38" t="s">
        <v>17</v>
      </c>
      <c r="G871" s="38" t="s">
        <v>11</v>
      </c>
      <c r="H871" s="38" t="s">
        <v>15</v>
      </c>
      <c r="I871" s="157">
        <v>407</v>
      </c>
      <c r="J871" t="s">
        <v>4035</v>
      </c>
    </row>
    <row r="872" spans="1:10" x14ac:dyDescent="0.25">
      <c r="A872" s="37" t="str">
        <f>C872&amp;"-"&amp;D872&amp;"-"&amp;E872&amp;"-"&amp;F872&amp;"-"&amp;CATALOGO[[#This Row],[Sub cuenta 3]]</f>
        <v>E-25-05-03-00</v>
      </c>
      <c r="B872" s="37" t="s">
        <v>801</v>
      </c>
      <c r="C872" s="37" t="s">
        <v>114</v>
      </c>
      <c r="D872" s="38" t="s">
        <v>783</v>
      </c>
      <c r="E872" s="38" t="s">
        <v>62</v>
      </c>
      <c r="F872" s="38" t="s">
        <v>22</v>
      </c>
      <c r="G872" s="38" t="s">
        <v>11</v>
      </c>
      <c r="H872" s="38" t="s">
        <v>15</v>
      </c>
      <c r="I872" s="157">
        <v>407</v>
      </c>
      <c r="J872" t="s">
        <v>4035</v>
      </c>
    </row>
    <row r="873" spans="1:10" x14ac:dyDescent="0.25">
      <c r="A873" s="37" t="str">
        <f>C873&amp;"-"&amp;D873&amp;"-"&amp;E873&amp;"-"&amp;F873&amp;"-"&amp;CATALOGO[[#This Row],[Sub cuenta 3]]</f>
        <v>E-25-05-04-00</v>
      </c>
      <c r="B873" s="37" t="s">
        <v>802</v>
      </c>
      <c r="C873" s="37" t="s">
        <v>114</v>
      </c>
      <c r="D873" s="38" t="s">
        <v>783</v>
      </c>
      <c r="E873" s="38" t="s">
        <v>62</v>
      </c>
      <c r="F873" s="38" t="s">
        <v>26</v>
      </c>
      <c r="G873" s="38" t="s">
        <v>11</v>
      </c>
      <c r="H873" s="38" t="s">
        <v>15</v>
      </c>
      <c r="I873" s="157">
        <v>407</v>
      </c>
      <c r="J873" t="s">
        <v>4035</v>
      </c>
    </row>
    <row r="874" spans="1:10" x14ac:dyDescent="0.25">
      <c r="A874" s="37" t="str">
        <f>C874&amp;"-"&amp;D874&amp;"-"&amp;E874&amp;"-"&amp;F874&amp;"-"&amp;CATALOGO[[#This Row],[Sub cuenta 3]]</f>
        <v>E-25-05-05-00</v>
      </c>
      <c r="B874" s="37" t="s">
        <v>803</v>
      </c>
      <c r="C874" s="37" t="s">
        <v>114</v>
      </c>
      <c r="D874" s="38" t="s">
        <v>783</v>
      </c>
      <c r="E874" s="38" t="s">
        <v>62</v>
      </c>
      <c r="F874" s="38" t="s">
        <v>62</v>
      </c>
      <c r="G874" s="38" t="s">
        <v>11</v>
      </c>
      <c r="H874" s="38" t="s">
        <v>15</v>
      </c>
      <c r="I874" s="157">
        <v>407</v>
      </c>
      <c r="J874" t="s">
        <v>4035</v>
      </c>
    </row>
    <row r="875" spans="1:10" x14ac:dyDescent="0.25">
      <c r="A875" s="37" t="str">
        <f>C875&amp;"-"&amp;D875&amp;"-"&amp;E875&amp;"-"&amp;F875&amp;"-"&amp;CATALOGO[[#This Row],[Sub cuenta 3]]</f>
        <v>E-25-05-06-00</v>
      </c>
      <c r="B875" s="37" t="s">
        <v>804</v>
      </c>
      <c r="C875" s="37" t="s">
        <v>114</v>
      </c>
      <c r="D875" s="38" t="s">
        <v>783</v>
      </c>
      <c r="E875" s="38" t="s">
        <v>62</v>
      </c>
      <c r="F875" s="38" t="s">
        <v>73</v>
      </c>
      <c r="G875" s="38" t="s">
        <v>11</v>
      </c>
      <c r="H875" s="38" t="s">
        <v>15</v>
      </c>
      <c r="I875" s="157">
        <v>407</v>
      </c>
      <c r="J875" t="s">
        <v>4035</v>
      </c>
    </row>
    <row r="876" spans="1:10" x14ac:dyDescent="0.25">
      <c r="A876" s="37" t="str">
        <f>C876&amp;"-"&amp;D876&amp;"-"&amp;E876&amp;"-"&amp;F876&amp;"-"&amp;CATALOGO[[#This Row],[Sub cuenta 3]]</f>
        <v>E-25-05-07-00</v>
      </c>
      <c r="B876" s="37" t="s">
        <v>805</v>
      </c>
      <c r="C876" s="37" t="s">
        <v>114</v>
      </c>
      <c r="D876" s="38" t="s">
        <v>783</v>
      </c>
      <c r="E876" s="38" t="s">
        <v>62</v>
      </c>
      <c r="F876" s="38" t="s">
        <v>75</v>
      </c>
      <c r="G876" s="38" t="s">
        <v>11</v>
      </c>
      <c r="H876" s="38" t="s">
        <v>15</v>
      </c>
      <c r="I876" s="157">
        <v>407</v>
      </c>
      <c r="J876" t="s">
        <v>4035</v>
      </c>
    </row>
    <row r="877" spans="1:10" x14ac:dyDescent="0.25">
      <c r="A877" s="37" t="str">
        <f>C877&amp;"-"&amp;D877&amp;"-"&amp;E877&amp;"-"&amp;F877&amp;"-"&amp;CATALOGO[[#This Row],[Sub cuenta 3]]</f>
        <v>E-25-05-08-00</v>
      </c>
      <c r="B877" s="37" t="s">
        <v>806</v>
      </c>
      <c r="C877" s="37" t="s">
        <v>114</v>
      </c>
      <c r="D877" s="38" t="s">
        <v>783</v>
      </c>
      <c r="E877" s="38" t="s">
        <v>62</v>
      </c>
      <c r="F877" s="38" t="s">
        <v>77</v>
      </c>
      <c r="G877" s="38" t="s">
        <v>11</v>
      </c>
      <c r="H877" s="38" t="s">
        <v>15</v>
      </c>
      <c r="I877" s="157">
        <v>407</v>
      </c>
      <c r="J877" t="s">
        <v>4035</v>
      </c>
    </row>
    <row r="878" spans="1:10" x14ac:dyDescent="0.25">
      <c r="A878" s="37" t="str">
        <f>C878&amp;"-"&amp;D878&amp;"-"&amp;E878&amp;"-"&amp;F878&amp;"-"&amp;CATALOGO[[#This Row],[Sub cuenta 3]]</f>
        <v>E-25-05-09-00</v>
      </c>
      <c r="B878" s="37" t="s">
        <v>807</v>
      </c>
      <c r="C878" s="37" t="s">
        <v>114</v>
      </c>
      <c r="D878" s="38" t="s">
        <v>783</v>
      </c>
      <c r="E878" s="38" t="s">
        <v>62</v>
      </c>
      <c r="F878" s="38" t="s">
        <v>79</v>
      </c>
      <c r="G878" s="38" t="s">
        <v>11</v>
      </c>
      <c r="H878" s="38" t="s">
        <v>15</v>
      </c>
      <c r="I878" s="157">
        <v>407</v>
      </c>
      <c r="J878" t="s">
        <v>4035</v>
      </c>
    </row>
    <row r="879" spans="1:10" x14ac:dyDescent="0.25">
      <c r="A879" s="37" t="str">
        <f>C879&amp;"-"&amp;D879&amp;"-"&amp;E879&amp;"-"&amp;F879&amp;"-"&amp;CATALOGO[[#This Row],[Sub cuenta 3]]</f>
        <v>E-25-05-10-00</v>
      </c>
      <c r="B879" s="37" t="s">
        <v>808</v>
      </c>
      <c r="C879" s="37" t="s">
        <v>114</v>
      </c>
      <c r="D879" s="38" t="s">
        <v>783</v>
      </c>
      <c r="E879" s="38" t="s">
        <v>62</v>
      </c>
      <c r="F879" s="38" t="s">
        <v>80</v>
      </c>
      <c r="G879" s="38" t="s">
        <v>11</v>
      </c>
      <c r="H879" s="38" t="s">
        <v>15</v>
      </c>
      <c r="I879" s="192">
        <v>407</v>
      </c>
      <c r="J879" t="s">
        <v>4035</v>
      </c>
    </row>
    <row r="880" spans="1:10" x14ac:dyDescent="0.25">
      <c r="A880" s="39" t="str">
        <f>C880&amp;"-"&amp;D880&amp;"-"&amp;E880&amp;"-"&amp;F880&amp;"-"&amp;CATALOGO[[#This Row],[Sub cuenta 3]]</f>
        <v>E-26-00-00-00</v>
      </c>
      <c r="B880" s="39" t="s">
        <v>809</v>
      </c>
      <c r="C880" s="37" t="s">
        <v>114</v>
      </c>
      <c r="D880" s="38" t="s">
        <v>810</v>
      </c>
      <c r="E880" s="38" t="s">
        <v>11</v>
      </c>
      <c r="F880" s="38" t="s">
        <v>11</v>
      </c>
      <c r="G880" s="36" t="s">
        <v>11</v>
      </c>
      <c r="H880" s="38" t="s">
        <v>12</v>
      </c>
      <c r="I880" s="157">
        <v>407</v>
      </c>
      <c r="J880" t="s">
        <v>4035</v>
      </c>
    </row>
    <row r="881" spans="1:10" x14ac:dyDescent="0.25">
      <c r="A881" s="37" t="str">
        <f>C881&amp;"-"&amp;D881&amp;"-"&amp;E881&amp;"-"&amp;F881&amp;"-"&amp;CATALOGO[[#This Row],[Sub cuenta 3]]</f>
        <v>E-26-01-00-00</v>
      </c>
      <c r="B881" s="37" t="s">
        <v>811</v>
      </c>
      <c r="C881" s="37" t="s">
        <v>114</v>
      </c>
      <c r="D881" s="38" t="s">
        <v>810</v>
      </c>
      <c r="E881" s="38" t="s">
        <v>10</v>
      </c>
      <c r="F881" s="38" t="s">
        <v>11</v>
      </c>
      <c r="G881" s="36" t="s">
        <v>11</v>
      </c>
      <c r="H881" s="38" t="s">
        <v>12</v>
      </c>
      <c r="I881" s="157">
        <v>407</v>
      </c>
      <c r="J881" t="s">
        <v>4035</v>
      </c>
    </row>
    <row r="882" spans="1:10" x14ac:dyDescent="0.25">
      <c r="A882" s="37" t="str">
        <f>C882&amp;"-"&amp;D882&amp;"-"&amp;E882&amp;"-"&amp;F882&amp;"-"&amp;CATALOGO[[#This Row],[Sub cuenta 3]]</f>
        <v>E-26-01-01-00</v>
      </c>
      <c r="B882" s="37" t="s">
        <v>811</v>
      </c>
      <c r="C882" s="37" t="s">
        <v>114</v>
      </c>
      <c r="D882" s="38" t="s">
        <v>810</v>
      </c>
      <c r="E882" s="38" t="s">
        <v>10</v>
      </c>
      <c r="F882" s="38" t="s">
        <v>10</v>
      </c>
      <c r="G882" s="36" t="s">
        <v>11</v>
      </c>
      <c r="H882" s="38" t="s">
        <v>15</v>
      </c>
      <c r="I882" s="157">
        <v>407</v>
      </c>
      <c r="J882" t="s">
        <v>4035</v>
      </c>
    </row>
    <row r="883" spans="1:10" x14ac:dyDescent="0.25">
      <c r="A883" s="37" t="str">
        <f>C883&amp;"-"&amp;D883&amp;"-"&amp;E883&amp;"-"&amp;F883&amp;"-"&amp;CATALOGO[[#This Row],[Sub cuenta 3]]</f>
        <v>E-26-01-01-01</v>
      </c>
      <c r="B883" s="37" t="s">
        <v>812</v>
      </c>
      <c r="C883" s="37" t="s">
        <v>114</v>
      </c>
      <c r="D883" s="38" t="s">
        <v>810</v>
      </c>
      <c r="E883" s="38" t="s">
        <v>10</v>
      </c>
      <c r="F883" s="38" t="s">
        <v>10</v>
      </c>
      <c r="G883" s="38" t="s">
        <v>10</v>
      </c>
      <c r="H883" s="38" t="s">
        <v>15</v>
      </c>
      <c r="I883" s="157">
        <v>407</v>
      </c>
      <c r="J883" t="s">
        <v>4035</v>
      </c>
    </row>
    <row r="884" spans="1:10" x14ac:dyDescent="0.25">
      <c r="A884" s="37" t="str">
        <f>C884&amp;"-"&amp;D884&amp;"-"&amp;E884&amp;"-"&amp;F884&amp;"-"&amp;CATALOGO[[#This Row],[Sub cuenta 3]]</f>
        <v>E-26-01-01-02</v>
      </c>
      <c r="B884" s="37" t="s">
        <v>813</v>
      </c>
      <c r="C884" s="37" t="s">
        <v>114</v>
      </c>
      <c r="D884" s="38" t="s">
        <v>810</v>
      </c>
      <c r="E884" s="38" t="s">
        <v>10</v>
      </c>
      <c r="F884" s="38" t="s">
        <v>10</v>
      </c>
      <c r="G884" s="38" t="s">
        <v>17</v>
      </c>
      <c r="H884" s="38" t="s">
        <v>15</v>
      </c>
      <c r="I884" s="157">
        <v>407</v>
      </c>
      <c r="J884" t="s">
        <v>4035</v>
      </c>
    </row>
    <row r="885" spans="1:10" x14ac:dyDescent="0.25">
      <c r="A885" s="37" t="str">
        <f>C885&amp;"-"&amp;D885&amp;"-"&amp;E885&amp;"-"&amp;F885&amp;"-"&amp;CATALOGO[[#This Row],[Sub cuenta 3]]</f>
        <v>E-26-01-01-03</v>
      </c>
      <c r="B885" s="37" t="s">
        <v>814</v>
      </c>
      <c r="C885" s="37" t="s">
        <v>114</v>
      </c>
      <c r="D885" s="38" t="s">
        <v>810</v>
      </c>
      <c r="E885" s="38" t="s">
        <v>10</v>
      </c>
      <c r="F885" s="38" t="s">
        <v>10</v>
      </c>
      <c r="G885" s="38" t="s">
        <v>22</v>
      </c>
      <c r="H885" s="38" t="s">
        <v>15</v>
      </c>
      <c r="I885" s="157">
        <v>407</v>
      </c>
      <c r="J885" t="s">
        <v>4035</v>
      </c>
    </row>
    <row r="886" spans="1:10" x14ac:dyDescent="0.25">
      <c r="A886" s="37" t="str">
        <f>C886&amp;"-"&amp;D886&amp;"-"&amp;E886&amp;"-"&amp;F886&amp;"-"&amp;CATALOGO[[#This Row],[Sub cuenta 3]]</f>
        <v>E-26-01-01-04</v>
      </c>
      <c r="B886" s="37" t="s">
        <v>815</v>
      </c>
      <c r="C886" s="37" t="s">
        <v>114</v>
      </c>
      <c r="D886" s="38" t="s">
        <v>810</v>
      </c>
      <c r="E886" s="38" t="s">
        <v>10</v>
      </c>
      <c r="F886" s="38" t="s">
        <v>10</v>
      </c>
      <c r="G886" s="38" t="s">
        <v>26</v>
      </c>
      <c r="H886" s="38" t="s">
        <v>15</v>
      </c>
      <c r="I886" s="192">
        <v>407</v>
      </c>
      <c r="J886" t="s">
        <v>4035</v>
      </c>
    </row>
    <row r="887" spans="1:10" x14ac:dyDescent="0.25">
      <c r="A887" s="37" t="str">
        <f>C887&amp;"-"&amp;D887&amp;"-"&amp;E887&amp;"-"&amp;F887&amp;"-"&amp;CATALOGO[[#This Row],[Sub cuenta 3]]</f>
        <v>E-26-01-01-05</v>
      </c>
      <c r="B887" s="37" t="s">
        <v>816</v>
      </c>
      <c r="C887" s="37" t="s">
        <v>114</v>
      </c>
      <c r="D887" s="38" t="s">
        <v>810</v>
      </c>
      <c r="E887" s="38" t="s">
        <v>10</v>
      </c>
      <c r="F887" s="38" t="s">
        <v>10</v>
      </c>
      <c r="G887" s="38" t="s">
        <v>62</v>
      </c>
      <c r="H887" s="38" t="s">
        <v>15</v>
      </c>
      <c r="I887" s="157">
        <v>407</v>
      </c>
      <c r="J887" t="s">
        <v>4035</v>
      </c>
    </row>
    <row r="888" spans="1:10" x14ac:dyDescent="0.25">
      <c r="A888" s="37" t="str">
        <f>C888&amp;"-"&amp;D888&amp;"-"&amp;E888&amp;"-"&amp;F888&amp;"-"&amp;CATALOGO[[#This Row],[Sub cuenta 3]]</f>
        <v>E-26-01-01-06</v>
      </c>
      <c r="B888" s="37" t="s">
        <v>817</v>
      </c>
      <c r="C888" s="37" t="s">
        <v>114</v>
      </c>
      <c r="D888" s="38" t="s">
        <v>810</v>
      </c>
      <c r="E888" s="38" t="s">
        <v>10</v>
      </c>
      <c r="F888" s="38" t="s">
        <v>10</v>
      </c>
      <c r="G888" s="38" t="s">
        <v>73</v>
      </c>
      <c r="H888" s="38" t="s">
        <v>15</v>
      </c>
      <c r="I888" s="157">
        <v>407</v>
      </c>
      <c r="J888" t="s">
        <v>4035</v>
      </c>
    </row>
    <row r="889" spans="1:10" x14ac:dyDescent="0.25">
      <c r="A889" s="37" t="str">
        <f>C889&amp;"-"&amp;D889&amp;"-"&amp;E889&amp;"-"&amp;F889&amp;"-"&amp;CATALOGO[[#This Row],[Sub cuenta 3]]</f>
        <v>E-26-01-02-00</v>
      </c>
      <c r="B889" s="37" t="s">
        <v>818</v>
      </c>
      <c r="C889" s="37" t="s">
        <v>114</v>
      </c>
      <c r="D889" s="38" t="s">
        <v>810</v>
      </c>
      <c r="E889" s="38" t="s">
        <v>10</v>
      </c>
      <c r="F889" s="38" t="s">
        <v>17</v>
      </c>
      <c r="G889" s="36" t="s">
        <v>11</v>
      </c>
      <c r="H889" s="38" t="s">
        <v>15</v>
      </c>
      <c r="I889" s="157">
        <v>407</v>
      </c>
      <c r="J889" t="s">
        <v>4035</v>
      </c>
    </row>
    <row r="890" spans="1:10" x14ac:dyDescent="0.25">
      <c r="A890" s="37" t="str">
        <f>C890&amp;"-"&amp;D890&amp;"-"&amp;E890&amp;"-"&amp;F890&amp;"-"&amp;CATALOGO[[#This Row],[Sub cuenta 3]]</f>
        <v>E-26-01-02-01</v>
      </c>
      <c r="B890" s="37" t="s">
        <v>819</v>
      </c>
      <c r="C890" s="37" t="s">
        <v>114</v>
      </c>
      <c r="D890" s="38" t="s">
        <v>810</v>
      </c>
      <c r="E890" s="38" t="s">
        <v>10</v>
      </c>
      <c r="F890" s="38" t="s">
        <v>17</v>
      </c>
      <c r="G890" s="36" t="s">
        <v>10</v>
      </c>
      <c r="H890" s="38" t="s">
        <v>15</v>
      </c>
      <c r="I890" s="157">
        <v>407</v>
      </c>
      <c r="J890" t="s">
        <v>4035</v>
      </c>
    </row>
    <row r="891" spans="1:10" x14ac:dyDescent="0.25">
      <c r="A891" s="37" t="str">
        <f>C891&amp;"-"&amp;D891&amp;"-"&amp;E891&amp;"-"&amp;F891&amp;"-"&amp;CATALOGO[[#This Row],[Sub cuenta 3]]</f>
        <v>E-26-01-03-00</v>
      </c>
      <c r="B891" s="37" t="s">
        <v>820</v>
      </c>
      <c r="C891" s="37" t="s">
        <v>114</v>
      </c>
      <c r="D891" s="38" t="s">
        <v>810</v>
      </c>
      <c r="E891" s="38" t="s">
        <v>10</v>
      </c>
      <c r="F891" s="38" t="s">
        <v>22</v>
      </c>
      <c r="G891" s="36" t="s">
        <v>11</v>
      </c>
      <c r="H891" s="38" t="s">
        <v>12</v>
      </c>
      <c r="I891" s="157">
        <v>407</v>
      </c>
      <c r="J891" t="s">
        <v>4035</v>
      </c>
    </row>
    <row r="892" spans="1:10" x14ac:dyDescent="0.25">
      <c r="A892" s="37" t="str">
        <f>C892&amp;"-"&amp;D892&amp;"-"&amp;E892&amp;"-"&amp;F892&amp;"-"&amp;CATALOGO[[#This Row],[Sub cuenta 3]]</f>
        <v>E-26-01-03-01</v>
      </c>
      <c r="B892" s="37" t="s">
        <v>821</v>
      </c>
      <c r="C892" s="37" t="s">
        <v>114</v>
      </c>
      <c r="D892" s="38" t="s">
        <v>810</v>
      </c>
      <c r="E892" s="38" t="s">
        <v>10</v>
      </c>
      <c r="F892" s="38" t="s">
        <v>22</v>
      </c>
      <c r="G892" s="36" t="s">
        <v>10</v>
      </c>
      <c r="H892" s="38" t="s">
        <v>15</v>
      </c>
      <c r="I892" s="157">
        <v>407</v>
      </c>
      <c r="J892" t="s">
        <v>4035</v>
      </c>
    </row>
    <row r="893" spans="1:10" x14ac:dyDescent="0.25">
      <c r="A893" s="37" t="str">
        <f>C893&amp;"-"&amp;D893&amp;"-"&amp;E893&amp;"-"&amp;F893&amp;"-"&amp;CATALOGO[[#This Row],[Sub cuenta 3]]</f>
        <v>E-26-01-03-02</v>
      </c>
      <c r="B893" s="37" t="s">
        <v>822</v>
      </c>
      <c r="C893" s="37" t="s">
        <v>114</v>
      </c>
      <c r="D893" s="38" t="s">
        <v>810</v>
      </c>
      <c r="E893" s="38" t="s">
        <v>10</v>
      </c>
      <c r="F893" s="38" t="s">
        <v>22</v>
      </c>
      <c r="G893" s="36" t="s">
        <v>17</v>
      </c>
      <c r="H893" s="38" t="s">
        <v>15</v>
      </c>
      <c r="I893" s="157">
        <v>407</v>
      </c>
      <c r="J893" t="s">
        <v>4035</v>
      </c>
    </row>
    <row r="894" spans="1:10" x14ac:dyDescent="0.25">
      <c r="A894" s="37" t="str">
        <f>C894&amp;"-"&amp;D894&amp;"-"&amp;E894&amp;"-"&amp;F894&amp;"-"&amp;CATALOGO[[#This Row],[Sub cuenta 3]]</f>
        <v>E-26-01-03-03</v>
      </c>
      <c r="B894" s="37" t="s">
        <v>823</v>
      </c>
      <c r="C894" s="37" t="s">
        <v>114</v>
      </c>
      <c r="D894" s="38" t="s">
        <v>810</v>
      </c>
      <c r="E894" s="38" t="s">
        <v>10</v>
      </c>
      <c r="F894" s="38" t="s">
        <v>22</v>
      </c>
      <c r="G894" s="36" t="s">
        <v>22</v>
      </c>
      <c r="H894" s="38" t="s">
        <v>15</v>
      </c>
      <c r="I894" s="157">
        <v>407</v>
      </c>
      <c r="J894" t="s">
        <v>4035</v>
      </c>
    </row>
    <row r="895" spans="1:10" x14ac:dyDescent="0.25">
      <c r="A895" s="37" t="str">
        <f>C895&amp;"-"&amp;D895&amp;"-"&amp;E895&amp;"-"&amp;F895&amp;"-"&amp;CATALOGO[[#This Row],[Sub cuenta 3]]</f>
        <v>E-26-01-03-04</v>
      </c>
      <c r="B895" s="37" t="s">
        <v>824</v>
      </c>
      <c r="C895" s="37" t="s">
        <v>114</v>
      </c>
      <c r="D895" s="38" t="s">
        <v>810</v>
      </c>
      <c r="E895" s="38" t="s">
        <v>10</v>
      </c>
      <c r="F895" s="38" t="s">
        <v>22</v>
      </c>
      <c r="G895" s="36" t="s">
        <v>26</v>
      </c>
      <c r="H895" s="38" t="s">
        <v>15</v>
      </c>
      <c r="I895" s="157">
        <v>407</v>
      </c>
      <c r="J895" t="s">
        <v>4035</v>
      </c>
    </row>
    <row r="896" spans="1:10" x14ac:dyDescent="0.25">
      <c r="A896" s="37" t="str">
        <f>C896&amp;"-"&amp;D896&amp;"-"&amp;E896&amp;"-"&amp;F896&amp;"-"&amp;CATALOGO[[#This Row],[Sub cuenta 3]]</f>
        <v>E-26-01-04-00</v>
      </c>
      <c r="B896" s="37" t="s">
        <v>825</v>
      </c>
      <c r="C896" s="37" t="s">
        <v>114</v>
      </c>
      <c r="D896" s="38" t="s">
        <v>810</v>
      </c>
      <c r="E896" s="38" t="s">
        <v>10</v>
      </c>
      <c r="F896" s="38" t="s">
        <v>26</v>
      </c>
      <c r="G896" s="38" t="s">
        <v>11</v>
      </c>
      <c r="H896" s="38" t="s">
        <v>826</v>
      </c>
      <c r="I896" s="157">
        <v>407</v>
      </c>
      <c r="J896" t="s">
        <v>4035</v>
      </c>
    </row>
    <row r="897" spans="1:10" x14ac:dyDescent="0.25">
      <c r="A897" s="37" t="str">
        <f>C897&amp;"-"&amp;D897&amp;"-"&amp;E897&amp;"-"&amp;F897&amp;"-"&amp;CATALOGO[[#This Row],[Sub cuenta 3]]</f>
        <v>E-26-02-00-00</v>
      </c>
      <c r="B897" s="37" t="s">
        <v>827</v>
      </c>
      <c r="C897" s="37" t="s">
        <v>114</v>
      </c>
      <c r="D897" s="38" t="s">
        <v>810</v>
      </c>
      <c r="E897" s="38" t="s">
        <v>17</v>
      </c>
      <c r="F897" s="38" t="s">
        <v>11</v>
      </c>
      <c r="G897" s="36" t="s">
        <v>11</v>
      </c>
      <c r="H897" s="38" t="s">
        <v>12</v>
      </c>
      <c r="I897" s="157">
        <v>407</v>
      </c>
      <c r="J897" t="s">
        <v>4035</v>
      </c>
    </row>
    <row r="898" spans="1:10" x14ac:dyDescent="0.25">
      <c r="A898" s="37" t="str">
        <f>C898&amp;"-"&amp;D898&amp;"-"&amp;E898&amp;"-"&amp;F898&amp;"-"&amp;CATALOGO[[#This Row],[Sub cuenta 3]]</f>
        <v>E-26-02-01-00</v>
      </c>
      <c r="B898" s="37" t="s">
        <v>828</v>
      </c>
      <c r="C898" s="37" t="s">
        <v>114</v>
      </c>
      <c r="D898" s="38" t="s">
        <v>810</v>
      </c>
      <c r="E898" s="38" t="s">
        <v>17</v>
      </c>
      <c r="F898" s="38" t="s">
        <v>10</v>
      </c>
      <c r="G898" s="36" t="s">
        <v>11</v>
      </c>
      <c r="H898" s="38" t="s">
        <v>15</v>
      </c>
      <c r="I898" s="157">
        <v>407</v>
      </c>
      <c r="J898" t="s">
        <v>4035</v>
      </c>
    </row>
    <row r="899" spans="1:10" x14ac:dyDescent="0.25">
      <c r="A899" s="37" t="str">
        <f>C899&amp;"-"&amp;D899&amp;"-"&amp;E899&amp;"-"&amp;F899&amp;"-"&amp;CATALOGO[[#This Row],[Sub cuenta 3]]</f>
        <v>E-26-02-02-00</v>
      </c>
      <c r="B899" s="37" t="s">
        <v>829</v>
      </c>
      <c r="C899" s="37" t="s">
        <v>114</v>
      </c>
      <c r="D899" s="38" t="s">
        <v>810</v>
      </c>
      <c r="E899" s="38" t="s">
        <v>17</v>
      </c>
      <c r="F899" s="38" t="s">
        <v>17</v>
      </c>
      <c r="G899" s="38" t="s">
        <v>11</v>
      </c>
      <c r="H899" s="38" t="s">
        <v>12</v>
      </c>
      <c r="I899" s="157">
        <v>407</v>
      </c>
      <c r="J899" t="s">
        <v>4035</v>
      </c>
    </row>
    <row r="900" spans="1:10" x14ac:dyDescent="0.25">
      <c r="A900" s="37" t="str">
        <f>C900&amp;"-"&amp;D900&amp;"-"&amp;E900&amp;"-"&amp;F900&amp;"-"&amp;CATALOGO[[#This Row],[Sub cuenta 3]]</f>
        <v>E-26-02-02-01</v>
      </c>
      <c r="B900" s="37" t="s">
        <v>830</v>
      </c>
      <c r="C900" s="37" t="s">
        <v>114</v>
      </c>
      <c r="D900" s="38" t="s">
        <v>810</v>
      </c>
      <c r="E900" s="38" t="s">
        <v>17</v>
      </c>
      <c r="F900" s="38" t="s">
        <v>17</v>
      </c>
      <c r="G900" s="38" t="s">
        <v>10</v>
      </c>
      <c r="H900" s="38" t="s">
        <v>15</v>
      </c>
      <c r="I900" s="157">
        <v>407</v>
      </c>
      <c r="J900" t="s">
        <v>4035</v>
      </c>
    </row>
    <row r="901" spans="1:10" x14ac:dyDescent="0.25">
      <c r="A901" s="37" t="str">
        <f>C901&amp;"-"&amp;D901&amp;"-"&amp;E901&amp;"-"&amp;F901&amp;"-"&amp;CATALOGO[[#This Row],[Sub cuenta 3]]</f>
        <v>E-26-02-02-02</v>
      </c>
      <c r="B901" s="37" t="s">
        <v>831</v>
      </c>
      <c r="C901" s="37" t="s">
        <v>114</v>
      </c>
      <c r="D901" s="38" t="s">
        <v>810</v>
      </c>
      <c r="E901" s="38" t="s">
        <v>17</v>
      </c>
      <c r="F901" s="38" t="s">
        <v>17</v>
      </c>
      <c r="G901" s="38" t="s">
        <v>17</v>
      </c>
      <c r="H901" s="38" t="s">
        <v>15</v>
      </c>
      <c r="I901" s="157">
        <v>407</v>
      </c>
      <c r="J901" t="s">
        <v>4035</v>
      </c>
    </row>
    <row r="902" spans="1:10" x14ac:dyDescent="0.25">
      <c r="A902" s="37" t="str">
        <f>C902&amp;"-"&amp;D902&amp;"-"&amp;E902&amp;"-"&amp;F902&amp;"-"&amp;CATALOGO[[#This Row],[Sub cuenta 3]]</f>
        <v>E-26-02-02-03</v>
      </c>
      <c r="B902" s="37" t="s">
        <v>832</v>
      </c>
      <c r="C902" s="37" t="s">
        <v>114</v>
      </c>
      <c r="D902" s="38" t="s">
        <v>810</v>
      </c>
      <c r="E902" s="38" t="s">
        <v>17</v>
      </c>
      <c r="F902" s="38" t="s">
        <v>17</v>
      </c>
      <c r="G902" s="38" t="s">
        <v>22</v>
      </c>
      <c r="H902" s="38" t="s">
        <v>15</v>
      </c>
      <c r="I902" s="157">
        <v>407</v>
      </c>
      <c r="J902" t="s">
        <v>4035</v>
      </c>
    </row>
    <row r="903" spans="1:10" x14ac:dyDescent="0.25">
      <c r="A903" s="37" t="str">
        <f>C903&amp;"-"&amp;D903&amp;"-"&amp;E903&amp;"-"&amp;F903&amp;"-"&amp;CATALOGO[[#This Row],[Sub cuenta 3]]</f>
        <v>E-26-02-02-04</v>
      </c>
      <c r="B903" s="37" t="s">
        <v>833</v>
      </c>
      <c r="C903" s="37" t="s">
        <v>114</v>
      </c>
      <c r="D903" s="38" t="s">
        <v>810</v>
      </c>
      <c r="E903" s="38" t="s">
        <v>17</v>
      </c>
      <c r="F903" s="38" t="s">
        <v>17</v>
      </c>
      <c r="G903" s="38" t="s">
        <v>26</v>
      </c>
      <c r="H903" s="38" t="s">
        <v>15</v>
      </c>
      <c r="I903" s="157">
        <v>407</v>
      </c>
      <c r="J903" t="s">
        <v>4035</v>
      </c>
    </row>
    <row r="904" spans="1:10" x14ac:dyDescent="0.25">
      <c r="A904" s="37" t="str">
        <f>C904&amp;"-"&amp;D904&amp;"-"&amp;E904&amp;"-"&amp;F904&amp;"-"&amp;CATALOGO[[#This Row],[Sub cuenta 3]]</f>
        <v>E-26-02-02-05</v>
      </c>
      <c r="B904" s="37" t="s">
        <v>834</v>
      </c>
      <c r="C904" s="37" t="s">
        <v>114</v>
      </c>
      <c r="D904" s="38" t="s">
        <v>810</v>
      </c>
      <c r="E904" s="38" t="s">
        <v>17</v>
      </c>
      <c r="F904" s="38" t="s">
        <v>17</v>
      </c>
      <c r="G904" s="38" t="s">
        <v>62</v>
      </c>
      <c r="H904" s="38" t="s">
        <v>15</v>
      </c>
      <c r="I904" s="157">
        <v>407</v>
      </c>
      <c r="J904" t="s">
        <v>4035</v>
      </c>
    </row>
    <row r="905" spans="1:10" x14ac:dyDescent="0.25">
      <c r="A905" s="37" t="str">
        <f>C905&amp;"-"&amp;D905&amp;"-"&amp;E905&amp;"-"&amp;F905&amp;"-"&amp;CATALOGO[[#This Row],[Sub cuenta 3]]</f>
        <v>E-26-02-02-06</v>
      </c>
      <c r="B905" s="37" t="s">
        <v>835</v>
      </c>
      <c r="C905" s="37" t="s">
        <v>114</v>
      </c>
      <c r="D905" s="38" t="s">
        <v>810</v>
      </c>
      <c r="E905" s="38" t="s">
        <v>17</v>
      </c>
      <c r="F905" s="38" t="s">
        <v>17</v>
      </c>
      <c r="G905" s="38" t="s">
        <v>73</v>
      </c>
      <c r="H905" s="38" t="s">
        <v>15</v>
      </c>
      <c r="I905" s="157">
        <v>407</v>
      </c>
      <c r="J905" t="s">
        <v>4035</v>
      </c>
    </row>
    <row r="906" spans="1:10" x14ac:dyDescent="0.25">
      <c r="A906" s="37" t="str">
        <f>C906&amp;"-"&amp;D906&amp;"-"&amp;E906&amp;"-"&amp;F906&amp;"-"&amp;CATALOGO[[#This Row],[Sub cuenta 3]]</f>
        <v>E-26-02-02-07</v>
      </c>
      <c r="B906" s="37" t="s">
        <v>836</v>
      </c>
      <c r="C906" s="37" t="s">
        <v>114</v>
      </c>
      <c r="D906" s="38" t="s">
        <v>810</v>
      </c>
      <c r="E906" s="38" t="s">
        <v>17</v>
      </c>
      <c r="F906" s="38" t="s">
        <v>17</v>
      </c>
      <c r="G906" s="38" t="s">
        <v>75</v>
      </c>
      <c r="H906" s="38" t="s">
        <v>15</v>
      </c>
      <c r="I906" s="157">
        <v>407</v>
      </c>
      <c r="J906" t="s">
        <v>4035</v>
      </c>
    </row>
    <row r="907" spans="1:10" x14ac:dyDescent="0.25">
      <c r="A907" s="37" t="str">
        <f>C907&amp;"-"&amp;D907&amp;"-"&amp;E907&amp;"-"&amp;F907&amp;"-"&amp;CATALOGO[[#This Row],[Sub cuenta 3]]</f>
        <v>E-26-02-02-08</v>
      </c>
      <c r="B907" s="37" t="s">
        <v>837</v>
      </c>
      <c r="C907" s="37" t="s">
        <v>114</v>
      </c>
      <c r="D907" s="38" t="s">
        <v>810</v>
      </c>
      <c r="E907" s="38" t="s">
        <v>17</v>
      </c>
      <c r="F907" s="38" t="s">
        <v>17</v>
      </c>
      <c r="G907" s="38" t="s">
        <v>77</v>
      </c>
      <c r="H907" s="38" t="s">
        <v>15</v>
      </c>
      <c r="I907" s="157">
        <v>407</v>
      </c>
      <c r="J907" t="s">
        <v>4035</v>
      </c>
    </row>
    <row r="908" spans="1:10" x14ac:dyDescent="0.25">
      <c r="A908" s="37" t="str">
        <f>C908&amp;"-"&amp;D908&amp;"-"&amp;E908&amp;"-"&amp;F908&amp;"-"&amp;CATALOGO[[#This Row],[Sub cuenta 3]]</f>
        <v>E-26-02-02-09</v>
      </c>
      <c r="B908" s="37" t="s">
        <v>838</v>
      </c>
      <c r="C908" s="37" t="s">
        <v>114</v>
      </c>
      <c r="D908" s="38" t="s">
        <v>810</v>
      </c>
      <c r="E908" s="38" t="s">
        <v>17</v>
      </c>
      <c r="F908" s="38" t="s">
        <v>17</v>
      </c>
      <c r="G908" s="38" t="s">
        <v>79</v>
      </c>
      <c r="H908" s="38" t="s">
        <v>15</v>
      </c>
      <c r="I908" s="157">
        <v>407</v>
      </c>
      <c r="J908" t="s">
        <v>4035</v>
      </c>
    </row>
    <row r="909" spans="1:10" x14ac:dyDescent="0.25">
      <c r="A909" s="37" t="str">
        <f>C909&amp;"-"&amp;D909&amp;"-"&amp;E909&amp;"-"&amp;F909&amp;"-"&amp;CATALOGO[[#This Row],[Sub cuenta 3]]</f>
        <v>E-26-02-03-00</v>
      </c>
      <c r="B909" s="37" t="s">
        <v>839</v>
      </c>
      <c r="C909" s="37" t="s">
        <v>114</v>
      </c>
      <c r="D909" s="38" t="s">
        <v>810</v>
      </c>
      <c r="E909" s="38" t="s">
        <v>17</v>
      </c>
      <c r="F909" s="38" t="s">
        <v>22</v>
      </c>
      <c r="G909" s="36" t="s">
        <v>11</v>
      </c>
      <c r="H909" s="38" t="s">
        <v>12</v>
      </c>
      <c r="I909" s="157">
        <v>407</v>
      </c>
      <c r="J909" t="s">
        <v>4035</v>
      </c>
    </row>
    <row r="910" spans="1:10" x14ac:dyDescent="0.25">
      <c r="A910" s="37" t="str">
        <f>C910&amp;"-"&amp;D910&amp;"-"&amp;E910&amp;"-"&amp;F910&amp;"-"&amp;CATALOGO[[#This Row],[Sub cuenta 3]]</f>
        <v>E-26-02-03-01</v>
      </c>
      <c r="B910" s="37" t="s">
        <v>840</v>
      </c>
      <c r="C910" s="37" t="s">
        <v>114</v>
      </c>
      <c r="D910" s="38" t="s">
        <v>810</v>
      </c>
      <c r="E910" s="38" t="s">
        <v>17</v>
      </c>
      <c r="F910" s="38" t="s">
        <v>22</v>
      </c>
      <c r="G910" s="38" t="s">
        <v>10</v>
      </c>
      <c r="H910" s="38" t="s">
        <v>15</v>
      </c>
      <c r="I910" s="157">
        <v>407</v>
      </c>
      <c r="J910" t="s">
        <v>4035</v>
      </c>
    </row>
    <row r="911" spans="1:10" x14ac:dyDescent="0.25">
      <c r="A911" s="37" t="str">
        <f>C911&amp;"-"&amp;D911&amp;"-"&amp;E911&amp;"-"&amp;F911&amp;"-"&amp;CATALOGO[[#This Row],[Sub cuenta 3]]</f>
        <v>E-26-02-03-02</v>
      </c>
      <c r="B911" s="37" t="s">
        <v>841</v>
      </c>
      <c r="C911" s="37" t="s">
        <v>114</v>
      </c>
      <c r="D911" s="38" t="s">
        <v>810</v>
      </c>
      <c r="E911" s="38" t="s">
        <v>17</v>
      </c>
      <c r="F911" s="38" t="s">
        <v>22</v>
      </c>
      <c r="G911" s="38" t="s">
        <v>17</v>
      </c>
      <c r="H911" s="38" t="s">
        <v>15</v>
      </c>
      <c r="I911" s="157">
        <v>407</v>
      </c>
      <c r="J911" t="s">
        <v>4035</v>
      </c>
    </row>
    <row r="912" spans="1:10" x14ac:dyDescent="0.25">
      <c r="A912" s="37" t="str">
        <f>C912&amp;"-"&amp;D912&amp;"-"&amp;E912&amp;"-"&amp;F912&amp;"-"&amp;CATALOGO[[#This Row],[Sub cuenta 3]]</f>
        <v>E-26-02-03-03</v>
      </c>
      <c r="B912" s="37" t="s">
        <v>842</v>
      </c>
      <c r="C912" s="37" t="s">
        <v>114</v>
      </c>
      <c r="D912" s="38" t="s">
        <v>810</v>
      </c>
      <c r="E912" s="38" t="s">
        <v>17</v>
      </c>
      <c r="F912" s="38" t="s">
        <v>22</v>
      </c>
      <c r="G912" s="38" t="s">
        <v>22</v>
      </c>
      <c r="H912" s="38" t="s">
        <v>15</v>
      </c>
      <c r="I912" s="157">
        <v>407</v>
      </c>
      <c r="J912" t="s">
        <v>4035</v>
      </c>
    </row>
    <row r="913" spans="1:10" x14ac:dyDescent="0.25">
      <c r="A913" s="37" t="str">
        <f>C913&amp;"-"&amp;D913&amp;"-"&amp;E913&amp;"-"&amp;F913&amp;"-"&amp;CATALOGO[[#This Row],[Sub cuenta 3]]</f>
        <v>E-26-02-03-04</v>
      </c>
      <c r="B913" s="37" t="s">
        <v>843</v>
      </c>
      <c r="C913" s="37" t="s">
        <v>114</v>
      </c>
      <c r="D913" s="38" t="s">
        <v>810</v>
      </c>
      <c r="E913" s="38" t="s">
        <v>17</v>
      </c>
      <c r="F913" s="38" t="s">
        <v>22</v>
      </c>
      <c r="G913" s="38" t="s">
        <v>26</v>
      </c>
      <c r="H913" s="38" t="s">
        <v>15</v>
      </c>
      <c r="I913" s="157">
        <v>407</v>
      </c>
      <c r="J913" t="s">
        <v>4035</v>
      </c>
    </row>
    <row r="914" spans="1:10" x14ac:dyDescent="0.25">
      <c r="A914" s="37" t="str">
        <f>C914&amp;"-"&amp;D914&amp;"-"&amp;E914&amp;"-"&amp;F914&amp;"-"&amp;CATALOGO[[#This Row],[Sub cuenta 3]]</f>
        <v>E-26-02-04-00</v>
      </c>
      <c r="B914" s="37" t="s">
        <v>844</v>
      </c>
      <c r="C914" s="37" t="s">
        <v>114</v>
      </c>
      <c r="D914" s="38" t="s">
        <v>810</v>
      </c>
      <c r="E914" s="38" t="s">
        <v>17</v>
      </c>
      <c r="F914" s="38" t="s">
        <v>26</v>
      </c>
      <c r="G914" s="36" t="s">
        <v>11</v>
      </c>
      <c r="H914" s="38" t="s">
        <v>12</v>
      </c>
      <c r="I914" s="157">
        <v>407</v>
      </c>
      <c r="J914" t="s">
        <v>4035</v>
      </c>
    </row>
    <row r="915" spans="1:10" x14ac:dyDescent="0.25">
      <c r="A915" s="37" t="str">
        <f>C915&amp;"-"&amp;D915&amp;"-"&amp;E915&amp;"-"&amp;F915&amp;"-"&amp;CATALOGO[[#This Row],[Sub cuenta 3]]</f>
        <v>E-26-02-04-01</v>
      </c>
      <c r="B915" s="37" t="s">
        <v>845</v>
      </c>
      <c r="C915" s="37" t="s">
        <v>114</v>
      </c>
      <c r="D915" s="38" t="s">
        <v>810</v>
      </c>
      <c r="E915" s="38" t="s">
        <v>17</v>
      </c>
      <c r="F915" s="38" t="s">
        <v>26</v>
      </c>
      <c r="G915" s="36" t="s">
        <v>10</v>
      </c>
      <c r="H915" s="38" t="s">
        <v>15</v>
      </c>
      <c r="I915" s="157">
        <v>407</v>
      </c>
      <c r="J915" t="s">
        <v>4035</v>
      </c>
    </row>
    <row r="916" spans="1:10" x14ac:dyDescent="0.25">
      <c r="A916" s="37" t="str">
        <f>C916&amp;"-"&amp;D916&amp;"-"&amp;E916&amp;"-"&amp;F916&amp;"-"&amp;CATALOGO[[#This Row],[Sub cuenta 3]]</f>
        <v>E-26-02-04-02</v>
      </c>
      <c r="B916" s="37" t="s">
        <v>846</v>
      </c>
      <c r="C916" s="37" t="s">
        <v>114</v>
      </c>
      <c r="D916" s="38" t="s">
        <v>810</v>
      </c>
      <c r="E916" s="38" t="s">
        <v>17</v>
      </c>
      <c r="F916" s="38" t="s">
        <v>26</v>
      </c>
      <c r="G916" s="36" t="s">
        <v>17</v>
      </c>
      <c r="H916" s="38" t="s">
        <v>15</v>
      </c>
      <c r="I916" s="157">
        <v>407</v>
      </c>
      <c r="J916" t="s">
        <v>4035</v>
      </c>
    </row>
    <row r="917" spans="1:10" x14ac:dyDescent="0.25">
      <c r="A917" s="37" t="str">
        <f>C917&amp;"-"&amp;D917&amp;"-"&amp;E917&amp;"-"&amp;F917&amp;"-"&amp;CATALOGO[[#This Row],[Sub cuenta 3]]</f>
        <v>E-26-02-04-03</v>
      </c>
      <c r="B917" s="37" t="s">
        <v>847</v>
      </c>
      <c r="C917" s="37" t="s">
        <v>114</v>
      </c>
      <c r="D917" s="38" t="s">
        <v>810</v>
      </c>
      <c r="E917" s="38" t="s">
        <v>17</v>
      </c>
      <c r="F917" s="38" t="s">
        <v>26</v>
      </c>
      <c r="G917" s="36" t="s">
        <v>22</v>
      </c>
      <c r="H917" s="38" t="s">
        <v>15</v>
      </c>
      <c r="I917" s="157">
        <v>407</v>
      </c>
      <c r="J917" t="s">
        <v>4035</v>
      </c>
    </row>
    <row r="918" spans="1:10" x14ac:dyDescent="0.25">
      <c r="A918" s="37" t="str">
        <f>C918&amp;"-"&amp;D918&amp;"-"&amp;E918&amp;"-"&amp;F918&amp;"-"&amp;CATALOGO[[#This Row],[Sub cuenta 3]]</f>
        <v>E-26-02-04-04</v>
      </c>
      <c r="B918" s="37" t="s">
        <v>848</v>
      </c>
      <c r="C918" s="37" t="s">
        <v>114</v>
      </c>
      <c r="D918" s="38" t="s">
        <v>810</v>
      </c>
      <c r="E918" s="38" t="s">
        <v>17</v>
      </c>
      <c r="F918" s="38" t="s">
        <v>26</v>
      </c>
      <c r="G918" s="36" t="s">
        <v>26</v>
      </c>
      <c r="H918" s="38" t="s">
        <v>15</v>
      </c>
      <c r="I918" s="157">
        <v>407</v>
      </c>
      <c r="J918" t="s">
        <v>4035</v>
      </c>
    </row>
    <row r="919" spans="1:10" x14ac:dyDescent="0.25">
      <c r="A919" s="37" t="str">
        <f>C919&amp;"-"&amp;D919&amp;"-"&amp;E919&amp;"-"&amp;F919&amp;"-"&amp;CATALOGO[[#This Row],[Sub cuenta 3]]</f>
        <v>E-26-02-05-00</v>
      </c>
      <c r="B919" s="37" t="s">
        <v>849</v>
      </c>
      <c r="C919" s="37" t="s">
        <v>114</v>
      </c>
      <c r="D919" s="38" t="s">
        <v>810</v>
      </c>
      <c r="E919" s="38" t="s">
        <v>17</v>
      </c>
      <c r="F919" s="38" t="s">
        <v>62</v>
      </c>
      <c r="G919" s="36" t="s">
        <v>11</v>
      </c>
      <c r="H919" s="38" t="s">
        <v>12</v>
      </c>
      <c r="I919" s="157">
        <v>407</v>
      </c>
      <c r="J919" t="s">
        <v>4035</v>
      </c>
    </row>
    <row r="920" spans="1:10" x14ac:dyDescent="0.25">
      <c r="A920" s="37" t="str">
        <f>C920&amp;"-"&amp;D920&amp;"-"&amp;E920&amp;"-"&amp;F920&amp;"-"&amp;CATALOGO[[#This Row],[Sub cuenta 3]]</f>
        <v>E-26-02-05-01</v>
      </c>
      <c r="B920" s="37" t="s">
        <v>850</v>
      </c>
      <c r="C920" s="37" t="s">
        <v>114</v>
      </c>
      <c r="D920" s="38" t="s">
        <v>810</v>
      </c>
      <c r="E920" s="38" t="s">
        <v>17</v>
      </c>
      <c r="F920" s="38" t="s">
        <v>62</v>
      </c>
      <c r="G920" s="36" t="s">
        <v>10</v>
      </c>
      <c r="H920" s="38" t="s">
        <v>15</v>
      </c>
      <c r="I920" s="157">
        <v>407</v>
      </c>
      <c r="J920" t="s">
        <v>4035</v>
      </c>
    </row>
    <row r="921" spans="1:10" x14ac:dyDescent="0.25">
      <c r="A921" s="37" t="str">
        <f>C921&amp;"-"&amp;D921&amp;"-"&amp;E921&amp;"-"&amp;F921&amp;"-"&amp;CATALOGO[[#This Row],[Sub cuenta 3]]</f>
        <v>E-26-02-05-02</v>
      </c>
      <c r="B921" s="37" t="s">
        <v>851</v>
      </c>
      <c r="C921" s="37" t="s">
        <v>114</v>
      </c>
      <c r="D921" s="38" t="s">
        <v>810</v>
      </c>
      <c r="E921" s="38" t="s">
        <v>17</v>
      </c>
      <c r="F921" s="38" t="s">
        <v>62</v>
      </c>
      <c r="G921" s="36" t="s">
        <v>17</v>
      </c>
      <c r="H921" s="38" t="s">
        <v>15</v>
      </c>
      <c r="I921" s="157">
        <v>407</v>
      </c>
      <c r="J921" t="s">
        <v>4035</v>
      </c>
    </row>
    <row r="922" spans="1:10" x14ac:dyDescent="0.25">
      <c r="A922" s="37" t="str">
        <f>C922&amp;"-"&amp;D922&amp;"-"&amp;E922&amp;"-"&amp;F922&amp;"-"&amp;CATALOGO[[#This Row],[Sub cuenta 3]]</f>
        <v>E-26-02-05-03</v>
      </c>
      <c r="B922" s="37" t="s">
        <v>852</v>
      </c>
      <c r="C922" s="37" t="s">
        <v>114</v>
      </c>
      <c r="D922" s="38" t="s">
        <v>810</v>
      </c>
      <c r="E922" s="38" t="s">
        <v>17</v>
      </c>
      <c r="F922" s="38" t="s">
        <v>62</v>
      </c>
      <c r="G922" s="36" t="s">
        <v>22</v>
      </c>
      <c r="H922" s="38" t="s">
        <v>15</v>
      </c>
      <c r="I922" s="157">
        <v>407</v>
      </c>
      <c r="J922" t="s">
        <v>4035</v>
      </c>
    </row>
    <row r="923" spans="1:10" x14ac:dyDescent="0.25">
      <c r="A923" s="37" t="str">
        <f>C923&amp;"-"&amp;D923&amp;"-"&amp;E923&amp;"-"&amp;F923&amp;"-"&amp;CATALOGO[[#This Row],[Sub cuenta 3]]</f>
        <v>E-26-02-05-04</v>
      </c>
      <c r="B923" s="37" t="s">
        <v>853</v>
      </c>
      <c r="C923" s="37" t="s">
        <v>114</v>
      </c>
      <c r="D923" s="38" t="s">
        <v>810</v>
      </c>
      <c r="E923" s="38" t="s">
        <v>17</v>
      </c>
      <c r="F923" s="38" t="s">
        <v>62</v>
      </c>
      <c r="G923" s="36" t="s">
        <v>26</v>
      </c>
      <c r="H923" s="38" t="s">
        <v>15</v>
      </c>
      <c r="I923" s="157">
        <v>407</v>
      </c>
      <c r="J923" t="s">
        <v>4035</v>
      </c>
    </row>
    <row r="924" spans="1:10" x14ac:dyDescent="0.25">
      <c r="A924" s="37" t="str">
        <f>C924&amp;"-"&amp;D924&amp;"-"&amp;E924&amp;"-"&amp;F924&amp;"-"&amp;CATALOGO[[#This Row],[Sub cuenta 3]]</f>
        <v>E-26-02-06-00</v>
      </c>
      <c r="B924" s="37" t="s">
        <v>854</v>
      </c>
      <c r="C924" s="37" t="s">
        <v>114</v>
      </c>
      <c r="D924" s="38" t="s">
        <v>810</v>
      </c>
      <c r="E924" s="38" t="s">
        <v>17</v>
      </c>
      <c r="F924" s="38" t="s">
        <v>73</v>
      </c>
      <c r="G924" s="38" t="s">
        <v>11</v>
      </c>
      <c r="H924" s="38" t="s">
        <v>12</v>
      </c>
      <c r="I924" s="157">
        <v>407</v>
      </c>
      <c r="J924" t="s">
        <v>4035</v>
      </c>
    </row>
    <row r="925" spans="1:10" x14ac:dyDescent="0.25">
      <c r="A925" s="37" t="str">
        <f>C925&amp;"-"&amp;D925&amp;"-"&amp;E925&amp;"-"&amp;F925&amp;"-"&amp;CATALOGO[[#This Row],[Sub cuenta 3]]</f>
        <v>E-26-02-06-01</v>
      </c>
      <c r="B925" s="37" t="s">
        <v>855</v>
      </c>
      <c r="C925" s="37" t="s">
        <v>114</v>
      </c>
      <c r="D925" s="38" t="s">
        <v>810</v>
      </c>
      <c r="E925" s="38" t="s">
        <v>17</v>
      </c>
      <c r="F925" s="38" t="s">
        <v>73</v>
      </c>
      <c r="G925" s="38" t="s">
        <v>10</v>
      </c>
      <c r="H925" s="38" t="s">
        <v>15</v>
      </c>
      <c r="I925" s="157">
        <v>407</v>
      </c>
      <c r="J925" t="s">
        <v>4035</v>
      </c>
    </row>
    <row r="926" spans="1:10" x14ac:dyDescent="0.25">
      <c r="A926" s="37" t="str">
        <f>C926&amp;"-"&amp;D926&amp;"-"&amp;E926&amp;"-"&amp;F926&amp;"-"&amp;CATALOGO[[#This Row],[Sub cuenta 3]]</f>
        <v>E-26-02-06-02</v>
      </c>
      <c r="B926" s="37" t="s">
        <v>856</v>
      </c>
      <c r="C926" s="37" t="s">
        <v>114</v>
      </c>
      <c r="D926" s="38" t="s">
        <v>810</v>
      </c>
      <c r="E926" s="38" t="s">
        <v>17</v>
      </c>
      <c r="F926" s="38" t="s">
        <v>73</v>
      </c>
      <c r="G926" s="38" t="s">
        <v>17</v>
      </c>
      <c r="H926" s="38" t="s">
        <v>15</v>
      </c>
      <c r="I926" s="157">
        <v>407</v>
      </c>
      <c r="J926" t="s">
        <v>4035</v>
      </c>
    </row>
    <row r="927" spans="1:10" x14ac:dyDescent="0.25">
      <c r="A927" s="37" t="str">
        <f>C927&amp;"-"&amp;D927&amp;"-"&amp;E927&amp;"-"&amp;F927&amp;"-"&amp;CATALOGO[[#This Row],[Sub cuenta 3]]</f>
        <v>E-26-02-06-03</v>
      </c>
      <c r="B927" s="37" t="s">
        <v>857</v>
      </c>
      <c r="C927" s="37" t="s">
        <v>114</v>
      </c>
      <c r="D927" s="38" t="s">
        <v>810</v>
      </c>
      <c r="E927" s="38" t="s">
        <v>17</v>
      </c>
      <c r="F927" s="38" t="s">
        <v>73</v>
      </c>
      <c r="G927" s="38" t="s">
        <v>22</v>
      </c>
      <c r="H927" s="38" t="s">
        <v>15</v>
      </c>
      <c r="I927" s="157">
        <v>407</v>
      </c>
      <c r="J927" t="s">
        <v>4035</v>
      </c>
    </row>
    <row r="928" spans="1:10" x14ac:dyDescent="0.25">
      <c r="A928" s="37" t="str">
        <f>C928&amp;"-"&amp;D928&amp;"-"&amp;E928&amp;"-"&amp;F928&amp;"-"&amp;CATALOGO[[#This Row],[Sub cuenta 3]]</f>
        <v>E-26-02-07-00</v>
      </c>
      <c r="B928" s="37" t="s">
        <v>858</v>
      </c>
      <c r="C928" s="37" t="s">
        <v>114</v>
      </c>
      <c r="D928" s="38" t="s">
        <v>810</v>
      </c>
      <c r="E928" s="38" t="s">
        <v>17</v>
      </c>
      <c r="F928" s="38" t="s">
        <v>75</v>
      </c>
      <c r="G928" s="38" t="s">
        <v>11</v>
      </c>
      <c r="H928" s="38" t="s">
        <v>12</v>
      </c>
      <c r="I928" s="157">
        <v>407</v>
      </c>
      <c r="J928" t="s">
        <v>4035</v>
      </c>
    </row>
    <row r="929" spans="1:10" x14ac:dyDescent="0.25">
      <c r="A929" s="37" t="str">
        <f>C929&amp;"-"&amp;D929&amp;"-"&amp;E929&amp;"-"&amp;F929&amp;"-"&amp;CATALOGO[[#This Row],[Sub cuenta 3]]</f>
        <v>E-26-02-07-01</v>
      </c>
      <c r="B929" s="37" t="s">
        <v>859</v>
      </c>
      <c r="C929" s="37" t="s">
        <v>114</v>
      </c>
      <c r="D929" s="38" t="s">
        <v>810</v>
      </c>
      <c r="E929" s="38" t="s">
        <v>17</v>
      </c>
      <c r="F929" s="38" t="s">
        <v>75</v>
      </c>
      <c r="G929" s="38" t="s">
        <v>10</v>
      </c>
      <c r="H929" s="38" t="s">
        <v>15</v>
      </c>
      <c r="I929" s="157">
        <v>407</v>
      </c>
      <c r="J929" t="s">
        <v>4035</v>
      </c>
    </row>
    <row r="930" spans="1:10" x14ac:dyDescent="0.25">
      <c r="A930" s="37" t="str">
        <f>C930&amp;"-"&amp;D930&amp;"-"&amp;E930&amp;"-"&amp;F930&amp;"-"&amp;CATALOGO[[#This Row],[Sub cuenta 3]]</f>
        <v>E-26-02-07-02</v>
      </c>
      <c r="B930" s="37" t="s">
        <v>860</v>
      </c>
      <c r="C930" s="37" t="s">
        <v>114</v>
      </c>
      <c r="D930" s="38" t="s">
        <v>810</v>
      </c>
      <c r="E930" s="38" t="s">
        <v>17</v>
      </c>
      <c r="F930" s="38" t="s">
        <v>75</v>
      </c>
      <c r="G930" s="38" t="s">
        <v>17</v>
      </c>
      <c r="H930" s="38" t="s">
        <v>15</v>
      </c>
      <c r="I930" s="157">
        <v>407</v>
      </c>
      <c r="J930" t="s">
        <v>4035</v>
      </c>
    </row>
    <row r="931" spans="1:10" x14ac:dyDescent="0.25">
      <c r="A931" s="37" t="str">
        <f>C931&amp;"-"&amp;D931&amp;"-"&amp;E931&amp;"-"&amp;F931&amp;"-"&amp;CATALOGO[[#This Row],[Sub cuenta 3]]</f>
        <v>E-26-02-07-03</v>
      </c>
      <c r="B931" s="37" t="s">
        <v>861</v>
      </c>
      <c r="C931" s="37" t="s">
        <v>114</v>
      </c>
      <c r="D931" s="38" t="s">
        <v>810</v>
      </c>
      <c r="E931" s="38" t="s">
        <v>17</v>
      </c>
      <c r="F931" s="38" t="s">
        <v>75</v>
      </c>
      <c r="G931" s="38" t="s">
        <v>22</v>
      </c>
      <c r="H931" s="38" t="s">
        <v>15</v>
      </c>
      <c r="I931" s="157">
        <v>407</v>
      </c>
      <c r="J931" t="s">
        <v>4035</v>
      </c>
    </row>
    <row r="932" spans="1:10" x14ac:dyDescent="0.25">
      <c r="A932" s="37" t="str">
        <f>C932&amp;"-"&amp;D932&amp;"-"&amp;E932&amp;"-"&amp;F932&amp;"-"&amp;CATALOGO[[#This Row],[Sub cuenta 3]]</f>
        <v>E-26-02-07-04</v>
      </c>
      <c r="B932" s="37" t="s">
        <v>862</v>
      </c>
      <c r="C932" s="37" t="s">
        <v>114</v>
      </c>
      <c r="D932" s="38" t="s">
        <v>810</v>
      </c>
      <c r="E932" s="38" t="s">
        <v>17</v>
      </c>
      <c r="F932" s="38" t="s">
        <v>75</v>
      </c>
      <c r="G932" s="38" t="s">
        <v>26</v>
      </c>
      <c r="H932" s="38" t="s">
        <v>15</v>
      </c>
      <c r="I932" s="157">
        <v>407</v>
      </c>
      <c r="J932" t="s">
        <v>4035</v>
      </c>
    </row>
    <row r="933" spans="1:10" x14ac:dyDescent="0.25">
      <c r="A933" s="37" t="str">
        <f>C933&amp;"-"&amp;D933&amp;"-"&amp;E933&amp;"-"&amp;F933&amp;"-"&amp;CATALOGO[[#This Row],[Sub cuenta 3]]</f>
        <v>E-26-02-08-00</v>
      </c>
      <c r="B933" s="37" t="s">
        <v>863</v>
      </c>
      <c r="C933" s="37" t="s">
        <v>114</v>
      </c>
      <c r="D933" s="38" t="s">
        <v>810</v>
      </c>
      <c r="E933" s="38" t="s">
        <v>17</v>
      </c>
      <c r="F933" s="38" t="s">
        <v>77</v>
      </c>
      <c r="G933" s="36" t="s">
        <v>11</v>
      </c>
      <c r="H933" s="38" t="s">
        <v>12</v>
      </c>
      <c r="I933" s="157">
        <v>407</v>
      </c>
      <c r="J933" t="s">
        <v>4035</v>
      </c>
    </row>
    <row r="934" spans="1:10" x14ac:dyDescent="0.25">
      <c r="A934" s="37" t="str">
        <f>C934&amp;"-"&amp;D934&amp;"-"&amp;E934&amp;"-"&amp;F934&amp;"-"&amp;CATALOGO[[#This Row],[Sub cuenta 3]]</f>
        <v>E-26-02-08-01</v>
      </c>
      <c r="B934" s="37" t="s">
        <v>864</v>
      </c>
      <c r="C934" s="37" t="s">
        <v>114</v>
      </c>
      <c r="D934" s="38" t="s">
        <v>810</v>
      </c>
      <c r="E934" s="38" t="s">
        <v>17</v>
      </c>
      <c r="F934" s="38" t="s">
        <v>77</v>
      </c>
      <c r="G934" s="36" t="s">
        <v>10</v>
      </c>
      <c r="H934" s="38" t="s">
        <v>15</v>
      </c>
      <c r="I934" s="157">
        <v>407</v>
      </c>
      <c r="J934" t="s">
        <v>4035</v>
      </c>
    </row>
    <row r="935" spans="1:10" x14ac:dyDescent="0.25">
      <c r="A935" s="37" t="str">
        <f>C935&amp;"-"&amp;D935&amp;"-"&amp;E935&amp;"-"&amp;F935&amp;"-"&amp;CATALOGO[[#This Row],[Sub cuenta 3]]</f>
        <v>E-26-02-08-02</v>
      </c>
      <c r="B935" s="37" t="s">
        <v>865</v>
      </c>
      <c r="C935" s="37" t="s">
        <v>114</v>
      </c>
      <c r="D935" s="38" t="s">
        <v>810</v>
      </c>
      <c r="E935" s="38" t="s">
        <v>17</v>
      </c>
      <c r="F935" s="38" t="s">
        <v>77</v>
      </c>
      <c r="G935" s="36" t="s">
        <v>17</v>
      </c>
      <c r="H935" s="38" t="s">
        <v>15</v>
      </c>
      <c r="I935" s="157">
        <v>407</v>
      </c>
      <c r="J935" t="s">
        <v>4035</v>
      </c>
    </row>
    <row r="936" spans="1:10" x14ac:dyDescent="0.25">
      <c r="A936" s="37" t="str">
        <f>C936&amp;"-"&amp;D936&amp;"-"&amp;E936&amp;"-"&amp;F936&amp;"-"&amp;CATALOGO[[#This Row],[Sub cuenta 3]]</f>
        <v>E-26-02-08-03</v>
      </c>
      <c r="B936" s="37" t="s">
        <v>866</v>
      </c>
      <c r="C936" s="37" t="s">
        <v>114</v>
      </c>
      <c r="D936" s="38" t="s">
        <v>810</v>
      </c>
      <c r="E936" s="38" t="s">
        <v>17</v>
      </c>
      <c r="F936" s="38" t="s">
        <v>77</v>
      </c>
      <c r="G936" s="36" t="s">
        <v>22</v>
      </c>
      <c r="H936" s="38" t="s">
        <v>15</v>
      </c>
      <c r="I936" s="157">
        <v>407</v>
      </c>
      <c r="J936" t="s">
        <v>4035</v>
      </c>
    </row>
    <row r="937" spans="1:10" x14ac:dyDescent="0.25">
      <c r="A937" s="37" t="str">
        <f>C937&amp;"-"&amp;D937&amp;"-"&amp;E937&amp;"-"&amp;F937&amp;"-"&amp;CATALOGO[[#This Row],[Sub cuenta 3]]</f>
        <v>E-26-02-08-04</v>
      </c>
      <c r="B937" s="37" t="s">
        <v>867</v>
      </c>
      <c r="C937" s="37" t="s">
        <v>114</v>
      </c>
      <c r="D937" s="38" t="s">
        <v>810</v>
      </c>
      <c r="E937" s="38" t="s">
        <v>17</v>
      </c>
      <c r="F937" s="38" t="s">
        <v>77</v>
      </c>
      <c r="G937" s="36" t="s">
        <v>26</v>
      </c>
      <c r="H937" s="38" t="s">
        <v>15</v>
      </c>
      <c r="I937" s="157">
        <v>407</v>
      </c>
      <c r="J937" t="s">
        <v>4035</v>
      </c>
    </row>
    <row r="938" spans="1:10" x14ac:dyDescent="0.25">
      <c r="A938" s="37" t="str">
        <f>C938&amp;"-"&amp;D938&amp;"-"&amp;E938&amp;"-"&amp;F938&amp;"-"&amp;CATALOGO[[#This Row],[Sub cuenta 3]]</f>
        <v>E-26-02-09-00</v>
      </c>
      <c r="B938" s="37" t="s">
        <v>868</v>
      </c>
      <c r="C938" s="37" t="s">
        <v>114</v>
      </c>
      <c r="D938" s="38" t="s">
        <v>810</v>
      </c>
      <c r="E938" s="38" t="s">
        <v>17</v>
      </c>
      <c r="F938" s="38" t="s">
        <v>79</v>
      </c>
      <c r="G938" s="36" t="s">
        <v>11</v>
      </c>
      <c r="H938" s="38" t="s">
        <v>12</v>
      </c>
      <c r="I938" s="157">
        <v>407</v>
      </c>
      <c r="J938" t="s">
        <v>4035</v>
      </c>
    </row>
    <row r="939" spans="1:10" x14ac:dyDescent="0.25">
      <c r="A939" s="37" t="str">
        <f>C939&amp;"-"&amp;D939&amp;"-"&amp;E939&amp;"-"&amp;F939&amp;"-"&amp;CATALOGO[[#This Row],[Sub cuenta 3]]</f>
        <v>E-26-02-09-01</v>
      </c>
      <c r="B939" s="37" t="s">
        <v>869</v>
      </c>
      <c r="C939" s="37" t="s">
        <v>114</v>
      </c>
      <c r="D939" s="38" t="s">
        <v>810</v>
      </c>
      <c r="E939" s="38" t="s">
        <v>17</v>
      </c>
      <c r="F939" s="38" t="s">
        <v>79</v>
      </c>
      <c r="G939" s="38" t="s">
        <v>10</v>
      </c>
      <c r="H939" s="38" t="s">
        <v>15</v>
      </c>
      <c r="I939" s="157">
        <v>407</v>
      </c>
      <c r="J939" t="s">
        <v>4035</v>
      </c>
    </row>
    <row r="940" spans="1:10" x14ac:dyDescent="0.25">
      <c r="A940" s="37" t="str">
        <f>C940&amp;"-"&amp;D940&amp;"-"&amp;E940&amp;"-"&amp;F940&amp;"-"&amp;CATALOGO[[#This Row],[Sub cuenta 3]]</f>
        <v>E-26-02-09-02</v>
      </c>
      <c r="B940" s="37" t="s">
        <v>870</v>
      </c>
      <c r="C940" s="37" t="s">
        <v>114</v>
      </c>
      <c r="D940" s="38" t="s">
        <v>810</v>
      </c>
      <c r="E940" s="38" t="s">
        <v>17</v>
      </c>
      <c r="F940" s="38" t="s">
        <v>79</v>
      </c>
      <c r="G940" s="38" t="s">
        <v>17</v>
      </c>
      <c r="H940" s="38" t="s">
        <v>15</v>
      </c>
      <c r="I940" s="157">
        <v>407</v>
      </c>
      <c r="J940" t="s">
        <v>4035</v>
      </c>
    </row>
    <row r="941" spans="1:10" x14ac:dyDescent="0.25">
      <c r="A941" s="37" t="str">
        <f>C941&amp;"-"&amp;D941&amp;"-"&amp;E941&amp;"-"&amp;F941&amp;"-"&amp;CATALOGO[[#This Row],[Sub cuenta 3]]</f>
        <v>E-26-02-09-03</v>
      </c>
      <c r="B941" s="37" t="s">
        <v>871</v>
      </c>
      <c r="C941" s="37" t="s">
        <v>114</v>
      </c>
      <c r="D941" s="38" t="s">
        <v>810</v>
      </c>
      <c r="E941" s="38" t="s">
        <v>17</v>
      </c>
      <c r="F941" s="38" t="s">
        <v>79</v>
      </c>
      <c r="G941" s="38" t="s">
        <v>22</v>
      </c>
      <c r="H941" s="38" t="s">
        <v>15</v>
      </c>
      <c r="I941" s="157">
        <v>407</v>
      </c>
      <c r="J941" t="s">
        <v>4035</v>
      </c>
    </row>
    <row r="942" spans="1:10" x14ac:dyDescent="0.25">
      <c r="A942" s="37" t="str">
        <f>C942&amp;"-"&amp;D942&amp;"-"&amp;E942&amp;"-"&amp;F942&amp;"-"&amp;CATALOGO[[#This Row],[Sub cuenta 3]]</f>
        <v>E-26-02-09-04</v>
      </c>
      <c r="B942" s="37" t="s">
        <v>872</v>
      </c>
      <c r="C942" s="37" t="s">
        <v>114</v>
      </c>
      <c r="D942" s="38" t="s">
        <v>810</v>
      </c>
      <c r="E942" s="38" t="s">
        <v>17</v>
      </c>
      <c r="F942" s="38" t="s">
        <v>79</v>
      </c>
      <c r="G942" s="38" t="s">
        <v>26</v>
      </c>
      <c r="H942" s="38" t="s">
        <v>15</v>
      </c>
      <c r="I942" s="157">
        <v>407</v>
      </c>
      <c r="J942" t="s">
        <v>4035</v>
      </c>
    </row>
    <row r="943" spans="1:10" x14ac:dyDescent="0.25">
      <c r="A943" s="37" t="str">
        <f>C943&amp;"-"&amp;D943&amp;"-"&amp;E943&amp;"-"&amp;F943&amp;"-"&amp;CATALOGO[[#This Row],[Sub cuenta 3]]</f>
        <v>E-26-02-09-05</v>
      </c>
      <c r="B943" s="37" t="s">
        <v>873</v>
      </c>
      <c r="C943" s="37" t="s">
        <v>114</v>
      </c>
      <c r="D943" s="38" t="s">
        <v>810</v>
      </c>
      <c r="E943" s="38" t="s">
        <v>17</v>
      </c>
      <c r="F943" s="38" t="s">
        <v>79</v>
      </c>
      <c r="G943" s="38" t="s">
        <v>62</v>
      </c>
      <c r="H943" s="38" t="s">
        <v>15</v>
      </c>
      <c r="I943" s="157">
        <v>407</v>
      </c>
      <c r="J943" t="s">
        <v>4035</v>
      </c>
    </row>
    <row r="944" spans="1:10" x14ac:dyDescent="0.25">
      <c r="A944" s="37" t="str">
        <f>C944&amp;"-"&amp;D944&amp;"-"&amp;E944&amp;"-"&amp;F944&amp;"-"&amp;CATALOGO[[#This Row],[Sub cuenta 3]]</f>
        <v>E-26-02-09-06</v>
      </c>
      <c r="B944" s="37" t="s">
        <v>874</v>
      </c>
      <c r="C944" s="37" t="s">
        <v>114</v>
      </c>
      <c r="D944" s="38" t="s">
        <v>810</v>
      </c>
      <c r="E944" s="38" t="s">
        <v>17</v>
      </c>
      <c r="F944" s="38" t="s">
        <v>79</v>
      </c>
      <c r="G944" s="38" t="s">
        <v>73</v>
      </c>
      <c r="H944" s="38" t="s">
        <v>15</v>
      </c>
      <c r="I944" s="157">
        <v>407</v>
      </c>
      <c r="J944" t="s">
        <v>4035</v>
      </c>
    </row>
    <row r="945" spans="1:10" x14ac:dyDescent="0.25">
      <c r="A945" s="37" t="str">
        <f>C945&amp;"-"&amp;D945&amp;"-"&amp;E945&amp;"-"&amp;F945&amp;"-"&amp;CATALOGO[[#This Row],[Sub cuenta 3]]</f>
        <v>E-26-02-09-07</v>
      </c>
      <c r="B945" s="37" t="s">
        <v>875</v>
      </c>
      <c r="C945" s="37" t="s">
        <v>114</v>
      </c>
      <c r="D945" s="38" t="s">
        <v>810</v>
      </c>
      <c r="E945" s="38" t="s">
        <v>17</v>
      </c>
      <c r="F945" s="38" t="s">
        <v>79</v>
      </c>
      <c r="G945" s="38" t="s">
        <v>75</v>
      </c>
      <c r="H945" s="38" t="s">
        <v>15</v>
      </c>
      <c r="I945" s="157">
        <v>407</v>
      </c>
      <c r="J945" t="s">
        <v>4035</v>
      </c>
    </row>
    <row r="946" spans="1:10" x14ac:dyDescent="0.25">
      <c r="A946" s="37" t="str">
        <f>C946&amp;"-"&amp;D946&amp;"-"&amp;E946&amp;"-"&amp;F946&amp;"-"&amp;CATALOGO[[#This Row],[Sub cuenta 3]]</f>
        <v>E-26-02-09-08</v>
      </c>
      <c r="B946" s="37" t="s">
        <v>876</v>
      </c>
      <c r="C946" s="37" t="s">
        <v>114</v>
      </c>
      <c r="D946" s="38" t="s">
        <v>810</v>
      </c>
      <c r="E946" s="38" t="s">
        <v>17</v>
      </c>
      <c r="F946" s="38" t="s">
        <v>79</v>
      </c>
      <c r="G946" s="38" t="s">
        <v>77</v>
      </c>
      <c r="H946" s="38" t="s">
        <v>15</v>
      </c>
      <c r="I946" s="157">
        <v>407</v>
      </c>
      <c r="J946" t="s">
        <v>4035</v>
      </c>
    </row>
    <row r="947" spans="1:10" x14ac:dyDescent="0.25">
      <c r="A947" s="37" t="str">
        <f>C947&amp;"-"&amp;D947&amp;"-"&amp;E947&amp;"-"&amp;F947&amp;"-"&amp;CATALOGO[[#This Row],[Sub cuenta 3]]</f>
        <v>E-26-02-09-09</v>
      </c>
      <c r="B947" s="37" t="s">
        <v>877</v>
      </c>
      <c r="C947" s="37" t="s">
        <v>114</v>
      </c>
      <c r="D947" s="38" t="s">
        <v>810</v>
      </c>
      <c r="E947" s="38" t="s">
        <v>17</v>
      </c>
      <c r="F947" s="38" t="s">
        <v>79</v>
      </c>
      <c r="G947" s="38" t="s">
        <v>79</v>
      </c>
      <c r="H947" s="38" t="s">
        <v>15</v>
      </c>
      <c r="I947" s="157">
        <v>407</v>
      </c>
      <c r="J947" t="s">
        <v>4035</v>
      </c>
    </row>
    <row r="948" spans="1:10" x14ac:dyDescent="0.25">
      <c r="A948" s="37" t="str">
        <f>C948&amp;"-"&amp;D948&amp;"-"&amp;E948&amp;"-"&amp;F948&amp;"-"&amp;CATALOGO[[#This Row],[Sub cuenta 3]]</f>
        <v>E-26-02-09-10</v>
      </c>
      <c r="B948" s="37" t="s">
        <v>878</v>
      </c>
      <c r="C948" s="37" t="s">
        <v>114</v>
      </c>
      <c r="D948" s="38" t="s">
        <v>810</v>
      </c>
      <c r="E948" s="38" t="s">
        <v>17</v>
      </c>
      <c r="F948" s="38" t="s">
        <v>79</v>
      </c>
      <c r="G948" s="38" t="s">
        <v>80</v>
      </c>
      <c r="H948" s="38" t="s">
        <v>15</v>
      </c>
      <c r="I948" s="157">
        <v>407</v>
      </c>
      <c r="J948" t="s">
        <v>4035</v>
      </c>
    </row>
    <row r="949" spans="1:10" x14ac:dyDescent="0.25">
      <c r="A949" s="39" t="str">
        <f>C949&amp;"-"&amp;D949&amp;"-"&amp;E949&amp;"-"&amp;F949&amp;"-"&amp;CATALOGO[[#This Row],[Sub cuenta 3]]</f>
        <v>E-27-00-00-00</v>
      </c>
      <c r="B949" s="39" t="s">
        <v>261</v>
      </c>
      <c r="C949" s="37" t="s">
        <v>114</v>
      </c>
      <c r="D949" s="38" t="s">
        <v>879</v>
      </c>
      <c r="E949" s="38" t="s">
        <v>11</v>
      </c>
      <c r="F949" s="38" t="s">
        <v>11</v>
      </c>
      <c r="G949" s="38" t="s">
        <v>11</v>
      </c>
      <c r="H949" s="38" t="s">
        <v>12</v>
      </c>
      <c r="I949" s="157">
        <v>407</v>
      </c>
      <c r="J949" t="s">
        <v>4035</v>
      </c>
    </row>
    <row r="950" spans="1:10" x14ac:dyDescent="0.25">
      <c r="A950" s="37" t="str">
        <f>C950&amp;"-"&amp;D950&amp;"-"&amp;E950&amp;"-"&amp;F950&amp;"-"&amp;CATALOGO[[#This Row],[Sub cuenta 3]]</f>
        <v>E-27-01-00-00</v>
      </c>
      <c r="B950" s="37" t="s">
        <v>880</v>
      </c>
      <c r="C950" s="37" t="s">
        <v>114</v>
      </c>
      <c r="D950" s="38" t="s">
        <v>879</v>
      </c>
      <c r="E950" s="38" t="s">
        <v>10</v>
      </c>
      <c r="F950" s="38" t="s">
        <v>11</v>
      </c>
      <c r="G950" s="38" t="s">
        <v>11</v>
      </c>
      <c r="H950" s="38" t="s">
        <v>15</v>
      </c>
      <c r="I950" s="157">
        <v>407</v>
      </c>
      <c r="J950" t="s">
        <v>4035</v>
      </c>
    </row>
    <row r="951" spans="1:10" x14ac:dyDescent="0.25">
      <c r="A951" s="37" t="str">
        <f>C951&amp;"-"&amp;D951&amp;"-"&amp;E951&amp;"-"&amp;F951&amp;"-"&amp;CATALOGO[[#This Row],[Sub cuenta 3]]</f>
        <v>E-27-02-00-00</v>
      </c>
      <c r="B951" s="37" t="s">
        <v>382</v>
      </c>
      <c r="C951" s="37" t="s">
        <v>114</v>
      </c>
      <c r="D951" s="38" t="s">
        <v>879</v>
      </c>
      <c r="E951" s="38" t="s">
        <v>17</v>
      </c>
      <c r="F951" s="38" t="s">
        <v>11</v>
      </c>
      <c r="G951" s="38" t="s">
        <v>11</v>
      </c>
      <c r="H951" s="38" t="s">
        <v>15</v>
      </c>
      <c r="I951" s="157">
        <v>407</v>
      </c>
      <c r="J951" t="s">
        <v>4035</v>
      </c>
    </row>
    <row r="952" spans="1:10" x14ac:dyDescent="0.25">
      <c r="A952" s="39" t="str">
        <f>C952&amp;"-"&amp;D952&amp;"-"&amp;E952&amp;"-"&amp;F952&amp;"-"&amp;CATALOGO[[#This Row],[Sub cuenta 3]]</f>
        <v>E-28-00-00-00</v>
      </c>
      <c r="B952" s="39" t="s">
        <v>881</v>
      </c>
      <c r="C952" s="37" t="s">
        <v>114</v>
      </c>
      <c r="D952" s="38" t="s">
        <v>882</v>
      </c>
      <c r="E952" s="38" t="s">
        <v>11</v>
      </c>
      <c r="F952" s="38" t="s">
        <v>11</v>
      </c>
      <c r="G952" s="38" t="s">
        <v>11</v>
      </c>
      <c r="H952" s="38" t="s">
        <v>12</v>
      </c>
      <c r="I952" s="157">
        <v>407</v>
      </c>
      <c r="J952" t="s">
        <v>4035</v>
      </c>
    </row>
    <row r="953" spans="1:10" x14ac:dyDescent="0.25">
      <c r="A953" s="37" t="str">
        <f>C953&amp;"-"&amp;D953&amp;"-"&amp;E953&amp;"-"&amp;F953&amp;"-"&amp;CATALOGO[[#This Row],[Sub cuenta 3]]</f>
        <v>E-28-01-00-00</v>
      </c>
      <c r="B953" s="37" t="s">
        <v>256</v>
      </c>
      <c r="C953" s="37" t="s">
        <v>114</v>
      </c>
      <c r="D953" s="38" t="s">
        <v>882</v>
      </c>
      <c r="E953" s="38" t="s">
        <v>10</v>
      </c>
      <c r="F953" s="38" t="s">
        <v>11</v>
      </c>
      <c r="G953" s="38" t="s">
        <v>11</v>
      </c>
      <c r="H953" s="38" t="s">
        <v>15</v>
      </c>
      <c r="I953" s="157">
        <v>407</v>
      </c>
      <c r="J953" t="s">
        <v>4035</v>
      </c>
    </row>
    <row r="954" spans="1:10" x14ac:dyDescent="0.25">
      <c r="A954" s="37" t="str">
        <f>C954&amp;"-"&amp;D954&amp;"-"&amp;E954&amp;"-"&amp;F954&amp;"-"&amp;CATALOGO[[#This Row],[Sub cuenta 3]]</f>
        <v>E-28-02-00-00</v>
      </c>
      <c r="B954" s="37" t="s">
        <v>883</v>
      </c>
      <c r="C954" s="37" t="s">
        <v>114</v>
      </c>
      <c r="D954" s="38" t="s">
        <v>882</v>
      </c>
      <c r="E954" s="38" t="s">
        <v>17</v>
      </c>
      <c r="F954" s="38" t="s">
        <v>11</v>
      </c>
      <c r="G954" s="38" t="s">
        <v>11</v>
      </c>
      <c r="H954" s="38" t="s">
        <v>12</v>
      </c>
      <c r="I954" s="157">
        <v>407</v>
      </c>
      <c r="J954" t="s">
        <v>4035</v>
      </c>
    </row>
    <row r="955" spans="1:10" x14ac:dyDescent="0.25">
      <c r="A955" s="37" t="str">
        <f>C955&amp;"-"&amp;D955&amp;"-"&amp;E955&amp;"-"&amp;F955&amp;"-"&amp;CATALOGO[[#This Row],[Sub cuenta 3]]</f>
        <v>E-28-02-01-00</v>
      </c>
      <c r="B955" s="37" t="s">
        <v>884</v>
      </c>
      <c r="C955" s="37" t="s">
        <v>114</v>
      </c>
      <c r="D955" s="38" t="s">
        <v>882</v>
      </c>
      <c r="E955" s="38" t="s">
        <v>17</v>
      </c>
      <c r="F955" s="38" t="s">
        <v>10</v>
      </c>
      <c r="G955" s="38" t="s">
        <v>11</v>
      </c>
      <c r="H955" s="38" t="s">
        <v>15</v>
      </c>
      <c r="I955" s="157">
        <v>407</v>
      </c>
      <c r="J955" t="s">
        <v>4035</v>
      </c>
    </row>
    <row r="956" spans="1:10" x14ac:dyDescent="0.25">
      <c r="A956" s="37" t="str">
        <f>C956&amp;"-"&amp;D956&amp;"-"&amp;E956&amp;"-"&amp;F956&amp;"-"&amp;CATALOGO[[#This Row],[Sub cuenta 3]]</f>
        <v>E-28-03-00-00</v>
      </c>
      <c r="B956" s="37" t="s">
        <v>885</v>
      </c>
      <c r="C956" s="37" t="s">
        <v>114</v>
      </c>
      <c r="D956" s="38" t="s">
        <v>882</v>
      </c>
      <c r="E956" s="38" t="s">
        <v>22</v>
      </c>
      <c r="F956" s="38" t="s">
        <v>11</v>
      </c>
      <c r="G956" s="38" t="s">
        <v>11</v>
      </c>
      <c r="H956" s="38" t="s">
        <v>12</v>
      </c>
      <c r="I956" s="157">
        <v>407</v>
      </c>
      <c r="J956" t="s">
        <v>4035</v>
      </c>
    </row>
    <row r="957" spans="1:10" x14ac:dyDescent="0.25">
      <c r="A957" s="37" t="str">
        <f>C957&amp;"-"&amp;D957&amp;"-"&amp;E957&amp;"-"&amp;F957&amp;"-"&amp;CATALOGO[[#This Row],[Sub cuenta 3]]</f>
        <v>E-28-03-01-00</v>
      </c>
      <c r="B957" s="37" t="s">
        <v>886</v>
      </c>
      <c r="C957" s="37" t="s">
        <v>114</v>
      </c>
      <c r="D957" s="38" t="s">
        <v>882</v>
      </c>
      <c r="E957" s="38" t="s">
        <v>22</v>
      </c>
      <c r="F957" s="38" t="s">
        <v>10</v>
      </c>
      <c r="G957" s="38" t="s">
        <v>11</v>
      </c>
      <c r="H957" s="38" t="s">
        <v>15</v>
      </c>
      <c r="I957" s="157">
        <v>407</v>
      </c>
      <c r="J957" t="s">
        <v>4035</v>
      </c>
    </row>
    <row r="958" spans="1:10" x14ac:dyDescent="0.25">
      <c r="A958" s="37" t="str">
        <f>C958&amp;"-"&amp;D958&amp;"-"&amp;E958&amp;"-"&amp;F958&amp;"-"&amp;CATALOGO[[#This Row],[Sub cuenta 3]]</f>
        <v>E-28-04-00-00</v>
      </c>
      <c r="B958" s="37" t="s">
        <v>887</v>
      </c>
      <c r="C958" s="37" t="s">
        <v>114</v>
      </c>
      <c r="D958" s="38" t="s">
        <v>882</v>
      </c>
      <c r="E958" s="38" t="s">
        <v>26</v>
      </c>
      <c r="F958" s="38" t="s">
        <v>11</v>
      </c>
      <c r="G958" s="38" t="s">
        <v>11</v>
      </c>
      <c r="H958" s="38" t="s">
        <v>12</v>
      </c>
      <c r="I958" s="157">
        <v>407</v>
      </c>
      <c r="J958" t="s">
        <v>4035</v>
      </c>
    </row>
    <row r="959" spans="1:10" x14ac:dyDescent="0.25">
      <c r="A959" s="37" t="str">
        <f>C959&amp;"-"&amp;D959&amp;"-"&amp;E959&amp;"-"&amp;F959&amp;"-"&amp;CATALOGO[[#This Row],[Sub cuenta 3]]</f>
        <v>E-28-04-01-00</v>
      </c>
      <c r="B959" s="37" t="s">
        <v>888</v>
      </c>
      <c r="C959" s="37" t="s">
        <v>114</v>
      </c>
      <c r="D959" s="38" t="s">
        <v>882</v>
      </c>
      <c r="E959" s="38" t="s">
        <v>26</v>
      </c>
      <c r="F959" s="38" t="s">
        <v>10</v>
      </c>
      <c r="G959" s="38" t="s">
        <v>11</v>
      </c>
      <c r="H959" s="38" t="s">
        <v>15</v>
      </c>
      <c r="I959" s="157">
        <v>407</v>
      </c>
      <c r="J959" t="s">
        <v>4035</v>
      </c>
    </row>
    <row r="960" spans="1:10" x14ac:dyDescent="0.25">
      <c r="A960" s="37" t="str">
        <f>C960&amp;"-"&amp;D960&amp;"-"&amp;E960&amp;"-"&amp;F960&amp;"-"&amp;CATALOGO[[#This Row],[Sub cuenta 3]]</f>
        <v>E-28-05-00-00</v>
      </c>
      <c r="B960" s="37" t="s">
        <v>889</v>
      </c>
      <c r="C960" s="37" t="s">
        <v>114</v>
      </c>
      <c r="D960" s="38" t="s">
        <v>882</v>
      </c>
      <c r="E960" s="38" t="s">
        <v>62</v>
      </c>
      <c r="F960" s="38" t="s">
        <v>11</v>
      </c>
      <c r="G960" s="38" t="s">
        <v>11</v>
      </c>
      <c r="H960" s="38" t="s">
        <v>12</v>
      </c>
      <c r="I960" s="157">
        <v>407</v>
      </c>
      <c r="J960" t="s">
        <v>4035</v>
      </c>
    </row>
    <row r="961" spans="1:10" x14ac:dyDescent="0.25">
      <c r="A961" s="37" t="str">
        <f>C961&amp;"-"&amp;D961&amp;"-"&amp;E961&amp;"-"&amp;F961&amp;"-"&amp;CATALOGO[[#This Row],[Sub cuenta 3]]</f>
        <v>E-28-05-01-00</v>
      </c>
      <c r="B961" s="37" t="s">
        <v>890</v>
      </c>
      <c r="C961" s="37" t="s">
        <v>114</v>
      </c>
      <c r="D961" s="38" t="s">
        <v>882</v>
      </c>
      <c r="E961" s="38" t="s">
        <v>62</v>
      </c>
      <c r="F961" s="38" t="s">
        <v>10</v>
      </c>
      <c r="G961" s="38" t="s">
        <v>11</v>
      </c>
      <c r="H961" s="38" t="s">
        <v>15</v>
      </c>
      <c r="I961" s="157">
        <v>407</v>
      </c>
      <c r="J961" t="s">
        <v>4035</v>
      </c>
    </row>
    <row r="962" spans="1:10" x14ac:dyDescent="0.25">
      <c r="A962" s="39" t="str">
        <f>C962&amp;"-"&amp;D962&amp;"-"&amp;E962&amp;"-"&amp;F962&amp;"-"&amp;CATALOGO[[#This Row],[Sub cuenta 3]]</f>
        <v>E-29-00-00-00</v>
      </c>
      <c r="B962" s="39" t="s">
        <v>891</v>
      </c>
      <c r="C962" s="37" t="s">
        <v>114</v>
      </c>
      <c r="D962" s="38" t="s">
        <v>892</v>
      </c>
      <c r="E962" s="38" t="s">
        <v>11</v>
      </c>
      <c r="F962" s="38" t="s">
        <v>11</v>
      </c>
      <c r="G962" s="36" t="s">
        <v>11</v>
      </c>
      <c r="H962" s="38" t="s">
        <v>12</v>
      </c>
      <c r="I962" s="157">
        <v>407</v>
      </c>
      <c r="J962" t="s">
        <v>4035</v>
      </c>
    </row>
    <row r="963" spans="1:10" x14ac:dyDescent="0.25">
      <c r="A963" s="37" t="str">
        <f>C963&amp;"-"&amp;D963&amp;"-"&amp;E963&amp;"-"&amp;F963&amp;"-"&amp;CATALOGO[[#This Row],[Sub cuenta 3]]</f>
        <v>E-29-01-00-00</v>
      </c>
      <c r="B963" s="37" t="s">
        <v>893</v>
      </c>
      <c r="C963" s="37" t="s">
        <v>114</v>
      </c>
      <c r="D963" s="38" t="s">
        <v>892</v>
      </c>
      <c r="E963" s="38" t="s">
        <v>10</v>
      </c>
      <c r="F963" s="38" t="s">
        <v>11</v>
      </c>
      <c r="G963" s="36" t="s">
        <v>11</v>
      </c>
      <c r="H963" s="38" t="s">
        <v>12</v>
      </c>
      <c r="I963" s="157">
        <v>407</v>
      </c>
      <c r="J963" t="s">
        <v>4035</v>
      </c>
    </row>
    <row r="964" spans="1:10" x14ac:dyDescent="0.25">
      <c r="A964" s="37" t="str">
        <f>C964&amp;"-"&amp;D964&amp;"-"&amp;E964&amp;"-"&amp;F964&amp;"-"&amp;CATALOGO[[#This Row],[Sub cuenta 3]]</f>
        <v>E-29-01-01-00</v>
      </c>
      <c r="B964" s="37" t="s">
        <v>894</v>
      </c>
      <c r="C964" s="37" t="s">
        <v>114</v>
      </c>
      <c r="D964" s="38" t="s">
        <v>892</v>
      </c>
      <c r="E964" s="38" t="s">
        <v>10</v>
      </c>
      <c r="F964" s="38" t="s">
        <v>10</v>
      </c>
      <c r="G964" s="36" t="s">
        <v>11</v>
      </c>
      <c r="H964" s="38" t="s">
        <v>15</v>
      </c>
      <c r="I964" s="157">
        <v>407</v>
      </c>
      <c r="J964" t="s">
        <v>4035</v>
      </c>
    </row>
    <row r="965" spans="1:10" x14ac:dyDescent="0.25">
      <c r="A965" s="37" t="str">
        <f>C965&amp;"-"&amp;D965&amp;"-"&amp;E965&amp;"-"&amp;F965&amp;"-"&amp;CATALOGO[[#This Row],[Sub cuenta 3]]</f>
        <v>E-29-01-02-00</v>
      </c>
      <c r="B965" s="37" t="s">
        <v>895</v>
      </c>
      <c r="C965" s="37" t="s">
        <v>114</v>
      </c>
      <c r="D965" s="38" t="s">
        <v>892</v>
      </c>
      <c r="E965" s="38" t="s">
        <v>10</v>
      </c>
      <c r="F965" s="38" t="s">
        <v>17</v>
      </c>
      <c r="G965" s="36" t="s">
        <v>11</v>
      </c>
      <c r="H965" s="38" t="s">
        <v>15</v>
      </c>
      <c r="I965" s="157">
        <v>407</v>
      </c>
      <c r="J965" t="s">
        <v>4035</v>
      </c>
    </row>
    <row r="966" spans="1:10" x14ac:dyDescent="0.25">
      <c r="A966" s="37" t="str">
        <f>C966&amp;"-"&amp;D966&amp;"-"&amp;E966&amp;"-"&amp;F966&amp;"-"&amp;CATALOGO[[#This Row],[Sub cuenta 3]]</f>
        <v>E-29-01-03-00</v>
      </c>
      <c r="B966" s="37" t="s">
        <v>896</v>
      </c>
      <c r="C966" s="37" t="s">
        <v>114</v>
      </c>
      <c r="D966" s="38" t="s">
        <v>892</v>
      </c>
      <c r="E966" s="38" t="s">
        <v>10</v>
      </c>
      <c r="F966" s="38" t="s">
        <v>22</v>
      </c>
      <c r="G966" s="36" t="s">
        <v>11</v>
      </c>
      <c r="H966" s="38" t="s">
        <v>15</v>
      </c>
      <c r="I966" s="157">
        <v>407</v>
      </c>
      <c r="J966" t="s">
        <v>4035</v>
      </c>
    </row>
    <row r="967" spans="1:10" x14ac:dyDescent="0.25">
      <c r="A967" s="37" t="str">
        <f>C967&amp;"-"&amp;D967&amp;"-"&amp;E967&amp;"-"&amp;F967&amp;"-"&amp;CATALOGO[[#This Row],[Sub cuenta 3]]</f>
        <v>E-29-01-04-00</v>
      </c>
      <c r="B967" s="37" t="s">
        <v>897</v>
      </c>
      <c r="C967" s="37" t="s">
        <v>114</v>
      </c>
      <c r="D967" s="38" t="s">
        <v>892</v>
      </c>
      <c r="E967" s="38" t="s">
        <v>10</v>
      </c>
      <c r="F967" s="38" t="s">
        <v>26</v>
      </c>
      <c r="G967" s="36" t="s">
        <v>11</v>
      </c>
      <c r="H967" s="38" t="s">
        <v>15</v>
      </c>
      <c r="I967" s="157">
        <v>407</v>
      </c>
      <c r="J967" t="s">
        <v>4035</v>
      </c>
    </row>
    <row r="968" spans="1:10" x14ac:dyDescent="0.25">
      <c r="A968" s="37" t="str">
        <f>C968&amp;"-"&amp;D968&amp;"-"&amp;E968&amp;"-"&amp;F968&amp;"-"&amp;CATALOGO[[#This Row],[Sub cuenta 3]]</f>
        <v>E-29-02-00-00</v>
      </c>
      <c r="B968" s="37" t="s">
        <v>898</v>
      </c>
      <c r="C968" s="37" t="s">
        <v>114</v>
      </c>
      <c r="D968" s="38" t="s">
        <v>892</v>
      </c>
      <c r="E968" s="38" t="s">
        <v>17</v>
      </c>
      <c r="F968" s="38" t="s">
        <v>11</v>
      </c>
      <c r="G968" s="36" t="s">
        <v>11</v>
      </c>
      <c r="H968" s="38" t="s">
        <v>12</v>
      </c>
      <c r="I968" s="157">
        <v>407</v>
      </c>
      <c r="J968" t="s">
        <v>4035</v>
      </c>
    </row>
    <row r="969" spans="1:10" x14ac:dyDescent="0.25">
      <c r="A969" s="37" t="str">
        <f>C969&amp;"-"&amp;D969&amp;"-"&amp;E969&amp;"-"&amp;F969&amp;"-"&amp;CATALOGO[[#This Row],[Sub cuenta 3]]</f>
        <v>E-29-02-01-00</v>
      </c>
      <c r="B969" s="37" t="s">
        <v>899</v>
      </c>
      <c r="C969" s="37" t="s">
        <v>114</v>
      </c>
      <c r="D969" s="38" t="s">
        <v>892</v>
      </c>
      <c r="E969" s="38" t="s">
        <v>17</v>
      </c>
      <c r="F969" s="38" t="s">
        <v>10</v>
      </c>
      <c r="G969" s="36" t="s">
        <v>11</v>
      </c>
      <c r="H969" s="38" t="s">
        <v>15</v>
      </c>
      <c r="I969" s="157">
        <v>407</v>
      </c>
      <c r="J969" t="s">
        <v>4035</v>
      </c>
    </row>
    <row r="970" spans="1:10" x14ac:dyDescent="0.25">
      <c r="A970" s="37" t="str">
        <f>C970&amp;"-"&amp;D970&amp;"-"&amp;E970&amp;"-"&amp;F970&amp;"-"&amp;CATALOGO[[#This Row],[Sub cuenta 3]]</f>
        <v>E-29-02-02-00</v>
      </c>
      <c r="B970" s="37" t="s">
        <v>900</v>
      </c>
      <c r="C970" s="37" t="s">
        <v>114</v>
      </c>
      <c r="D970" s="38" t="s">
        <v>892</v>
      </c>
      <c r="E970" s="38" t="s">
        <v>17</v>
      </c>
      <c r="F970" s="38" t="s">
        <v>17</v>
      </c>
      <c r="G970" s="36" t="s">
        <v>11</v>
      </c>
      <c r="H970" s="38" t="s">
        <v>15</v>
      </c>
      <c r="I970" s="157">
        <v>407</v>
      </c>
      <c r="J970" t="s">
        <v>4035</v>
      </c>
    </row>
    <row r="971" spans="1:10" x14ac:dyDescent="0.25">
      <c r="A971" s="37" t="str">
        <f>C971&amp;"-"&amp;D971&amp;"-"&amp;E971&amp;"-"&amp;F971&amp;"-"&amp;CATALOGO[[#This Row],[Sub cuenta 3]]</f>
        <v>E-29-02-03-00</v>
      </c>
      <c r="B971" s="37" t="s">
        <v>901</v>
      </c>
      <c r="C971" s="37" t="s">
        <v>114</v>
      </c>
      <c r="D971" s="38" t="s">
        <v>892</v>
      </c>
      <c r="E971" s="38" t="s">
        <v>17</v>
      </c>
      <c r="F971" s="38" t="s">
        <v>22</v>
      </c>
      <c r="G971" s="36" t="s">
        <v>11</v>
      </c>
      <c r="H971" s="38" t="s">
        <v>15</v>
      </c>
      <c r="I971" s="157">
        <v>407</v>
      </c>
      <c r="J971" t="s">
        <v>4035</v>
      </c>
    </row>
    <row r="972" spans="1:10" x14ac:dyDescent="0.25">
      <c r="A972" s="37" t="str">
        <f>C972&amp;"-"&amp;D972&amp;"-"&amp;E972&amp;"-"&amp;F972&amp;"-"&amp;CATALOGO[[#This Row],[Sub cuenta 3]]</f>
        <v>E-29-02-04-00</v>
      </c>
      <c r="B972" s="37" t="s">
        <v>902</v>
      </c>
      <c r="C972" s="37" t="s">
        <v>114</v>
      </c>
      <c r="D972" s="38" t="s">
        <v>892</v>
      </c>
      <c r="E972" s="38" t="s">
        <v>17</v>
      </c>
      <c r="F972" s="38" t="s">
        <v>26</v>
      </c>
      <c r="G972" s="36" t="s">
        <v>11</v>
      </c>
      <c r="H972" s="38" t="s">
        <v>15</v>
      </c>
      <c r="I972" s="157">
        <v>407</v>
      </c>
      <c r="J972" t="s">
        <v>4035</v>
      </c>
    </row>
    <row r="973" spans="1:10" x14ac:dyDescent="0.25">
      <c r="A973" s="37" t="str">
        <f>C973&amp;"-"&amp;D973&amp;"-"&amp;E973&amp;"-"&amp;F973&amp;"-"&amp;CATALOGO[[#This Row],[Sub cuenta 3]]</f>
        <v>E-29-02-05-00</v>
      </c>
      <c r="B973" s="37" t="s">
        <v>903</v>
      </c>
      <c r="C973" s="37" t="s">
        <v>114</v>
      </c>
      <c r="D973" s="38" t="s">
        <v>892</v>
      </c>
      <c r="E973" s="38" t="s">
        <v>17</v>
      </c>
      <c r="F973" s="38" t="s">
        <v>62</v>
      </c>
      <c r="G973" s="36" t="s">
        <v>11</v>
      </c>
      <c r="H973" s="38" t="s">
        <v>15</v>
      </c>
      <c r="I973" s="157">
        <v>407</v>
      </c>
      <c r="J973" t="s">
        <v>4035</v>
      </c>
    </row>
    <row r="974" spans="1:10" x14ac:dyDescent="0.25">
      <c r="A974" s="37" t="str">
        <f>C974&amp;"-"&amp;D974&amp;"-"&amp;E974&amp;"-"&amp;F974&amp;"-"&amp;CATALOGO[[#This Row],[Sub cuenta 3]]</f>
        <v>E-29-02-06-00</v>
      </c>
      <c r="B974" s="37" t="s">
        <v>904</v>
      </c>
      <c r="C974" s="37" t="s">
        <v>114</v>
      </c>
      <c r="D974" s="38" t="s">
        <v>892</v>
      </c>
      <c r="E974" s="38" t="s">
        <v>17</v>
      </c>
      <c r="F974" s="38" t="s">
        <v>73</v>
      </c>
      <c r="G974" s="36" t="s">
        <v>11</v>
      </c>
      <c r="H974" s="38" t="s">
        <v>15</v>
      </c>
      <c r="I974" s="157">
        <v>407</v>
      </c>
      <c r="J974" t="s">
        <v>4035</v>
      </c>
    </row>
    <row r="975" spans="1:10" x14ac:dyDescent="0.25">
      <c r="A975" s="37" t="str">
        <f>C975&amp;"-"&amp;D975&amp;"-"&amp;E975&amp;"-"&amp;F975&amp;"-"&amp;CATALOGO[[#This Row],[Sub cuenta 3]]</f>
        <v>E-29-02-07-00</v>
      </c>
      <c r="B975" s="37" t="s">
        <v>905</v>
      </c>
      <c r="C975" s="37" t="s">
        <v>114</v>
      </c>
      <c r="D975" s="38" t="s">
        <v>892</v>
      </c>
      <c r="E975" s="38" t="s">
        <v>17</v>
      </c>
      <c r="F975" s="38" t="s">
        <v>75</v>
      </c>
      <c r="G975" s="36" t="s">
        <v>11</v>
      </c>
      <c r="H975" s="38" t="s">
        <v>15</v>
      </c>
      <c r="I975" s="157">
        <v>407</v>
      </c>
      <c r="J975" t="s">
        <v>4035</v>
      </c>
    </row>
    <row r="976" spans="1:10" x14ac:dyDescent="0.25">
      <c r="A976" s="37" t="str">
        <f>C976&amp;"-"&amp;D976&amp;"-"&amp;E976&amp;"-"&amp;F976&amp;"-"&amp;CATALOGO[[#This Row],[Sub cuenta 3]]</f>
        <v>E-29-02-08-00</v>
      </c>
      <c r="B976" s="37" t="s">
        <v>906</v>
      </c>
      <c r="C976" s="37" t="s">
        <v>114</v>
      </c>
      <c r="D976" s="38" t="s">
        <v>892</v>
      </c>
      <c r="E976" s="38" t="s">
        <v>17</v>
      </c>
      <c r="F976" s="38" t="s">
        <v>77</v>
      </c>
      <c r="G976" s="36" t="s">
        <v>11</v>
      </c>
      <c r="H976" s="38" t="s">
        <v>15</v>
      </c>
      <c r="I976" s="157">
        <v>407</v>
      </c>
      <c r="J976" t="s">
        <v>4035</v>
      </c>
    </row>
    <row r="977" spans="1:10" x14ac:dyDescent="0.25">
      <c r="A977" s="37" t="str">
        <f>C977&amp;"-"&amp;D977&amp;"-"&amp;E977&amp;"-"&amp;F977&amp;"-"&amp;CATALOGO[[#This Row],[Sub cuenta 3]]</f>
        <v>E-29-02-09-00</v>
      </c>
      <c r="B977" s="37" t="s">
        <v>907</v>
      </c>
      <c r="C977" s="37" t="s">
        <v>114</v>
      </c>
      <c r="D977" s="38" t="s">
        <v>892</v>
      </c>
      <c r="E977" s="38" t="s">
        <v>17</v>
      </c>
      <c r="F977" s="38" t="s">
        <v>79</v>
      </c>
      <c r="G977" s="36" t="s">
        <v>11</v>
      </c>
      <c r="H977" s="38" t="s">
        <v>15</v>
      </c>
      <c r="I977" s="157">
        <v>407</v>
      </c>
      <c r="J977" t="s">
        <v>4035</v>
      </c>
    </row>
    <row r="978" spans="1:10" x14ac:dyDescent="0.25">
      <c r="A978" s="135" t="str">
        <f>C978&amp;"-"&amp;D978&amp;"-"&amp;E978&amp;"-"&amp;F978&amp;"-"&amp;CATALOGO[[#This Row],[Sub cuenta 3]]</f>
        <v>E-29-03-00-00</v>
      </c>
      <c r="B978" s="135" t="s">
        <v>908</v>
      </c>
      <c r="C978" s="37" t="s">
        <v>114</v>
      </c>
      <c r="D978" s="38" t="s">
        <v>892</v>
      </c>
      <c r="E978" s="38" t="s">
        <v>22</v>
      </c>
      <c r="F978" s="38" t="s">
        <v>11</v>
      </c>
      <c r="G978" s="36" t="s">
        <v>11</v>
      </c>
      <c r="H978" s="38" t="s">
        <v>12</v>
      </c>
      <c r="I978" s="157">
        <v>407</v>
      </c>
      <c r="J978" t="s">
        <v>4035</v>
      </c>
    </row>
    <row r="979" spans="1:10" x14ac:dyDescent="0.25">
      <c r="A979" s="135" t="str">
        <f>C979&amp;"-"&amp;D979&amp;"-"&amp;E979&amp;"-"&amp;F979&amp;"-"&amp;CATALOGO[[#This Row],[Sub cuenta 3]]</f>
        <v>E-29-03-01-00</v>
      </c>
      <c r="B979" s="135" t="s">
        <v>909</v>
      </c>
      <c r="C979" s="37" t="s">
        <v>114</v>
      </c>
      <c r="D979" s="38" t="s">
        <v>892</v>
      </c>
      <c r="E979" s="38" t="s">
        <v>22</v>
      </c>
      <c r="F979" s="38" t="s">
        <v>10</v>
      </c>
      <c r="G979" s="36" t="s">
        <v>11</v>
      </c>
      <c r="H979" s="38" t="s">
        <v>15</v>
      </c>
      <c r="I979" s="157">
        <v>407</v>
      </c>
      <c r="J979" t="s">
        <v>4035</v>
      </c>
    </row>
    <row r="980" spans="1:10" x14ac:dyDescent="0.25">
      <c r="A980" s="39" t="str">
        <f>C980&amp;"-"&amp;D980&amp;"-"&amp;E980&amp;"-"&amp;F980&amp;"-"&amp;CATALOGO[[#This Row],[Sub cuenta 3]]</f>
        <v>E-30-00-00-00</v>
      </c>
      <c r="B980" s="39" t="s">
        <v>910</v>
      </c>
      <c r="C980" s="35" t="s">
        <v>114</v>
      </c>
      <c r="D980" s="36" t="s">
        <v>911</v>
      </c>
      <c r="E980" s="36" t="s">
        <v>11</v>
      </c>
      <c r="F980" s="36" t="s">
        <v>11</v>
      </c>
      <c r="G980" s="36" t="s">
        <v>11</v>
      </c>
      <c r="H980" s="36" t="s">
        <v>12</v>
      </c>
      <c r="I980" s="157">
        <v>407</v>
      </c>
      <c r="J980" t="s">
        <v>4035</v>
      </c>
    </row>
    <row r="981" spans="1:10" s="82" customFormat="1" x14ac:dyDescent="0.25">
      <c r="A981" s="37" t="str">
        <f>C981&amp;"-"&amp;D981&amp;"-"&amp;E981&amp;"-"&amp;F981&amp;"-"&amp;CATALOGO[[#This Row],[Sub cuenta 3]]</f>
        <v>E-30-01-00-00</v>
      </c>
      <c r="B981" s="37" t="s">
        <v>912</v>
      </c>
      <c r="C981" s="37" t="s">
        <v>114</v>
      </c>
      <c r="D981" s="38" t="s">
        <v>911</v>
      </c>
      <c r="E981" s="38" t="s">
        <v>10</v>
      </c>
      <c r="F981" s="36" t="s">
        <v>11</v>
      </c>
      <c r="G981" s="38" t="s">
        <v>11</v>
      </c>
      <c r="H981" s="38" t="s">
        <v>12</v>
      </c>
      <c r="I981" s="157">
        <v>407</v>
      </c>
      <c r="J981" t="s">
        <v>4035</v>
      </c>
    </row>
    <row r="982" spans="1:10" x14ac:dyDescent="0.25">
      <c r="A982" s="37" t="str">
        <f>C982&amp;"-"&amp;D982&amp;"-"&amp;E982&amp;"-"&amp;F982&amp;"-"&amp;CATALOGO[[#This Row],[Sub cuenta 3]]</f>
        <v>E-30-01-01-00</v>
      </c>
      <c r="B982" s="37" t="s">
        <v>913</v>
      </c>
      <c r="C982" s="37" t="s">
        <v>114</v>
      </c>
      <c r="D982" s="38" t="s">
        <v>911</v>
      </c>
      <c r="E982" s="38" t="s">
        <v>10</v>
      </c>
      <c r="F982" s="36" t="s">
        <v>10</v>
      </c>
      <c r="G982" s="38" t="s">
        <v>11</v>
      </c>
      <c r="H982" s="38" t="s">
        <v>15</v>
      </c>
      <c r="I982" s="157">
        <v>407</v>
      </c>
      <c r="J982" t="s">
        <v>4035</v>
      </c>
    </row>
    <row r="983" spans="1:10" x14ac:dyDescent="0.25">
      <c r="A983" s="37" t="str">
        <f>C983&amp;"-"&amp;D983&amp;"-"&amp;E983&amp;"-"&amp;F983&amp;"-"&amp;CATALOGO[[#This Row],[Sub cuenta 3]]</f>
        <v>E-30-01-02-00</v>
      </c>
      <c r="B983" s="37" t="s">
        <v>914</v>
      </c>
      <c r="C983" s="37" t="s">
        <v>114</v>
      </c>
      <c r="D983" s="38" t="s">
        <v>911</v>
      </c>
      <c r="E983" s="38" t="s">
        <v>10</v>
      </c>
      <c r="F983" s="36" t="s">
        <v>17</v>
      </c>
      <c r="G983" s="38" t="s">
        <v>11</v>
      </c>
      <c r="H983" s="38" t="s">
        <v>15</v>
      </c>
      <c r="I983" s="157">
        <v>407</v>
      </c>
      <c r="J983" t="s">
        <v>4035</v>
      </c>
    </row>
    <row r="984" spans="1:10" x14ac:dyDescent="0.25">
      <c r="A984" s="37" t="str">
        <f>C984&amp;"-"&amp;D984&amp;"-"&amp;E984&amp;"-"&amp;F984&amp;"-"&amp;CATALOGO[[#This Row],[Sub cuenta 3]]</f>
        <v>E-30-01-03-00</v>
      </c>
      <c r="B984" s="37" t="s">
        <v>915</v>
      </c>
      <c r="C984" s="37" t="s">
        <v>114</v>
      </c>
      <c r="D984" s="38" t="s">
        <v>911</v>
      </c>
      <c r="E984" s="38" t="s">
        <v>10</v>
      </c>
      <c r="F984" s="36" t="s">
        <v>22</v>
      </c>
      <c r="G984" s="38" t="s">
        <v>11</v>
      </c>
      <c r="H984" s="38" t="s">
        <v>15</v>
      </c>
      <c r="I984" s="157">
        <v>407</v>
      </c>
      <c r="J984" t="s">
        <v>4035</v>
      </c>
    </row>
    <row r="985" spans="1:10" x14ac:dyDescent="0.25">
      <c r="A985" s="37" t="str">
        <f>C985&amp;"-"&amp;D985&amp;"-"&amp;E985&amp;"-"&amp;F985&amp;"-"&amp;CATALOGO[[#This Row],[Sub cuenta 3]]</f>
        <v>E-30-01-04-00</v>
      </c>
      <c r="B985" s="37" t="s">
        <v>916</v>
      </c>
      <c r="C985" s="37" t="s">
        <v>114</v>
      </c>
      <c r="D985" s="38" t="s">
        <v>911</v>
      </c>
      <c r="E985" s="38" t="s">
        <v>10</v>
      </c>
      <c r="F985" s="36" t="s">
        <v>26</v>
      </c>
      <c r="G985" s="38" t="s">
        <v>11</v>
      </c>
      <c r="H985" s="38" t="s">
        <v>15</v>
      </c>
      <c r="I985" s="157">
        <v>407</v>
      </c>
      <c r="J985" t="s">
        <v>4035</v>
      </c>
    </row>
    <row r="986" spans="1:10" x14ac:dyDescent="0.25">
      <c r="A986" s="37" t="str">
        <f>C986&amp;"-"&amp;D986&amp;"-"&amp;E986&amp;"-"&amp;F986&amp;"-"&amp;CATALOGO[[#This Row],[Sub cuenta 3]]</f>
        <v>E-30-01-05-00</v>
      </c>
      <c r="B986" s="37" t="s">
        <v>917</v>
      </c>
      <c r="C986" s="37" t="s">
        <v>114</v>
      </c>
      <c r="D986" s="38" t="s">
        <v>911</v>
      </c>
      <c r="E986" s="38" t="s">
        <v>10</v>
      </c>
      <c r="F986" s="36" t="s">
        <v>62</v>
      </c>
      <c r="G986" s="38" t="s">
        <v>11</v>
      </c>
      <c r="H986" s="38" t="s">
        <v>15</v>
      </c>
      <c r="I986" s="157">
        <v>407</v>
      </c>
      <c r="J986" t="s">
        <v>4035</v>
      </c>
    </row>
    <row r="987" spans="1:10" x14ac:dyDescent="0.25">
      <c r="A987" s="37" t="str">
        <f>C987&amp;"-"&amp;D987&amp;"-"&amp;E987&amp;"-"&amp;F987&amp;"-"&amp;CATALOGO[[#This Row],[Sub cuenta 3]]</f>
        <v>E-30-01-06-00</v>
      </c>
      <c r="B987" s="37" t="s">
        <v>918</v>
      </c>
      <c r="C987" s="37" t="s">
        <v>114</v>
      </c>
      <c r="D987" s="38" t="s">
        <v>911</v>
      </c>
      <c r="E987" s="38" t="s">
        <v>10</v>
      </c>
      <c r="F987" s="36" t="s">
        <v>73</v>
      </c>
      <c r="G987" s="38" t="s">
        <v>11</v>
      </c>
      <c r="H987" s="38" t="s">
        <v>15</v>
      </c>
      <c r="I987" s="157">
        <v>407</v>
      </c>
      <c r="J987" t="s">
        <v>4035</v>
      </c>
    </row>
    <row r="988" spans="1:10" x14ac:dyDescent="0.25">
      <c r="A988" s="37" t="str">
        <f>C988&amp;"-"&amp;D988&amp;"-"&amp;E988&amp;"-"&amp;F988&amp;"-"&amp;CATALOGO[[#This Row],[Sub cuenta 3]]</f>
        <v>E-30-01-07-00</v>
      </c>
      <c r="B988" s="37" t="s">
        <v>919</v>
      </c>
      <c r="C988" s="37" t="s">
        <v>114</v>
      </c>
      <c r="D988" s="38" t="s">
        <v>911</v>
      </c>
      <c r="E988" s="38" t="s">
        <v>10</v>
      </c>
      <c r="F988" s="36" t="s">
        <v>75</v>
      </c>
      <c r="G988" s="38" t="s">
        <v>11</v>
      </c>
      <c r="H988" s="38" t="s">
        <v>15</v>
      </c>
      <c r="I988" s="157">
        <v>407</v>
      </c>
      <c r="J988" t="s">
        <v>4035</v>
      </c>
    </row>
    <row r="989" spans="1:10" x14ac:dyDescent="0.25">
      <c r="A989" s="37" t="str">
        <f>C989&amp;"-"&amp;D989&amp;"-"&amp;E989&amp;"-"&amp;F989&amp;"-"&amp;CATALOGO[[#This Row],[Sub cuenta 3]]</f>
        <v>E-30-01-08-00</v>
      </c>
      <c r="B989" s="37" t="s">
        <v>920</v>
      </c>
      <c r="C989" s="37" t="s">
        <v>114</v>
      </c>
      <c r="D989" s="38" t="s">
        <v>911</v>
      </c>
      <c r="E989" s="38" t="s">
        <v>10</v>
      </c>
      <c r="F989" s="36" t="s">
        <v>77</v>
      </c>
      <c r="G989" s="38" t="s">
        <v>11</v>
      </c>
      <c r="H989" s="38" t="s">
        <v>15</v>
      </c>
      <c r="I989" s="157">
        <v>407</v>
      </c>
      <c r="J989" t="s">
        <v>4035</v>
      </c>
    </row>
    <row r="990" spans="1:10" x14ac:dyDescent="0.25">
      <c r="A990" s="37" t="str">
        <f>C990&amp;"-"&amp;D990&amp;"-"&amp;E990&amp;"-"&amp;F990&amp;"-"&amp;CATALOGO[[#This Row],[Sub cuenta 3]]</f>
        <v>E-30-02-00-00</v>
      </c>
      <c r="B990" s="37" t="s">
        <v>921</v>
      </c>
      <c r="C990" s="37" t="s">
        <v>114</v>
      </c>
      <c r="D990" s="38" t="s">
        <v>911</v>
      </c>
      <c r="E990" s="38" t="s">
        <v>17</v>
      </c>
      <c r="F990" s="38" t="s">
        <v>11</v>
      </c>
      <c r="G990" s="38" t="s">
        <v>11</v>
      </c>
      <c r="H990" s="38" t="s">
        <v>12</v>
      </c>
      <c r="I990" s="157">
        <v>407</v>
      </c>
      <c r="J990" t="s">
        <v>4035</v>
      </c>
    </row>
    <row r="991" spans="1:10" x14ac:dyDescent="0.25">
      <c r="A991" s="37" t="str">
        <f>C991&amp;"-"&amp;D991&amp;"-"&amp;E991&amp;"-"&amp;F991&amp;"-"&amp;CATALOGO[[#This Row],[Sub cuenta 3]]</f>
        <v>E-30-02-01-00</v>
      </c>
      <c r="B991" s="37" t="s">
        <v>922</v>
      </c>
      <c r="C991" s="37" t="s">
        <v>114</v>
      </c>
      <c r="D991" s="38" t="s">
        <v>911</v>
      </c>
      <c r="E991" s="38" t="s">
        <v>17</v>
      </c>
      <c r="F991" s="38" t="s">
        <v>10</v>
      </c>
      <c r="G991" s="38" t="s">
        <v>11</v>
      </c>
      <c r="H991" s="38" t="s">
        <v>15</v>
      </c>
      <c r="I991" s="157">
        <v>407</v>
      </c>
      <c r="J991" t="s">
        <v>4035</v>
      </c>
    </row>
    <row r="992" spans="1:10" x14ac:dyDescent="0.25">
      <c r="A992" s="37" t="str">
        <f>C992&amp;"-"&amp;D992&amp;"-"&amp;E992&amp;"-"&amp;F992&amp;"-"&amp;CATALOGO[[#This Row],[Sub cuenta 3]]</f>
        <v>E-30-02-02-00</v>
      </c>
      <c r="B992" s="37" t="s">
        <v>923</v>
      </c>
      <c r="C992" s="37" t="s">
        <v>114</v>
      </c>
      <c r="D992" s="38" t="s">
        <v>911</v>
      </c>
      <c r="E992" s="38" t="s">
        <v>17</v>
      </c>
      <c r="F992" s="38" t="s">
        <v>17</v>
      </c>
      <c r="G992" s="38" t="s">
        <v>11</v>
      </c>
      <c r="H992" s="38" t="s">
        <v>15</v>
      </c>
      <c r="I992" s="157">
        <v>407</v>
      </c>
      <c r="J992" t="s">
        <v>4035</v>
      </c>
    </row>
    <row r="993" spans="1:10" x14ac:dyDescent="0.25">
      <c r="A993" s="39" t="str">
        <f>C993&amp;"-"&amp;D993&amp;"-"&amp;E993&amp;"-"&amp;F993&amp;"-"&amp;CATALOGO[[#This Row],[Sub cuenta 3]]</f>
        <v>E-31-00-00-00</v>
      </c>
      <c r="B993" s="39" t="s">
        <v>924</v>
      </c>
      <c r="C993" s="7" t="s">
        <v>114</v>
      </c>
      <c r="D993" s="70" t="s">
        <v>925</v>
      </c>
      <c r="E993" s="70" t="s">
        <v>11</v>
      </c>
      <c r="F993" s="70" t="s">
        <v>11</v>
      </c>
      <c r="G993" s="8" t="s">
        <v>11</v>
      </c>
      <c r="H993" s="70" t="s">
        <v>12</v>
      </c>
      <c r="I993" s="157">
        <v>407</v>
      </c>
      <c r="J993" t="s">
        <v>4035</v>
      </c>
    </row>
    <row r="994" spans="1:10" s="7" customFormat="1" x14ac:dyDescent="0.25">
      <c r="A994" s="37" t="str">
        <f>C994&amp;"-"&amp;D994&amp;"-"&amp;E994&amp;"-"&amp;F994&amp;"-"&amp;CATALOGO[[#This Row],[Sub cuenta 3]]</f>
        <v>E-31-01-00-00</v>
      </c>
      <c r="B994" s="37" t="s">
        <v>926</v>
      </c>
      <c r="C994" s="37" t="s">
        <v>114</v>
      </c>
      <c r="D994" s="38" t="s">
        <v>925</v>
      </c>
      <c r="E994" s="38" t="s">
        <v>10</v>
      </c>
      <c r="F994" s="38" t="s">
        <v>11</v>
      </c>
      <c r="G994" s="36" t="s">
        <v>11</v>
      </c>
      <c r="H994" s="38" t="s">
        <v>12</v>
      </c>
      <c r="I994" s="157">
        <v>407</v>
      </c>
      <c r="J994" t="s">
        <v>4035</v>
      </c>
    </row>
    <row r="995" spans="1:10" x14ac:dyDescent="0.25">
      <c r="A995" s="37" t="str">
        <f>C995&amp;"-"&amp;D995&amp;"-"&amp;E995&amp;"-"&amp;F995&amp;"-"&amp;CATALOGO[[#This Row],[Sub cuenta 3]]</f>
        <v>E-31-01-01-00</v>
      </c>
      <c r="B995" s="37" t="s">
        <v>927</v>
      </c>
      <c r="C995" s="37" t="s">
        <v>114</v>
      </c>
      <c r="D995" s="38" t="s">
        <v>925</v>
      </c>
      <c r="E995" s="38" t="s">
        <v>10</v>
      </c>
      <c r="F995" s="38" t="s">
        <v>10</v>
      </c>
      <c r="G995" s="36" t="s">
        <v>11</v>
      </c>
      <c r="H995" s="38" t="s">
        <v>15</v>
      </c>
      <c r="I995" s="157">
        <v>407</v>
      </c>
      <c r="J995" t="s">
        <v>4035</v>
      </c>
    </row>
    <row r="996" spans="1:10" x14ac:dyDescent="0.25">
      <c r="A996" s="37" t="str">
        <f>C996&amp;"-"&amp;D996&amp;"-"&amp;E996&amp;"-"&amp;F996&amp;"-"&amp;CATALOGO[[#This Row],[Sub cuenta 3]]</f>
        <v>E-31-01-02-00</v>
      </c>
      <c r="B996" s="37" t="s">
        <v>928</v>
      </c>
      <c r="C996" s="37" t="s">
        <v>114</v>
      </c>
      <c r="D996" s="38" t="s">
        <v>925</v>
      </c>
      <c r="E996" s="38" t="s">
        <v>10</v>
      </c>
      <c r="F996" s="38" t="s">
        <v>17</v>
      </c>
      <c r="G996" s="36" t="s">
        <v>11</v>
      </c>
      <c r="H996" s="38" t="s">
        <v>15</v>
      </c>
      <c r="I996" s="157">
        <v>407</v>
      </c>
      <c r="J996" t="s">
        <v>4035</v>
      </c>
    </row>
    <row r="997" spans="1:10" x14ac:dyDescent="0.25">
      <c r="A997" s="37" t="str">
        <f>C997&amp;"-"&amp;D997&amp;"-"&amp;E997&amp;"-"&amp;F997&amp;"-"&amp;CATALOGO[[#This Row],[Sub cuenta 3]]</f>
        <v>E-31-01-03-00</v>
      </c>
      <c r="B997" s="37" t="s">
        <v>929</v>
      </c>
      <c r="C997" s="37" t="s">
        <v>114</v>
      </c>
      <c r="D997" s="38" t="s">
        <v>925</v>
      </c>
      <c r="E997" s="38" t="s">
        <v>10</v>
      </c>
      <c r="F997" s="38" t="s">
        <v>22</v>
      </c>
      <c r="G997" s="36" t="s">
        <v>11</v>
      </c>
      <c r="H997" s="38" t="s">
        <v>15</v>
      </c>
      <c r="I997" s="157">
        <v>407</v>
      </c>
      <c r="J997" t="s">
        <v>4035</v>
      </c>
    </row>
    <row r="998" spans="1:10" x14ac:dyDescent="0.25">
      <c r="A998" s="37" t="str">
        <f>C998&amp;"-"&amp;D998&amp;"-"&amp;E998&amp;"-"&amp;F998&amp;"-"&amp;CATALOGO[[#This Row],[Sub cuenta 3]]</f>
        <v>E-31-01-04-00</v>
      </c>
      <c r="B998" s="37" t="s">
        <v>930</v>
      </c>
      <c r="C998" s="37" t="s">
        <v>114</v>
      </c>
      <c r="D998" s="38" t="s">
        <v>925</v>
      </c>
      <c r="E998" s="38" t="s">
        <v>10</v>
      </c>
      <c r="F998" s="38" t="s">
        <v>26</v>
      </c>
      <c r="G998" s="36" t="s">
        <v>11</v>
      </c>
      <c r="H998" s="38" t="s">
        <v>15</v>
      </c>
      <c r="I998" s="157">
        <v>407</v>
      </c>
      <c r="J998" t="s">
        <v>4035</v>
      </c>
    </row>
    <row r="999" spans="1:10" x14ac:dyDescent="0.25">
      <c r="A999" s="37" t="str">
        <f>C999&amp;"-"&amp;D999&amp;"-"&amp;E999&amp;"-"&amp;F999&amp;"-"&amp;CATALOGO[[#This Row],[Sub cuenta 3]]</f>
        <v>E-31-01-05-00</v>
      </c>
      <c r="B999" s="37" t="s">
        <v>931</v>
      </c>
      <c r="C999" s="37" t="s">
        <v>114</v>
      </c>
      <c r="D999" s="38" t="s">
        <v>925</v>
      </c>
      <c r="E999" s="38" t="s">
        <v>10</v>
      </c>
      <c r="F999" s="38" t="s">
        <v>62</v>
      </c>
      <c r="G999" s="36" t="s">
        <v>11</v>
      </c>
      <c r="H999" s="38" t="s">
        <v>15</v>
      </c>
      <c r="I999" s="157">
        <v>407</v>
      </c>
      <c r="J999" t="s">
        <v>4035</v>
      </c>
    </row>
    <row r="1000" spans="1:10" x14ac:dyDescent="0.25">
      <c r="A1000" s="37" t="str">
        <f>C1000&amp;"-"&amp;D1000&amp;"-"&amp;E1000&amp;"-"&amp;F1000&amp;"-"&amp;CATALOGO[[#This Row],[Sub cuenta 3]]</f>
        <v>E-31-01-06-00</v>
      </c>
      <c r="B1000" s="37" t="s">
        <v>932</v>
      </c>
      <c r="C1000" s="37" t="s">
        <v>114</v>
      </c>
      <c r="D1000" s="38" t="s">
        <v>925</v>
      </c>
      <c r="E1000" s="38" t="s">
        <v>10</v>
      </c>
      <c r="F1000" s="38" t="s">
        <v>73</v>
      </c>
      <c r="G1000" s="36" t="s">
        <v>11</v>
      </c>
      <c r="H1000" s="38" t="s">
        <v>15</v>
      </c>
      <c r="I1000" s="157">
        <v>407</v>
      </c>
      <c r="J1000" t="s">
        <v>4035</v>
      </c>
    </row>
    <row r="1001" spans="1:10" x14ac:dyDescent="0.25">
      <c r="A1001" s="37" t="str">
        <f>C1001&amp;"-"&amp;D1001&amp;"-"&amp;E1001&amp;"-"&amp;F1001&amp;"-"&amp;CATALOGO[[#This Row],[Sub cuenta 3]]</f>
        <v>E-31-01-07-00</v>
      </c>
      <c r="B1001" s="37" t="s">
        <v>933</v>
      </c>
      <c r="C1001" s="37" t="s">
        <v>114</v>
      </c>
      <c r="D1001" s="38" t="s">
        <v>925</v>
      </c>
      <c r="E1001" s="38" t="s">
        <v>10</v>
      </c>
      <c r="F1001" s="38" t="s">
        <v>75</v>
      </c>
      <c r="G1001" s="36" t="s">
        <v>11</v>
      </c>
      <c r="H1001" s="38" t="s">
        <v>15</v>
      </c>
      <c r="I1001" s="157">
        <v>407</v>
      </c>
      <c r="J1001" t="s">
        <v>4035</v>
      </c>
    </row>
    <row r="1002" spans="1:10" x14ac:dyDescent="0.25">
      <c r="A1002" s="37" t="str">
        <f>C1002&amp;"-"&amp;D1002&amp;"-"&amp;E1002&amp;"-"&amp;F1002&amp;"-"&amp;CATALOGO[[#This Row],[Sub cuenta 3]]</f>
        <v>E-31-01-08-00</v>
      </c>
      <c r="B1002" s="37" t="s">
        <v>934</v>
      </c>
      <c r="C1002" s="37" t="s">
        <v>114</v>
      </c>
      <c r="D1002" s="38" t="s">
        <v>925</v>
      </c>
      <c r="E1002" s="38" t="s">
        <v>10</v>
      </c>
      <c r="F1002" s="38" t="s">
        <v>77</v>
      </c>
      <c r="G1002" s="36" t="s">
        <v>11</v>
      </c>
      <c r="H1002" s="38" t="s">
        <v>15</v>
      </c>
      <c r="I1002" s="157">
        <v>407</v>
      </c>
      <c r="J1002" t="s">
        <v>4035</v>
      </c>
    </row>
    <row r="1003" spans="1:10" x14ac:dyDescent="0.25">
      <c r="A1003" s="37" t="str">
        <f>C1003&amp;"-"&amp;D1003&amp;"-"&amp;E1003&amp;"-"&amp;F1003&amp;"-"&amp;CATALOGO[[#This Row],[Sub cuenta 3]]</f>
        <v>E-31-01-09-00</v>
      </c>
      <c r="B1003" s="37" t="s">
        <v>935</v>
      </c>
      <c r="C1003" s="37" t="s">
        <v>114</v>
      </c>
      <c r="D1003" s="38" t="s">
        <v>925</v>
      </c>
      <c r="E1003" s="38" t="s">
        <v>10</v>
      </c>
      <c r="F1003" s="38" t="s">
        <v>79</v>
      </c>
      <c r="G1003" s="36" t="s">
        <v>11</v>
      </c>
      <c r="H1003" s="38" t="s">
        <v>15</v>
      </c>
      <c r="I1003" s="157">
        <v>407</v>
      </c>
      <c r="J1003" t="s">
        <v>4035</v>
      </c>
    </row>
    <row r="1004" spans="1:10" x14ac:dyDescent="0.25">
      <c r="A1004" s="39" t="str">
        <f>C1004&amp;"-"&amp;D1004&amp;"-"&amp;E1004&amp;"-"&amp;F1004&amp;"-"&amp;CATALOGO[[#This Row],[Sub cuenta 3]]</f>
        <v>E-32-00-00-00</v>
      </c>
      <c r="B1004" s="39" t="s">
        <v>936</v>
      </c>
      <c r="C1004" s="37" t="s">
        <v>114</v>
      </c>
      <c r="D1004" s="38" t="s">
        <v>937</v>
      </c>
      <c r="E1004" s="38" t="s">
        <v>11</v>
      </c>
      <c r="F1004" s="38" t="s">
        <v>11</v>
      </c>
      <c r="G1004" s="38" t="s">
        <v>11</v>
      </c>
      <c r="H1004" s="38" t="s">
        <v>12</v>
      </c>
      <c r="I1004" s="157">
        <v>407</v>
      </c>
      <c r="J1004" t="s">
        <v>4035</v>
      </c>
    </row>
    <row r="1005" spans="1:10" x14ac:dyDescent="0.25">
      <c r="A1005" s="37" t="str">
        <f>C1005&amp;"-"&amp;D1005&amp;"-"&amp;E1005&amp;"-"&amp;F1005&amp;"-"&amp;CATALOGO[[#This Row],[Sub cuenta 3]]</f>
        <v>E-32-01-00-00</v>
      </c>
      <c r="B1005" s="37" t="s">
        <v>938</v>
      </c>
      <c r="C1005" s="37" t="s">
        <v>114</v>
      </c>
      <c r="D1005" s="38" t="s">
        <v>937</v>
      </c>
      <c r="E1005" s="38" t="s">
        <v>10</v>
      </c>
      <c r="F1005" s="38" t="s">
        <v>11</v>
      </c>
      <c r="G1005" s="38" t="s">
        <v>11</v>
      </c>
      <c r="H1005" s="38" t="s">
        <v>12</v>
      </c>
      <c r="I1005" s="157">
        <v>407</v>
      </c>
      <c r="J1005" t="s">
        <v>4035</v>
      </c>
    </row>
    <row r="1006" spans="1:10" x14ac:dyDescent="0.25">
      <c r="A1006" s="37" t="str">
        <f>C1006&amp;"-"&amp;D1006&amp;"-"&amp;E1006&amp;"-"&amp;F1006&amp;"-"&amp;CATALOGO[[#This Row],[Sub cuenta 3]]</f>
        <v>E-32-01-01-00</v>
      </c>
      <c r="B1006" s="37" t="s">
        <v>939</v>
      </c>
      <c r="C1006" s="37" t="s">
        <v>114</v>
      </c>
      <c r="D1006" s="38" t="s">
        <v>937</v>
      </c>
      <c r="E1006" s="38" t="s">
        <v>10</v>
      </c>
      <c r="F1006" s="38" t="s">
        <v>10</v>
      </c>
      <c r="G1006" s="38" t="s">
        <v>11</v>
      </c>
      <c r="H1006" s="38" t="s">
        <v>15</v>
      </c>
      <c r="I1006" s="157">
        <v>407</v>
      </c>
      <c r="J1006" t="s">
        <v>4035</v>
      </c>
    </row>
    <row r="1007" spans="1:10" x14ac:dyDescent="0.25">
      <c r="A1007" s="37" t="str">
        <f>C1007&amp;"-"&amp;D1007&amp;"-"&amp;E1007&amp;"-"&amp;F1007&amp;"-"&amp;CATALOGO[[#This Row],[Sub cuenta 3]]</f>
        <v>E-32-01-02-00</v>
      </c>
      <c r="B1007" s="37" t="s">
        <v>940</v>
      </c>
      <c r="C1007" s="37" t="s">
        <v>114</v>
      </c>
      <c r="D1007" s="38" t="s">
        <v>937</v>
      </c>
      <c r="E1007" s="38" t="s">
        <v>10</v>
      </c>
      <c r="F1007" s="38" t="s">
        <v>17</v>
      </c>
      <c r="G1007" s="38" t="s">
        <v>11</v>
      </c>
      <c r="H1007" s="38" t="s">
        <v>15</v>
      </c>
      <c r="I1007" s="157">
        <v>407</v>
      </c>
      <c r="J1007" t="s">
        <v>4035</v>
      </c>
    </row>
    <row r="1008" spans="1:10" x14ac:dyDescent="0.25">
      <c r="A1008" s="37" t="str">
        <f>C1008&amp;"-"&amp;D1008&amp;"-"&amp;E1008&amp;"-"&amp;F1008&amp;"-"&amp;CATALOGO[[#This Row],[Sub cuenta 3]]</f>
        <v>E-32-01-03-00</v>
      </c>
      <c r="B1008" s="37" t="s">
        <v>941</v>
      </c>
      <c r="C1008" s="37" t="s">
        <v>114</v>
      </c>
      <c r="D1008" s="38" t="s">
        <v>937</v>
      </c>
      <c r="E1008" s="38" t="s">
        <v>10</v>
      </c>
      <c r="F1008" s="38" t="s">
        <v>22</v>
      </c>
      <c r="G1008" s="38" t="s">
        <v>11</v>
      </c>
      <c r="H1008" s="38" t="s">
        <v>15</v>
      </c>
      <c r="I1008" s="157">
        <v>407</v>
      </c>
      <c r="J1008" t="s">
        <v>4035</v>
      </c>
    </row>
    <row r="1009" spans="1:10" x14ac:dyDescent="0.25">
      <c r="A1009" s="37" t="str">
        <f>C1009&amp;"-"&amp;D1009&amp;"-"&amp;E1009&amp;"-"&amp;F1009&amp;"-"&amp;CATALOGO[[#This Row],[Sub cuenta 3]]</f>
        <v>E-32-02-00-00</v>
      </c>
      <c r="B1009" s="37" t="s">
        <v>942</v>
      </c>
      <c r="C1009" s="37" t="s">
        <v>114</v>
      </c>
      <c r="D1009" s="38" t="s">
        <v>937</v>
      </c>
      <c r="E1009" s="38" t="s">
        <v>17</v>
      </c>
      <c r="F1009" s="38" t="s">
        <v>11</v>
      </c>
      <c r="G1009" s="38" t="s">
        <v>11</v>
      </c>
      <c r="H1009" s="38" t="s">
        <v>12</v>
      </c>
      <c r="I1009" s="157">
        <v>407</v>
      </c>
      <c r="J1009" t="s">
        <v>4035</v>
      </c>
    </row>
    <row r="1010" spans="1:10" x14ac:dyDescent="0.25">
      <c r="A1010" s="37" t="str">
        <f>C1010&amp;"-"&amp;D1010&amp;"-"&amp;E1010&amp;"-"&amp;F1010&amp;"-"&amp;CATALOGO[[#This Row],[Sub cuenta 3]]</f>
        <v>E-32-02-01-00</v>
      </c>
      <c r="B1010" s="37" t="s">
        <v>943</v>
      </c>
      <c r="C1010" s="37" t="s">
        <v>114</v>
      </c>
      <c r="D1010" s="38" t="s">
        <v>937</v>
      </c>
      <c r="E1010" s="38" t="s">
        <v>17</v>
      </c>
      <c r="F1010" s="38" t="s">
        <v>10</v>
      </c>
      <c r="G1010" s="38" t="s">
        <v>11</v>
      </c>
      <c r="H1010" s="38" t="s">
        <v>15</v>
      </c>
      <c r="I1010" s="157">
        <v>407</v>
      </c>
      <c r="J1010" t="s">
        <v>4035</v>
      </c>
    </row>
    <row r="1011" spans="1:10" x14ac:dyDescent="0.25">
      <c r="A1011" s="37" t="str">
        <f>C1011&amp;"-"&amp;D1011&amp;"-"&amp;E1011&amp;"-"&amp;F1011&amp;"-"&amp;CATALOGO[[#This Row],[Sub cuenta 3]]</f>
        <v>E-32-02-02-00</v>
      </c>
      <c r="B1011" s="37" t="s">
        <v>944</v>
      </c>
      <c r="C1011" s="37" t="s">
        <v>114</v>
      </c>
      <c r="D1011" s="38" t="s">
        <v>937</v>
      </c>
      <c r="E1011" s="38" t="s">
        <v>17</v>
      </c>
      <c r="F1011" s="38" t="s">
        <v>17</v>
      </c>
      <c r="G1011" s="38" t="s">
        <v>11</v>
      </c>
      <c r="H1011" s="38" t="s">
        <v>15</v>
      </c>
      <c r="I1011" s="157">
        <v>407</v>
      </c>
      <c r="J1011" t="s">
        <v>4035</v>
      </c>
    </row>
    <row r="1012" spans="1:10" x14ac:dyDescent="0.25">
      <c r="A1012" s="37" t="str">
        <f>C1012&amp;"-"&amp;D1012&amp;"-"&amp;E1012&amp;"-"&amp;F1012&amp;"-"&amp;CATALOGO[[#This Row],[Sub cuenta 3]]</f>
        <v>E-32-03-00-00</v>
      </c>
      <c r="B1012" s="37" t="s">
        <v>945</v>
      </c>
      <c r="C1012" s="37" t="s">
        <v>114</v>
      </c>
      <c r="D1012" s="38" t="s">
        <v>937</v>
      </c>
      <c r="E1012" s="38" t="s">
        <v>22</v>
      </c>
      <c r="F1012" s="38" t="s">
        <v>11</v>
      </c>
      <c r="G1012" s="38" t="s">
        <v>11</v>
      </c>
      <c r="H1012" s="38" t="s">
        <v>12</v>
      </c>
      <c r="I1012" s="157">
        <v>407</v>
      </c>
      <c r="J1012" t="s">
        <v>4035</v>
      </c>
    </row>
    <row r="1013" spans="1:10" x14ac:dyDescent="0.25">
      <c r="A1013" s="37" t="str">
        <f>C1013&amp;"-"&amp;D1013&amp;"-"&amp;E1013&amp;"-"&amp;F1013&amp;"-"&amp;CATALOGO[[#This Row],[Sub cuenta 3]]</f>
        <v>E-32-03-01-00</v>
      </c>
      <c r="B1013" s="37" t="s">
        <v>946</v>
      </c>
      <c r="C1013" s="37" t="s">
        <v>114</v>
      </c>
      <c r="D1013" s="38" t="s">
        <v>937</v>
      </c>
      <c r="E1013" s="38" t="s">
        <v>22</v>
      </c>
      <c r="F1013" s="38" t="s">
        <v>10</v>
      </c>
      <c r="G1013" s="38" t="s">
        <v>11</v>
      </c>
      <c r="H1013" s="38" t="s">
        <v>15</v>
      </c>
      <c r="I1013" s="157">
        <v>407</v>
      </c>
      <c r="J1013" t="s">
        <v>4035</v>
      </c>
    </row>
    <row r="1014" spans="1:10" x14ac:dyDescent="0.25">
      <c r="A1014" s="35" t="str">
        <f>C1014&amp;"-"&amp;D1014&amp;"-"&amp;E1014&amp;"-"&amp;F1014&amp;"-"&amp;CATALOGO[[#This Row],[Sub cuenta 3]]</f>
        <v>E-32-03-02-00</v>
      </c>
      <c r="B1014" s="37" t="s">
        <v>947</v>
      </c>
      <c r="C1014" s="37" t="s">
        <v>114</v>
      </c>
      <c r="D1014" s="38" t="s">
        <v>937</v>
      </c>
      <c r="E1014" s="38" t="s">
        <v>22</v>
      </c>
      <c r="F1014" s="38" t="s">
        <v>17</v>
      </c>
      <c r="G1014" s="38" t="s">
        <v>11</v>
      </c>
      <c r="H1014" s="38" t="s">
        <v>15</v>
      </c>
      <c r="I1014" s="157">
        <v>407</v>
      </c>
      <c r="J1014" t="s">
        <v>4035</v>
      </c>
    </row>
    <row r="1015" spans="1:10" x14ac:dyDescent="0.25">
      <c r="A1015" s="37" t="str">
        <f>C1015&amp;"-"&amp;D1015&amp;"-"&amp;E1015&amp;"-"&amp;F1015&amp;"-"&amp;CATALOGO[[#This Row],[Sub cuenta 3]]</f>
        <v>E-32-03-03-00</v>
      </c>
      <c r="B1015" s="37" t="s">
        <v>948</v>
      </c>
      <c r="C1015" s="37" t="s">
        <v>114</v>
      </c>
      <c r="D1015" s="38" t="s">
        <v>937</v>
      </c>
      <c r="E1015" s="38" t="s">
        <v>22</v>
      </c>
      <c r="F1015" s="38" t="s">
        <v>22</v>
      </c>
      <c r="G1015" s="38" t="s">
        <v>11</v>
      </c>
      <c r="H1015" s="38" t="s">
        <v>15</v>
      </c>
      <c r="I1015" s="157">
        <v>407</v>
      </c>
      <c r="J1015" t="s">
        <v>4035</v>
      </c>
    </row>
    <row r="1016" spans="1:10" x14ac:dyDescent="0.25">
      <c r="A1016" s="37" t="str">
        <f>C1016&amp;"-"&amp;D1016&amp;"-"&amp;E1016&amp;"-"&amp;F1016&amp;"-"&amp;CATALOGO[[#This Row],[Sub cuenta 3]]</f>
        <v>E-32-04-00-00</v>
      </c>
      <c r="B1016" s="37" t="s">
        <v>949</v>
      </c>
      <c r="C1016" s="37" t="s">
        <v>114</v>
      </c>
      <c r="D1016" s="38" t="s">
        <v>937</v>
      </c>
      <c r="E1016" s="38" t="s">
        <v>26</v>
      </c>
      <c r="F1016" s="38" t="s">
        <v>11</v>
      </c>
      <c r="G1016" s="38" t="s">
        <v>11</v>
      </c>
      <c r="H1016" s="38" t="s">
        <v>12</v>
      </c>
      <c r="I1016" s="157">
        <v>407</v>
      </c>
      <c r="J1016" t="s">
        <v>4035</v>
      </c>
    </row>
    <row r="1017" spans="1:10" x14ac:dyDescent="0.25">
      <c r="A1017" s="37" t="str">
        <f>C1017&amp;"-"&amp;D1017&amp;"-"&amp;E1017&amp;"-"&amp;F1017&amp;"-"&amp;CATALOGO[[#This Row],[Sub cuenta 3]]</f>
        <v>E-32-04-01-00</v>
      </c>
      <c r="B1017" s="37" t="s">
        <v>950</v>
      </c>
      <c r="C1017" s="37" t="s">
        <v>114</v>
      </c>
      <c r="D1017" s="38" t="s">
        <v>937</v>
      </c>
      <c r="E1017" s="38" t="s">
        <v>26</v>
      </c>
      <c r="F1017" s="38" t="s">
        <v>10</v>
      </c>
      <c r="G1017" s="38" t="s">
        <v>11</v>
      </c>
      <c r="H1017" s="38" t="s">
        <v>15</v>
      </c>
      <c r="I1017" s="157">
        <v>407</v>
      </c>
      <c r="J1017" t="s">
        <v>4035</v>
      </c>
    </row>
    <row r="1018" spans="1:10" x14ac:dyDescent="0.25">
      <c r="A1018" s="37" t="str">
        <f>C1018&amp;"-"&amp;D1018&amp;"-"&amp;E1018&amp;"-"&amp;F1018&amp;"-"&amp;CATALOGO[[#This Row],[Sub cuenta 3]]</f>
        <v>E-32-05-00-00</v>
      </c>
      <c r="B1018" s="37" t="s">
        <v>951</v>
      </c>
      <c r="C1018" s="37" t="s">
        <v>114</v>
      </c>
      <c r="D1018" s="38" t="s">
        <v>937</v>
      </c>
      <c r="E1018" s="38" t="s">
        <v>62</v>
      </c>
      <c r="F1018" s="38" t="s">
        <v>11</v>
      </c>
      <c r="G1018" s="38" t="s">
        <v>11</v>
      </c>
      <c r="H1018" s="38" t="s">
        <v>12</v>
      </c>
      <c r="I1018" s="157">
        <v>407</v>
      </c>
      <c r="J1018" t="s">
        <v>4035</v>
      </c>
    </row>
    <row r="1019" spans="1:10" x14ac:dyDescent="0.25">
      <c r="A1019" s="37" t="str">
        <f>C1019&amp;"-"&amp;D1019&amp;"-"&amp;E1019&amp;"-"&amp;F1019&amp;"-"&amp;CATALOGO[[#This Row],[Sub cuenta 3]]</f>
        <v>E-32-05-01-00</v>
      </c>
      <c r="B1019" s="37" t="s">
        <v>952</v>
      </c>
      <c r="C1019" s="37" t="s">
        <v>114</v>
      </c>
      <c r="D1019" s="38" t="s">
        <v>937</v>
      </c>
      <c r="E1019" s="38" t="s">
        <v>62</v>
      </c>
      <c r="F1019" s="38" t="s">
        <v>10</v>
      </c>
      <c r="G1019" s="38" t="s">
        <v>11</v>
      </c>
      <c r="H1019" s="38" t="s">
        <v>15</v>
      </c>
      <c r="I1019" s="157">
        <v>407</v>
      </c>
      <c r="J1019" t="s">
        <v>4035</v>
      </c>
    </row>
    <row r="1020" spans="1:10" x14ac:dyDescent="0.25">
      <c r="A1020" s="37" t="str">
        <f>C1020&amp;"-"&amp;D1020&amp;"-"&amp;E1020&amp;"-"&amp;F1020&amp;"-"&amp;CATALOGO[[#This Row],[Sub cuenta 3]]</f>
        <v>E-32-05-02-00</v>
      </c>
      <c r="B1020" s="37" t="s">
        <v>953</v>
      </c>
      <c r="C1020" s="37" t="s">
        <v>114</v>
      </c>
      <c r="D1020" s="38" t="s">
        <v>937</v>
      </c>
      <c r="E1020" s="38" t="s">
        <v>62</v>
      </c>
      <c r="F1020" s="38" t="s">
        <v>17</v>
      </c>
      <c r="G1020" s="38" t="s">
        <v>11</v>
      </c>
      <c r="H1020" s="38" t="s">
        <v>15</v>
      </c>
      <c r="I1020" s="157">
        <v>407</v>
      </c>
      <c r="J1020" t="s">
        <v>4035</v>
      </c>
    </row>
    <row r="1021" spans="1:10" x14ac:dyDescent="0.25">
      <c r="A1021" s="37" t="str">
        <f>C1021&amp;"-"&amp;D1021&amp;"-"&amp;E1021&amp;"-"&amp;F1021&amp;"-"&amp;CATALOGO[[#This Row],[Sub cuenta 3]]</f>
        <v>E-32-05-03-00</v>
      </c>
      <c r="B1021" s="37" t="s">
        <v>954</v>
      </c>
      <c r="C1021" s="37" t="s">
        <v>114</v>
      </c>
      <c r="D1021" s="38" t="s">
        <v>937</v>
      </c>
      <c r="E1021" s="38" t="s">
        <v>62</v>
      </c>
      <c r="F1021" s="38" t="s">
        <v>22</v>
      </c>
      <c r="G1021" s="38" t="s">
        <v>11</v>
      </c>
      <c r="H1021" s="38" t="s">
        <v>15</v>
      </c>
      <c r="I1021" s="157">
        <v>407</v>
      </c>
      <c r="J1021" t="s">
        <v>4035</v>
      </c>
    </row>
    <row r="1022" spans="1:10" x14ac:dyDescent="0.25">
      <c r="A1022" s="37" t="str">
        <f>C1022&amp;"-"&amp;D1022&amp;"-"&amp;E1022&amp;"-"&amp;F1022&amp;"-"&amp;CATALOGO[[#This Row],[Sub cuenta 3]]</f>
        <v>E-32-05-04-00</v>
      </c>
      <c r="B1022" s="37" t="s">
        <v>955</v>
      </c>
      <c r="C1022" s="37" t="s">
        <v>114</v>
      </c>
      <c r="D1022" s="38" t="s">
        <v>937</v>
      </c>
      <c r="E1022" s="38" t="s">
        <v>62</v>
      </c>
      <c r="F1022" s="38" t="s">
        <v>26</v>
      </c>
      <c r="G1022" s="38" t="s">
        <v>11</v>
      </c>
      <c r="H1022" s="38" t="s">
        <v>15</v>
      </c>
      <c r="I1022" s="157">
        <v>407</v>
      </c>
      <c r="J1022" t="s">
        <v>4035</v>
      </c>
    </row>
    <row r="1023" spans="1:10" x14ac:dyDescent="0.25">
      <c r="A1023" s="37" t="str">
        <f>C1023&amp;"-"&amp;D1023&amp;"-"&amp;E1023&amp;"-"&amp;F1023&amp;"-"&amp;CATALOGO[[#This Row],[Sub cuenta 3]]</f>
        <v>E-32-05-05-00</v>
      </c>
      <c r="B1023" s="37" t="s">
        <v>956</v>
      </c>
      <c r="C1023" s="37" t="s">
        <v>114</v>
      </c>
      <c r="D1023" s="38" t="s">
        <v>937</v>
      </c>
      <c r="E1023" s="38" t="s">
        <v>62</v>
      </c>
      <c r="F1023" s="38" t="s">
        <v>62</v>
      </c>
      <c r="G1023" s="38" t="s">
        <v>11</v>
      </c>
      <c r="H1023" s="38" t="s">
        <v>15</v>
      </c>
      <c r="I1023" s="157">
        <v>407</v>
      </c>
      <c r="J1023" t="s">
        <v>4035</v>
      </c>
    </row>
    <row r="1024" spans="1:10" x14ac:dyDescent="0.25">
      <c r="A1024" s="37" t="str">
        <f>C1024&amp;"-"&amp;D1024&amp;"-"&amp;E1024&amp;"-"&amp;F1024&amp;"-"&amp;CATALOGO[[#This Row],[Sub cuenta 3]]</f>
        <v>E-32-05-06-00</v>
      </c>
      <c r="B1024" s="37" t="s">
        <v>957</v>
      </c>
      <c r="C1024" s="37" t="s">
        <v>114</v>
      </c>
      <c r="D1024" s="38" t="s">
        <v>937</v>
      </c>
      <c r="E1024" s="38" t="s">
        <v>62</v>
      </c>
      <c r="F1024" s="38" t="s">
        <v>73</v>
      </c>
      <c r="G1024" s="38" t="s">
        <v>11</v>
      </c>
      <c r="H1024" s="38" t="s">
        <v>15</v>
      </c>
      <c r="I1024" s="157">
        <v>407</v>
      </c>
      <c r="J1024" t="s">
        <v>4035</v>
      </c>
    </row>
    <row r="1025" spans="1:10" x14ac:dyDescent="0.25">
      <c r="A1025" s="37" t="str">
        <f>C1025&amp;"-"&amp;D1025&amp;"-"&amp;E1025&amp;"-"&amp;F1025&amp;"-"&amp;CATALOGO[[#This Row],[Sub cuenta 3]]</f>
        <v>E-32-05-07-00</v>
      </c>
      <c r="B1025" s="37" t="s">
        <v>958</v>
      </c>
      <c r="C1025" s="37" t="s">
        <v>114</v>
      </c>
      <c r="D1025" s="38" t="s">
        <v>937</v>
      </c>
      <c r="E1025" s="38" t="s">
        <v>62</v>
      </c>
      <c r="F1025" s="38" t="s">
        <v>75</v>
      </c>
      <c r="G1025" s="38" t="s">
        <v>11</v>
      </c>
      <c r="H1025" s="38" t="s">
        <v>15</v>
      </c>
      <c r="I1025" s="157">
        <v>407</v>
      </c>
      <c r="J1025" t="s">
        <v>4035</v>
      </c>
    </row>
    <row r="1026" spans="1:10" x14ac:dyDescent="0.25">
      <c r="A1026" s="37" t="str">
        <f>C1026&amp;"-"&amp;D1026&amp;"-"&amp;E1026&amp;"-"&amp;F1026&amp;"-"&amp;CATALOGO[[#This Row],[Sub cuenta 3]]</f>
        <v>E-32-06-00-00</v>
      </c>
      <c r="B1026" s="37" t="s">
        <v>959</v>
      </c>
      <c r="C1026" s="37" t="s">
        <v>114</v>
      </c>
      <c r="D1026" s="38" t="s">
        <v>937</v>
      </c>
      <c r="E1026" s="38" t="s">
        <v>73</v>
      </c>
      <c r="F1026" s="38" t="s">
        <v>11</v>
      </c>
      <c r="G1026" s="38" t="s">
        <v>11</v>
      </c>
      <c r="H1026" s="38" t="s">
        <v>12</v>
      </c>
      <c r="I1026" s="157">
        <v>407</v>
      </c>
      <c r="J1026" t="s">
        <v>4035</v>
      </c>
    </row>
    <row r="1027" spans="1:10" x14ac:dyDescent="0.25">
      <c r="A1027" s="37" t="str">
        <f>C1027&amp;"-"&amp;D1027&amp;"-"&amp;E1027&amp;"-"&amp;F1027&amp;"-"&amp;CATALOGO[[#This Row],[Sub cuenta 3]]</f>
        <v>E-32-06-01-00</v>
      </c>
      <c r="B1027" s="37" t="s">
        <v>960</v>
      </c>
      <c r="C1027" s="37" t="s">
        <v>114</v>
      </c>
      <c r="D1027" s="38" t="s">
        <v>937</v>
      </c>
      <c r="E1027" s="38" t="s">
        <v>73</v>
      </c>
      <c r="F1027" s="38" t="s">
        <v>10</v>
      </c>
      <c r="G1027" s="38" t="s">
        <v>11</v>
      </c>
      <c r="H1027" s="38" t="s">
        <v>15</v>
      </c>
      <c r="I1027" s="157">
        <v>407</v>
      </c>
      <c r="J1027" t="s">
        <v>4035</v>
      </c>
    </row>
    <row r="1028" spans="1:10" x14ac:dyDescent="0.25">
      <c r="A1028" s="37" t="str">
        <f>C1028&amp;"-"&amp;D1028&amp;"-"&amp;E1028&amp;"-"&amp;F1028&amp;"-"&amp;CATALOGO[[#This Row],[Sub cuenta 3]]</f>
        <v>E-32-06-02-00</v>
      </c>
      <c r="B1028" s="37" t="s">
        <v>961</v>
      </c>
      <c r="C1028" s="37" t="s">
        <v>114</v>
      </c>
      <c r="D1028" s="38" t="s">
        <v>937</v>
      </c>
      <c r="E1028" s="38" t="s">
        <v>73</v>
      </c>
      <c r="F1028" s="38" t="s">
        <v>17</v>
      </c>
      <c r="G1028" s="38" t="s">
        <v>11</v>
      </c>
      <c r="H1028" s="38" t="s">
        <v>15</v>
      </c>
      <c r="I1028" s="157">
        <v>407</v>
      </c>
      <c r="J1028" t="s">
        <v>4035</v>
      </c>
    </row>
    <row r="1029" spans="1:10" x14ac:dyDescent="0.25">
      <c r="A1029" s="37" t="str">
        <f>C1029&amp;"-"&amp;D1029&amp;"-"&amp;E1029&amp;"-"&amp;F1029&amp;"-"&amp;CATALOGO[[#This Row],[Sub cuenta 3]]</f>
        <v>E-32-06-03-00</v>
      </c>
      <c r="B1029" s="37" t="s">
        <v>962</v>
      </c>
      <c r="C1029" s="37" t="s">
        <v>114</v>
      </c>
      <c r="D1029" s="38" t="s">
        <v>937</v>
      </c>
      <c r="E1029" s="38" t="s">
        <v>73</v>
      </c>
      <c r="F1029" s="38" t="s">
        <v>22</v>
      </c>
      <c r="G1029" s="38" t="s">
        <v>11</v>
      </c>
      <c r="H1029" s="38" t="s">
        <v>15</v>
      </c>
      <c r="I1029" s="157">
        <v>407</v>
      </c>
      <c r="J1029" t="s">
        <v>4035</v>
      </c>
    </row>
    <row r="1030" spans="1:10" x14ac:dyDescent="0.25">
      <c r="A1030" s="37" t="str">
        <f>C1030&amp;"-"&amp;D1030&amp;"-"&amp;E1030&amp;"-"&amp;F1030&amp;"-"&amp;CATALOGO[[#This Row],[Sub cuenta 3]]</f>
        <v>E-32-06-04-00</v>
      </c>
      <c r="B1030" s="37" t="s">
        <v>963</v>
      </c>
      <c r="C1030" s="37" t="s">
        <v>114</v>
      </c>
      <c r="D1030" s="38" t="s">
        <v>937</v>
      </c>
      <c r="E1030" s="38" t="s">
        <v>73</v>
      </c>
      <c r="F1030" s="38" t="s">
        <v>26</v>
      </c>
      <c r="G1030" s="38" t="s">
        <v>11</v>
      </c>
      <c r="H1030" s="38" t="s">
        <v>15</v>
      </c>
      <c r="I1030" s="157">
        <v>407</v>
      </c>
      <c r="J1030" t="s">
        <v>4035</v>
      </c>
    </row>
    <row r="1031" spans="1:10" x14ac:dyDescent="0.25">
      <c r="A1031" s="37" t="str">
        <f>C1031&amp;"-"&amp;D1031&amp;"-"&amp;E1031&amp;"-"&amp;F1031&amp;"-"&amp;CATALOGO[[#This Row],[Sub cuenta 3]]</f>
        <v>E-32-06-05-00</v>
      </c>
      <c r="B1031" s="37" t="s">
        <v>964</v>
      </c>
      <c r="C1031" s="37" t="s">
        <v>114</v>
      </c>
      <c r="D1031" s="38" t="s">
        <v>937</v>
      </c>
      <c r="E1031" s="38" t="s">
        <v>73</v>
      </c>
      <c r="F1031" s="38" t="s">
        <v>62</v>
      </c>
      <c r="G1031" s="38" t="s">
        <v>11</v>
      </c>
      <c r="H1031" s="38" t="s">
        <v>15</v>
      </c>
      <c r="I1031" s="157">
        <v>407</v>
      </c>
      <c r="J1031" t="s">
        <v>4035</v>
      </c>
    </row>
    <row r="1032" spans="1:10" x14ac:dyDescent="0.25">
      <c r="A1032" s="37" t="str">
        <f>C1032&amp;"-"&amp;D1032&amp;"-"&amp;E1032&amp;"-"&amp;F1032&amp;"-"&amp;CATALOGO[[#This Row],[Sub cuenta 3]]</f>
        <v>E-32-06-06-00</v>
      </c>
      <c r="B1032" s="37" t="s">
        <v>965</v>
      </c>
      <c r="C1032" s="37" t="s">
        <v>114</v>
      </c>
      <c r="D1032" s="38" t="s">
        <v>937</v>
      </c>
      <c r="E1032" s="38" t="s">
        <v>73</v>
      </c>
      <c r="F1032" s="38" t="s">
        <v>73</v>
      </c>
      <c r="G1032" s="38" t="s">
        <v>11</v>
      </c>
      <c r="H1032" s="38" t="s">
        <v>15</v>
      </c>
      <c r="I1032" s="157">
        <v>407</v>
      </c>
      <c r="J1032" t="s">
        <v>4035</v>
      </c>
    </row>
    <row r="1033" spans="1:10" x14ac:dyDescent="0.25">
      <c r="A1033" s="37" t="str">
        <f>C1033&amp;"-"&amp;D1033&amp;"-"&amp;E1033&amp;"-"&amp;F1033&amp;"-"&amp;CATALOGO[[#This Row],[Sub cuenta 3]]</f>
        <v>E-32-06-07-00</v>
      </c>
      <c r="B1033" s="37" t="s">
        <v>966</v>
      </c>
      <c r="C1033" s="37" t="s">
        <v>114</v>
      </c>
      <c r="D1033" s="38" t="s">
        <v>937</v>
      </c>
      <c r="E1033" s="38" t="s">
        <v>73</v>
      </c>
      <c r="F1033" s="38" t="s">
        <v>75</v>
      </c>
      <c r="G1033" s="38" t="s">
        <v>11</v>
      </c>
      <c r="H1033" s="38" t="s">
        <v>15</v>
      </c>
      <c r="I1033" s="157">
        <v>407</v>
      </c>
      <c r="J1033" t="s">
        <v>4035</v>
      </c>
    </row>
    <row r="1034" spans="1:10" x14ac:dyDescent="0.25">
      <c r="A1034" s="37" t="str">
        <f>C1034&amp;"-"&amp;D1034&amp;"-"&amp;E1034&amp;"-"&amp;F1034&amp;"-"&amp;CATALOGO[[#This Row],[Sub cuenta 3]]</f>
        <v>E-32-06-08-00</v>
      </c>
      <c r="B1034" s="37" t="s">
        <v>967</v>
      </c>
      <c r="C1034" s="37" t="s">
        <v>114</v>
      </c>
      <c r="D1034" s="38" t="s">
        <v>937</v>
      </c>
      <c r="E1034" s="38" t="s">
        <v>73</v>
      </c>
      <c r="F1034" s="38" t="s">
        <v>77</v>
      </c>
      <c r="G1034" s="38" t="s">
        <v>11</v>
      </c>
      <c r="H1034" s="38" t="s">
        <v>15</v>
      </c>
      <c r="I1034" s="157">
        <v>407</v>
      </c>
      <c r="J1034" t="s">
        <v>4035</v>
      </c>
    </row>
    <row r="1035" spans="1:10" x14ac:dyDescent="0.25">
      <c r="A1035" s="37" t="str">
        <f>C1035&amp;"-"&amp;D1035&amp;"-"&amp;E1035&amp;"-"&amp;F1035&amp;"-"&amp;CATALOGO[[#This Row],[Sub cuenta 3]]</f>
        <v>E-33-00-00-00</v>
      </c>
      <c r="B1035" s="37" t="s">
        <v>968</v>
      </c>
      <c r="C1035" s="37" t="s">
        <v>114</v>
      </c>
      <c r="D1035" s="38" t="s">
        <v>969</v>
      </c>
      <c r="E1035" s="38" t="s">
        <v>11</v>
      </c>
      <c r="F1035" s="38" t="s">
        <v>11</v>
      </c>
      <c r="G1035" s="36" t="s">
        <v>11</v>
      </c>
      <c r="H1035" s="38" t="s">
        <v>12</v>
      </c>
      <c r="I1035" s="157">
        <v>407</v>
      </c>
      <c r="J1035" t="s">
        <v>4035</v>
      </c>
    </row>
    <row r="1036" spans="1:10" x14ac:dyDescent="0.25">
      <c r="A1036" s="37" t="str">
        <f>C1036&amp;"-"&amp;D1036&amp;"-"&amp;E1036&amp;"-"&amp;F1036&amp;"-"&amp;CATALOGO[[#This Row],[Sub cuenta 3]]</f>
        <v>E-33-01-00-00</v>
      </c>
      <c r="B1036" s="37" t="s">
        <v>968</v>
      </c>
      <c r="C1036" s="37" t="s">
        <v>114</v>
      </c>
      <c r="D1036" s="38" t="s">
        <v>969</v>
      </c>
      <c r="E1036" s="38" t="s">
        <v>10</v>
      </c>
      <c r="F1036" s="38" t="s">
        <v>11</v>
      </c>
      <c r="G1036" s="36" t="s">
        <v>11</v>
      </c>
      <c r="H1036" s="38" t="s">
        <v>12</v>
      </c>
      <c r="I1036" s="157">
        <v>407</v>
      </c>
      <c r="J1036" t="s">
        <v>4035</v>
      </c>
    </row>
    <row r="1037" spans="1:10" x14ac:dyDescent="0.25">
      <c r="A1037" s="37" t="str">
        <f>C1037&amp;"-"&amp;D1037&amp;"-"&amp;E1037&amp;"-"&amp;F1037&amp;"-"&amp;CATALOGO[[#This Row],[Sub cuenta 3]]</f>
        <v>E-33-01-01-00</v>
      </c>
      <c r="B1037" s="37" t="s">
        <v>970</v>
      </c>
      <c r="C1037" s="37" t="s">
        <v>114</v>
      </c>
      <c r="D1037" s="38" t="s">
        <v>969</v>
      </c>
      <c r="E1037" s="38" t="s">
        <v>10</v>
      </c>
      <c r="F1037" s="38" t="s">
        <v>10</v>
      </c>
      <c r="G1037" s="36" t="s">
        <v>11</v>
      </c>
      <c r="H1037" s="38" t="s">
        <v>15</v>
      </c>
      <c r="I1037" s="157">
        <v>407</v>
      </c>
      <c r="J1037" t="s">
        <v>4035</v>
      </c>
    </row>
    <row r="1038" spans="1:10" x14ac:dyDescent="0.25">
      <c r="A1038" s="37" t="str">
        <f>C1038&amp;"-"&amp;D1038&amp;"-"&amp;E1038&amp;"-"&amp;F1038&amp;"-"&amp;CATALOGO[[#This Row],[Sub cuenta 3]]</f>
        <v>E-33-02-00-00</v>
      </c>
      <c r="B1038" s="37" t="s">
        <v>971</v>
      </c>
      <c r="C1038" s="37" t="s">
        <v>114</v>
      </c>
      <c r="D1038" s="38" t="s">
        <v>969</v>
      </c>
      <c r="E1038" s="38" t="s">
        <v>17</v>
      </c>
      <c r="F1038" s="38" t="s">
        <v>11</v>
      </c>
      <c r="G1038" s="36" t="s">
        <v>11</v>
      </c>
      <c r="H1038" s="38" t="s">
        <v>12</v>
      </c>
      <c r="I1038" s="157">
        <v>407</v>
      </c>
      <c r="J1038" t="s">
        <v>4035</v>
      </c>
    </row>
    <row r="1039" spans="1:10" x14ac:dyDescent="0.25">
      <c r="A1039" s="37" t="str">
        <f>C1039&amp;"-"&amp;D1039&amp;"-"&amp;E1039&amp;"-"&amp;F1039&amp;"-"&amp;CATALOGO[[#This Row],[Sub cuenta 3]]</f>
        <v>E-33-02-01-00</v>
      </c>
      <c r="B1039" s="37" t="s">
        <v>972</v>
      </c>
      <c r="C1039" s="37" t="s">
        <v>114</v>
      </c>
      <c r="D1039" s="38" t="s">
        <v>969</v>
      </c>
      <c r="E1039" s="38" t="s">
        <v>17</v>
      </c>
      <c r="F1039" s="38" t="s">
        <v>10</v>
      </c>
      <c r="G1039" s="36" t="s">
        <v>11</v>
      </c>
      <c r="H1039" s="38" t="s">
        <v>15</v>
      </c>
      <c r="I1039" s="157">
        <v>407</v>
      </c>
      <c r="J1039" t="s">
        <v>4035</v>
      </c>
    </row>
    <row r="1040" spans="1:10" x14ac:dyDescent="0.25">
      <c r="A1040" s="135" t="str">
        <f>C1040&amp;"-"&amp;D1040&amp;"-"&amp;E1040&amp;"-"&amp;F1040&amp;"-"&amp;CATALOGO[[#This Row],[Sub cuenta 3]]</f>
        <v>A-34-00-00-00</v>
      </c>
      <c r="B1040" s="135" t="s">
        <v>973</v>
      </c>
      <c r="C1040" s="135" t="s">
        <v>974</v>
      </c>
      <c r="D1040" s="157" t="s">
        <v>975</v>
      </c>
      <c r="E1040" s="157" t="s">
        <v>11</v>
      </c>
      <c r="F1040" s="157" t="s">
        <v>11</v>
      </c>
      <c r="G1040" s="157" t="s">
        <v>11</v>
      </c>
      <c r="H1040" s="157" t="s">
        <v>12</v>
      </c>
      <c r="I1040" s="157">
        <v>407</v>
      </c>
      <c r="J1040" t="s">
        <v>4035</v>
      </c>
    </row>
    <row r="1041" spans="1:10" x14ac:dyDescent="0.25">
      <c r="A1041" s="135" t="str">
        <f>C1041&amp;"-"&amp;D1041&amp;"-"&amp;E1041&amp;"-"&amp;F1041&amp;"-"&amp;CATALOGO[[#This Row],[Sub cuenta 3]]</f>
        <v>A-34-01-00-00</v>
      </c>
      <c r="B1041" s="135" t="s">
        <v>976</v>
      </c>
      <c r="C1041" s="135" t="s">
        <v>974</v>
      </c>
      <c r="D1041" s="157" t="s">
        <v>975</v>
      </c>
      <c r="E1041" s="157" t="s">
        <v>10</v>
      </c>
      <c r="F1041" s="157" t="s">
        <v>11</v>
      </c>
      <c r="G1041" s="157" t="s">
        <v>11</v>
      </c>
      <c r="H1041" s="38" t="s">
        <v>15</v>
      </c>
      <c r="I1041" s="157">
        <v>407</v>
      </c>
      <c r="J1041" t="s">
        <v>4035</v>
      </c>
    </row>
  </sheetData>
  <phoneticPr fontId="29" type="noConversion"/>
  <conditionalFormatting sqref="A308">
    <cfRule type="duplicateValues" dxfId="92" priority="18"/>
  </conditionalFormatting>
  <conditionalFormatting sqref="A336">
    <cfRule type="duplicateValues" dxfId="91" priority="3"/>
    <cfRule type="duplicateValues" dxfId="90" priority="4"/>
  </conditionalFormatting>
  <conditionalFormatting sqref="A337:A1048576 A1:A335">
    <cfRule type="duplicateValues" dxfId="89" priority="7"/>
  </conditionalFormatting>
  <conditionalFormatting sqref="A386">
    <cfRule type="duplicateValues" dxfId="88" priority="17"/>
  </conditionalFormatting>
  <conditionalFormatting sqref="A421">
    <cfRule type="duplicateValues" dxfId="87" priority="16"/>
  </conditionalFormatting>
  <conditionalFormatting sqref="A467:A470">
    <cfRule type="duplicateValues" dxfId="86" priority="15"/>
  </conditionalFormatting>
  <conditionalFormatting sqref="A476">
    <cfRule type="duplicateValues" dxfId="85" priority="14"/>
  </conditionalFormatting>
  <conditionalFormatting sqref="A715:A762">
    <cfRule type="duplicateValues" dxfId="84" priority="103"/>
  </conditionalFormatting>
  <conditionalFormatting sqref="A763:A837 A309:A335 A387:A420 A422:A466 A471:A475 A477:A714 A839:A847 A1:A307 A337:A385 A852:A1048576">
    <cfRule type="duplicateValues" dxfId="83" priority="45"/>
  </conditionalFormatting>
  <conditionalFormatting sqref="A838">
    <cfRule type="duplicateValues" dxfId="82" priority="10"/>
  </conditionalFormatting>
  <conditionalFormatting sqref="A848:A851">
    <cfRule type="duplicateValues" dxfId="81" priority="11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T1689"/>
  <sheetViews>
    <sheetView tabSelected="1" zoomScale="85" zoomScaleNormal="85" workbookViewId="0">
      <pane ySplit="1" topLeftCell="A613" activePane="bottomLeft" state="frozen"/>
      <selection pane="bottomLeft" activeCell="D635" sqref="D635:N635"/>
    </sheetView>
  </sheetViews>
  <sheetFormatPr baseColWidth="10" defaultColWidth="11.42578125" defaultRowHeight="15" x14ac:dyDescent="0.25"/>
  <cols>
    <col min="1" max="1" width="10.28515625" style="6" customWidth="1"/>
    <col min="2" max="2" width="13.28515625" customWidth="1"/>
    <col min="3" max="3" width="29.140625" style="17" customWidth="1"/>
    <col min="4" max="4" width="18.7109375" style="65" customWidth="1"/>
    <col min="5" max="5" width="12.85546875" style="64" customWidth="1"/>
    <col min="6" max="6" width="15.28515625" customWidth="1"/>
    <col min="7" max="7" width="5.5703125" style="161" customWidth="1"/>
    <col min="8" max="8" width="8.85546875" style="161" customWidth="1"/>
    <col min="9" max="9" width="31.42578125" style="161" customWidth="1"/>
    <col min="10" max="10" width="44.42578125" style="161" customWidth="1"/>
    <col min="11" max="11" width="21.140625" style="161" customWidth="1"/>
    <col min="12" max="12" width="21.85546875" style="162" bestFit="1" customWidth="1"/>
    <col min="13" max="13" width="21.5703125" bestFit="1" customWidth="1"/>
    <col min="14" max="14" width="19.85546875" bestFit="1" customWidth="1"/>
    <col min="15" max="15" width="16" bestFit="1" customWidth="1"/>
    <col min="16" max="16" width="19.85546875" style="161" bestFit="1" customWidth="1"/>
    <col min="18" max="18" width="11.85546875" bestFit="1" customWidth="1"/>
    <col min="19" max="19" width="19.85546875" customWidth="1"/>
    <col min="20" max="20" width="20.85546875" style="161" customWidth="1"/>
  </cols>
  <sheetData>
    <row r="1" spans="1:20" ht="30" x14ac:dyDescent="0.25">
      <c r="A1" s="6" t="s">
        <v>977</v>
      </c>
      <c r="B1" t="s">
        <v>978</v>
      </c>
      <c r="C1" s="17" t="s">
        <v>979</v>
      </c>
      <c r="D1" s="17" t="s">
        <v>980</v>
      </c>
      <c r="E1" t="s">
        <v>981</v>
      </c>
      <c r="F1" t="s">
        <v>982</v>
      </c>
      <c r="G1" s="161" t="s">
        <v>983</v>
      </c>
      <c r="H1" s="161" t="s">
        <v>984</v>
      </c>
      <c r="I1" s="161" t="s">
        <v>985</v>
      </c>
      <c r="J1" s="161" t="s">
        <v>986</v>
      </c>
      <c r="K1" s="161" t="s">
        <v>987</v>
      </c>
      <c r="L1" s="162" t="s">
        <v>988</v>
      </c>
      <c r="M1" t="s">
        <v>989</v>
      </c>
      <c r="N1" t="s">
        <v>990</v>
      </c>
      <c r="O1" t="s">
        <v>991</v>
      </c>
      <c r="P1" s="161" t="s">
        <v>992</v>
      </c>
      <c r="Q1" t="s">
        <v>993</v>
      </c>
      <c r="R1" t="s">
        <v>994</v>
      </c>
      <c r="S1" t="s">
        <v>995</v>
      </c>
      <c r="T1" s="161" t="s">
        <v>996</v>
      </c>
    </row>
    <row r="2" spans="1:20" ht="45" x14ac:dyDescent="0.25">
      <c r="A2" s="6">
        <v>1</v>
      </c>
      <c r="B2" s="62">
        <v>45292</v>
      </c>
      <c r="C2" s="17" t="s">
        <v>997</v>
      </c>
      <c r="D2" s="17" t="s">
        <v>998</v>
      </c>
      <c r="E2" s="17"/>
      <c r="F2" t="s">
        <v>999</v>
      </c>
      <c r="G2" s="161">
        <f>MONTH(EJECUTADO[[#This Row],[FECHA]])</f>
        <v>1</v>
      </c>
      <c r="H2" s="163" t="str">
        <f>MID(EJECUTADO[[#This Row],[CUENTA]],1,4)</f>
        <v>E-01</v>
      </c>
      <c r="I2" s="163" t="str">
        <f>INDEX(CATALOGO[Descripción],MATCH(EJECUTADO[[#This Row],[APLICACIÓN]]&amp;"-00-00-00",CATALOGO[Código],0))</f>
        <v>SERVICIOS PROFESIONALES</v>
      </c>
      <c r="J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Luis Federico Hernandez cuota 6 y 7/7 $ 2800.00 x 2</v>
      </c>
      <c r="K2" s="161" t="str">
        <f>IF((EJECUTADO[[#This Row],[MONTO DISPONIBLE ]]-EJECUTADO[[#This Row],[MONTO SOLICITADO]])&gt;=0,"PRESUPUESTO: SI","PRESUPUESTO: NO")</f>
        <v>PRESUPUESTO: SI</v>
      </c>
      <c r="L2" s="162">
        <f>SUMIF(PRESUPUESTO[CUENTA],EJECUTADO[[#This Row],[CUENTA]],PRESUPUESTO[MONTO])-SUMIF($F$1:F1,EJECUTADO[[#This Row],[CUENTA]],$M$1:M1)</f>
        <v>5600</v>
      </c>
      <c r="M2" s="2">
        <v>2800</v>
      </c>
      <c r="N2" s="2"/>
      <c r="O2" s="2"/>
      <c r="P2" s="162">
        <f>+EJECUTADO[[#This Row],[MONTO SOLICITADO]]-EJECUTADO[[#This Row],[RETENCION IVA]]-EJECUTADO[[#This Row],[RETENCION ISR]]</f>
        <v>2800</v>
      </c>
      <c r="Q2" s="84" t="s">
        <v>1000</v>
      </c>
      <c r="R2" s="2"/>
      <c r="S2">
        <v>1</v>
      </c>
      <c r="T2" s="168" t="str">
        <f t="shared" ref="T2:T65" si="0">_xlfn.CONCAT(I2," - ",J2," Disponible $",L2," Solicitado $",M2," ",K2,)</f>
        <v>SERVICIOS PROFESIONALES - Luis Federico Hernandez cuota 6 y 7/7 $ 2800.00 x 2 Disponible $5600 Solicitado $2800 PRESUPUESTO: SI</v>
      </c>
    </row>
    <row r="3" spans="1:20" ht="45" x14ac:dyDescent="0.25">
      <c r="A3" s="6">
        <f>+A2+1</f>
        <v>2</v>
      </c>
      <c r="B3" s="62">
        <v>45292</v>
      </c>
      <c r="C3" s="17" t="s">
        <v>1001</v>
      </c>
      <c r="D3" s="17" t="s">
        <v>1002</v>
      </c>
      <c r="E3" s="17"/>
      <c r="F3" t="s">
        <v>1003</v>
      </c>
      <c r="G3" s="161">
        <f>MONTH(EJECUTADO[[#This Row],[FECHA]])</f>
        <v>1</v>
      </c>
      <c r="H3" s="163" t="str">
        <f>MID(EJECUTADO[[#This Row],[CUENTA]],1,4)</f>
        <v>E-13</v>
      </c>
      <c r="I3" s="163" t="str">
        <f>INDEX(CATALOGO[Descripción],MATCH(EJECUTADO[[#This Row],[APLICACIÓN]]&amp;"-00-00-00",CATALOGO[Código],0))</f>
        <v>MAESTRIAS Y POSTGRADOS</v>
      </c>
      <c r="J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3" s="161" t="str">
        <f>IF((EJECUTADO[[#This Row],[MONTO DISPONIBLE ]]-EJECUTADO[[#This Row],[MONTO SOLICITADO]])&gt;=0,"PRESUPUESTO: SI","PRESUPUESTO: NO")</f>
        <v>PRESUPUESTO: SI</v>
      </c>
      <c r="L3" s="162">
        <f>SUMIF(PRESUPUESTO[CUENTA],EJECUTADO[[#This Row],[CUENTA]],PRESUPUESTO[MONTO])-SUMIF($F$1:F2,EJECUTADO[[#This Row],[CUENTA]],$M$1:M2)</f>
        <v>2700</v>
      </c>
      <c r="M3" s="2">
        <v>130.4</v>
      </c>
      <c r="N3" s="2"/>
      <c r="O3" s="2"/>
      <c r="P3" s="162">
        <f>+EJECUTADO[[#This Row],[MONTO SOLICITADO]]-EJECUTADO[[#This Row],[RETENCION IVA]]-EJECUTADO[[#This Row],[RETENCION ISR]]</f>
        <v>130.4</v>
      </c>
      <c r="Q3" s="84" t="s">
        <v>1000</v>
      </c>
      <c r="R3" s="2"/>
      <c r="S3">
        <v>1</v>
      </c>
      <c r="T3" s="168" t="str">
        <f t="shared" si="0"/>
        <v>MAESTRIAS Y POSTGRADOS - MANTENIMIENTO ASENSORES  Disponible $2700 Solicitado $130.4 PRESUPUESTO: SI</v>
      </c>
    </row>
    <row r="4" spans="1:20" ht="30" x14ac:dyDescent="0.25">
      <c r="A4" s="6">
        <f t="shared" ref="A4:A67" si="1">+A3+1</f>
        <v>3</v>
      </c>
      <c r="B4" s="62">
        <v>45292</v>
      </c>
      <c r="C4" s="17" t="s">
        <v>1004</v>
      </c>
      <c r="D4" s="17" t="s">
        <v>1005</v>
      </c>
      <c r="E4" s="17"/>
      <c r="F4" t="s">
        <v>1006</v>
      </c>
      <c r="G4" s="161">
        <f>MONTH(EJECUTADO[[#This Row],[FECHA]])</f>
        <v>1</v>
      </c>
      <c r="H4" s="163" t="str">
        <f>MID(EJECUTADO[[#This Row],[CUENTA]],1,4)</f>
        <v>E-08</v>
      </c>
      <c r="I4" s="163" t="str">
        <f>INDEX(CATALOGO[Descripción],MATCH(EJECUTADO[[#This Row],[APLICACIÓN]]&amp;"-00-00-00",CATALOGO[Código],0))</f>
        <v>INVERSIONES Y PROYECTOS ESPECIALES</v>
      </c>
      <c r="J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UNIDADES ACADEMICAS</v>
      </c>
      <c r="K4" s="161" t="str">
        <f>IF((EJECUTADO[[#This Row],[MONTO DISPONIBLE ]]-EJECUTADO[[#This Row],[MONTO SOLICITADO]])&gt;=0,"PRESUPUESTO: SI","PRESUPUESTO: NO")</f>
        <v>PRESUPUESTO: SI</v>
      </c>
      <c r="L4" s="162">
        <f>SUMIF(PRESUPUESTO[CUENTA],EJECUTADO[[#This Row],[CUENTA]],PRESUPUESTO[MONTO])-SUMIF($F$1:F3,EJECUTADO[[#This Row],[CUENTA]],$M$1:M3)</f>
        <v>5000</v>
      </c>
      <c r="M4" s="2">
        <v>506.85</v>
      </c>
      <c r="N4" s="2"/>
      <c r="O4" s="2"/>
      <c r="P4" s="162">
        <f>+EJECUTADO[[#This Row],[MONTO SOLICITADO]]-EJECUTADO[[#This Row],[RETENCION IVA]]-EJECUTADO[[#This Row],[RETENCION ISR]]</f>
        <v>506.85</v>
      </c>
      <c r="Q4" s="84" t="s">
        <v>1000</v>
      </c>
      <c r="R4" s="2"/>
      <c r="S4">
        <v>1</v>
      </c>
      <c r="T4" s="168" t="str">
        <f t="shared" si="0"/>
        <v>INVERSIONES Y PROYECTOS ESPECIALES - OTRAS UNIDADES ACADEMICAS Disponible $5000 Solicitado $506.85 PRESUPUESTO: SI</v>
      </c>
    </row>
    <row r="5" spans="1:20" ht="45" x14ac:dyDescent="0.25">
      <c r="A5" s="6">
        <f t="shared" si="1"/>
        <v>4</v>
      </c>
      <c r="B5" s="62">
        <v>45292</v>
      </c>
      <c r="C5" s="17" t="s">
        <v>1004</v>
      </c>
      <c r="D5" s="17" t="s">
        <v>1007</v>
      </c>
      <c r="E5" s="17"/>
      <c r="F5" t="s">
        <v>1008</v>
      </c>
      <c r="G5" s="161">
        <f>MONTH(EJECUTADO[[#This Row],[FECHA]])</f>
        <v>1</v>
      </c>
      <c r="H5" s="163" t="str">
        <f>MID(EJECUTADO[[#This Row],[CUENTA]],1,4)</f>
        <v>E-19</v>
      </c>
      <c r="I5" s="163" t="str">
        <f>INDEX(CATALOGO[Descripción],MATCH(EJECUTADO[[#This Row],[APLICACIÓN]]&amp;"-00-00-00",CATALOGO[Código],0))</f>
        <v>MANTENIMIENTO</v>
      </c>
      <c r="J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5" s="161" t="str">
        <f>IF((EJECUTADO[[#This Row],[MONTO DISPONIBLE ]]-EJECUTADO[[#This Row],[MONTO SOLICITADO]])&gt;=0,"PRESUPUESTO: SI","PRESUPUESTO: NO")</f>
        <v>PRESUPUESTO: SI</v>
      </c>
      <c r="L5" s="162">
        <f>SUMIF(PRESUPUESTO[CUENTA],EJECUTADO[[#This Row],[CUENTA]],PRESUPUESTO[MONTO])-SUMIF($F$1:F4,EJECUTADO[[#This Row],[CUENTA]],$M$1:M4)</f>
        <v>10000</v>
      </c>
      <c r="M5" s="2">
        <v>55.27</v>
      </c>
      <c r="N5" s="2"/>
      <c r="O5" s="2"/>
      <c r="P5" s="162">
        <f>+EJECUTADO[[#This Row],[MONTO SOLICITADO]]-EJECUTADO[[#This Row],[RETENCION IVA]]-EJECUTADO[[#This Row],[RETENCION ISR]]</f>
        <v>55.27</v>
      </c>
      <c r="Q5" s="84" t="s">
        <v>1000</v>
      </c>
      <c r="R5" s="2"/>
      <c r="S5">
        <v>1</v>
      </c>
      <c r="T5" s="168" t="str">
        <f t="shared" si="0"/>
        <v>MANTENIMIENTO - Dir. Mantenimiento - Manto. Oficinas, Mobiliario y equipos Disponible $10000 Solicitado $55.27 PRESUPUESTO: SI</v>
      </c>
    </row>
    <row r="6" spans="1:20" ht="30" x14ac:dyDescent="0.25">
      <c r="A6" s="6">
        <f t="shared" si="1"/>
        <v>5</v>
      </c>
      <c r="B6" s="62">
        <v>45292</v>
      </c>
      <c r="C6" s="17" t="s">
        <v>1009</v>
      </c>
      <c r="D6" s="17" t="s">
        <v>1010</v>
      </c>
      <c r="E6" s="17"/>
      <c r="F6" t="s">
        <v>1011</v>
      </c>
      <c r="G6" s="161">
        <f>MONTH(EJECUTADO[[#This Row],[FECHA]])</f>
        <v>1</v>
      </c>
      <c r="H6" s="163" t="str">
        <f>MID(EJECUTADO[[#This Row],[CUENTA]],1,4)</f>
        <v>E-19</v>
      </c>
      <c r="I6" s="163" t="str">
        <f>INDEX(CATALOGO[Descripción],MATCH(EJECUTADO[[#This Row],[APLICACIÓN]]&amp;"-00-00-00",CATALOGO[Código],0))</f>
        <v>MANTENIMIENTO</v>
      </c>
      <c r="J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Combustible</v>
      </c>
      <c r="K6" s="161" t="str">
        <f>IF((EJECUTADO[[#This Row],[MONTO DISPONIBLE ]]-EJECUTADO[[#This Row],[MONTO SOLICITADO]])&gt;=0,"PRESUPUESTO: SI","PRESUPUESTO: NO")</f>
        <v>PRESUPUESTO: SI</v>
      </c>
      <c r="L6" s="162">
        <f>SUMIF(PRESUPUESTO[CUENTA],EJECUTADO[[#This Row],[CUENTA]],PRESUPUESTO[MONTO])-SUMIF($F$1:F5,EJECUTADO[[#This Row],[CUENTA]],$M$1:M5)</f>
        <v>18000</v>
      </c>
      <c r="M6" s="2">
        <v>400</v>
      </c>
      <c r="N6" s="2"/>
      <c r="O6" s="2"/>
      <c r="P6" s="162">
        <f>+EJECUTADO[[#This Row],[MONTO SOLICITADO]]-EJECUTADO[[#This Row],[RETENCION IVA]]-EJECUTADO[[#This Row],[RETENCION ISR]]</f>
        <v>400</v>
      </c>
      <c r="Q6" s="84" t="s">
        <v>1000</v>
      </c>
      <c r="R6" s="2"/>
      <c r="S6">
        <v>1</v>
      </c>
      <c r="T6" s="168" t="str">
        <f t="shared" si="0"/>
        <v>MANTENIMIENTO - Combustible Disponible $18000 Solicitado $400 PRESUPUESTO: SI</v>
      </c>
    </row>
    <row r="7" spans="1:20" ht="45" x14ac:dyDescent="0.25">
      <c r="A7" s="6">
        <f t="shared" si="1"/>
        <v>6</v>
      </c>
      <c r="B7" s="62">
        <v>45292</v>
      </c>
      <c r="C7" s="17" t="s">
        <v>1012</v>
      </c>
      <c r="D7" s="17" t="s">
        <v>1013</v>
      </c>
      <c r="E7" s="17"/>
      <c r="F7" t="s">
        <v>1014</v>
      </c>
      <c r="G7" s="161">
        <f>MONTH(EJECUTADO[[#This Row],[FECHA]])</f>
        <v>1</v>
      </c>
      <c r="H7" s="163" t="str">
        <f>MID(EJECUTADO[[#This Row],[CUENTA]],1,4)</f>
        <v>E-01</v>
      </c>
      <c r="I7" s="163" t="str">
        <f>INDEX(CATALOGO[Descripción],MATCH(EJECUTADO[[#This Row],[APLICACIÓN]]&amp;"-00-00-00",CATALOGO[Código],0))</f>
        <v>SERVICIOS PROFESIONALES</v>
      </c>
      <c r="J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Corporativa Lic. Medrano   $ 1,509.00 X 12</v>
      </c>
      <c r="K7" s="161" t="str">
        <f>IF((EJECUTADO[[#This Row],[MONTO DISPONIBLE ]]-EJECUTADO[[#This Row],[MONTO SOLICITADO]])&gt;=0,"PRESUPUESTO: SI","PRESUPUESTO: NO")</f>
        <v>PRESUPUESTO: SI</v>
      </c>
      <c r="L7" s="162">
        <f>SUMIF(PRESUPUESTO[CUENTA],EJECUTADO[[#This Row],[CUENTA]],PRESUPUESTO[MONTO])-SUMIF($F$1:F6,EJECUTADO[[#This Row],[CUENTA]],$M$1:M6)</f>
        <v>18200</v>
      </c>
      <c r="M7" s="2">
        <v>1508.5</v>
      </c>
      <c r="N7" s="2"/>
      <c r="O7" s="2"/>
      <c r="P7" s="162">
        <f>+EJECUTADO[[#This Row],[MONTO SOLICITADO]]-EJECUTADO[[#This Row],[RETENCION IVA]]-EJECUTADO[[#This Row],[RETENCION ISR]]</f>
        <v>1508.5</v>
      </c>
      <c r="Q7" s="84" t="s">
        <v>1000</v>
      </c>
      <c r="R7" s="2"/>
      <c r="S7">
        <v>1</v>
      </c>
      <c r="T7" s="168" t="str">
        <f t="shared" si="0"/>
        <v>SERVICIOS PROFESIONALES - Asesoria Corporativa Lic. Medrano   $ 1,509.00 X 12 Disponible $18200 Solicitado $1508.5 PRESUPUESTO: SI</v>
      </c>
    </row>
    <row r="8" spans="1:20" ht="90" x14ac:dyDescent="0.25">
      <c r="A8" s="6">
        <f t="shared" si="1"/>
        <v>7</v>
      </c>
      <c r="B8" s="62">
        <v>45292</v>
      </c>
      <c r="C8" s="17" t="s">
        <v>1012</v>
      </c>
      <c r="D8" s="17" t="s">
        <v>1015</v>
      </c>
      <c r="E8" s="17"/>
      <c r="F8" t="s">
        <v>1014</v>
      </c>
      <c r="G8" s="161">
        <f>MONTH(EJECUTADO[[#This Row],[FECHA]])</f>
        <v>1</v>
      </c>
      <c r="H8" s="163" t="str">
        <f>MID(EJECUTADO[[#This Row],[CUENTA]],1,4)</f>
        <v>E-01</v>
      </c>
      <c r="I8" s="163" t="str">
        <f>INDEX(CATALOGO[Descripción],MATCH(EJECUTADO[[#This Row],[APLICACIÓN]]&amp;"-00-00-00",CATALOGO[Código],0))</f>
        <v>SERVICIOS PROFESIONALES</v>
      </c>
      <c r="J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Corporativa Lic. Medrano   $ 1,509.00 X 12</v>
      </c>
      <c r="K8" s="161" t="str">
        <f>IF((EJECUTADO[[#This Row],[MONTO DISPONIBLE ]]-EJECUTADO[[#This Row],[MONTO SOLICITADO]])&gt;=0,"PRESUPUESTO: SI","PRESUPUESTO: NO")</f>
        <v>PRESUPUESTO: SI</v>
      </c>
      <c r="L8" s="162">
        <f>SUMIF(PRESUPUESTO[CUENTA],EJECUTADO[[#This Row],[CUENTA]],PRESUPUESTO[MONTO])-SUMIF($F$1:F7,EJECUTADO[[#This Row],[CUENTA]],$M$1:M7)</f>
        <v>16691.5</v>
      </c>
      <c r="M8" s="2">
        <v>1130</v>
      </c>
      <c r="N8" s="2"/>
      <c r="O8" s="2"/>
      <c r="P8" s="162">
        <f>+EJECUTADO[[#This Row],[MONTO SOLICITADO]]-EJECUTADO[[#This Row],[RETENCION IVA]]-EJECUTADO[[#This Row],[RETENCION ISR]]</f>
        <v>1130</v>
      </c>
      <c r="Q8" s="84" t="s">
        <v>1000</v>
      </c>
      <c r="R8" s="2"/>
      <c r="S8">
        <v>1</v>
      </c>
      <c r="T8" s="168" t="str">
        <f t="shared" si="0"/>
        <v>SERVICIOS PROFESIONALES - Asesoria Corporativa Lic. Medrano   $ 1,509.00 X 12 Disponible $16691.5 Solicitado $1130 PRESUPUESTO: SI</v>
      </c>
    </row>
    <row r="9" spans="1:20" s="9" customFormat="1" ht="45" x14ac:dyDescent="0.25">
      <c r="A9" s="6">
        <f t="shared" si="1"/>
        <v>8</v>
      </c>
      <c r="B9" s="62">
        <v>45292</v>
      </c>
      <c r="C9" s="17" t="s">
        <v>1016</v>
      </c>
      <c r="D9" s="17" t="s">
        <v>1016</v>
      </c>
      <c r="E9" s="17"/>
      <c r="F9" t="s">
        <v>1017</v>
      </c>
      <c r="G9" s="161">
        <f>MONTH(EJECUTADO[[#This Row],[FECHA]])</f>
        <v>1</v>
      </c>
      <c r="H9" s="163" t="str">
        <f>MID(EJECUTADO[[#This Row],[CUENTA]],1,4)</f>
        <v>E-31</v>
      </c>
      <c r="I9" s="163" t="str">
        <f>INDEX(CATALOGO[Descripción],MATCH(EJECUTADO[[#This Row],[APLICACIÓN]]&amp;"-00-00-00",CATALOGO[Código],0))</f>
        <v>DONACIONES</v>
      </c>
      <c r="J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9" s="161" t="str">
        <f>IF((EJECUTADO[[#This Row],[MONTO DISPONIBLE ]]-EJECUTADO[[#This Row],[MONTO SOLICITADO]])&gt;=0,"PRESUPUESTO: SI","PRESUPUESTO: NO")</f>
        <v>PRESUPUESTO: SI</v>
      </c>
      <c r="L9" s="162">
        <f>SUMIF(PRESUPUESTO[CUENTA],EJECUTADO[[#This Row],[CUENTA]],PRESUPUESTO[MONTO])-SUMIF($F$1:F8,EJECUTADO[[#This Row],[CUENTA]],$M$1:M8)</f>
        <v>6000</v>
      </c>
      <c r="M9" s="2">
        <v>500</v>
      </c>
      <c r="N9" s="2"/>
      <c r="O9" s="2"/>
      <c r="P9" s="162">
        <f>+EJECUTADO[[#This Row],[MONTO SOLICITADO]]-EJECUTADO[[#This Row],[RETENCION IVA]]-EJECUTADO[[#This Row],[RETENCION ISR]]</f>
        <v>500</v>
      </c>
      <c r="Q9" s="84" t="s">
        <v>1000</v>
      </c>
      <c r="R9" s="2"/>
      <c r="S9">
        <v>1</v>
      </c>
      <c r="T9" s="168" t="str">
        <f t="shared" si="0"/>
        <v>DONACIONES - Academia  Salvadoreña de la Lengua Disponible $6000 Solicitado $500 PRESUPUESTO: SI</v>
      </c>
    </row>
    <row r="10" spans="1:20" ht="45" x14ac:dyDescent="0.25">
      <c r="A10" s="6">
        <f t="shared" si="1"/>
        <v>9</v>
      </c>
      <c r="B10" s="62">
        <v>45292</v>
      </c>
      <c r="C10" s="17" t="s">
        <v>1018</v>
      </c>
      <c r="D10" s="17" t="s">
        <v>1019</v>
      </c>
      <c r="E10" s="17"/>
      <c r="F10" t="s">
        <v>1020</v>
      </c>
      <c r="G10" s="161">
        <f>MONTH(EJECUTADO[[#This Row],[FECHA]])</f>
        <v>1</v>
      </c>
      <c r="H10" s="163" t="str">
        <f>MID(EJECUTADO[[#This Row],[CUENTA]],1,4)</f>
        <v>E-31</v>
      </c>
      <c r="I10" s="163" t="str">
        <f>INDEX(CATALOGO[Descripción],MATCH(EJECUTADO[[#This Row],[APLICACIÓN]]&amp;"-00-00-00",CATALOGO[Código],0))</f>
        <v>DONACIONES</v>
      </c>
      <c r="J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Asociacion Padre Vito Guarato $ 114.00 x 12</v>
      </c>
      <c r="K10" s="161" t="str">
        <f>IF((EJECUTADO[[#This Row],[MONTO DISPONIBLE ]]-EJECUTADO[[#This Row],[MONTO SOLICITADO]])&gt;=0,"PRESUPUESTO: SI","PRESUPUESTO: NO")</f>
        <v>PRESUPUESTO: SI</v>
      </c>
      <c r="L10" s="162">
        <f>SUMIF(PRESUPUESTO[CUENTA],EJECUTADO[[#This Row],[CUENTA]],PRESUPUESTO[MONTO])-SUMIF($F$1:F9,EJECUTADO[[#This Row],[CUENTA]],$M$1:M9)</f>
        <v>1368</v>
      </c>
      <c r="M10" s="2">
        <v>228.58</v>
      </c>
      <c r="N10" s="2"/>
      <c r="O10" s="2"/>
      <c r="P10" s="162">
        <f>+EJECUTADO[[#This Row],[MONTO SOLICITADO]]-EJECUTADO[[#This Row],[RETENCION IVA]]-EJECUTADO[[#This Row],[RETENCION ISR]]</f>
        <v>228.58</v>
      </c>
      <c r="Q10" s="84" t="s">
        <v>1000</v>
      </c>
      <c r="R10" s="2"/>
      <c r="S10">
        <v>1</v>
      </c>
      <c r="T10" s="168" t="str">
        <f t="shared" si="0"/>
        <v>DONACIONES - Asociacion Padre Vito Guarato $ 114.00 x 12 Disponible $1368 Solicitado $228.58 PRESUPUESTO: SI</v>
      </c>
    </row>
    <row r="11" spans="1:20" ht="30" x14ac:dyDescent="0.25">
      <c r="A11" s="6">
        <f t="shared" si="1"/>
        <v>10</v>
      </c>
      <c r="B11" s="62">
        <v>45292</v>
      </c>
      <c r="C11" s="17" t="s">
        <v>1021</v>
      </c>
      <c r="D11" s="17" t="s">
        <v>1022</v>
      </c>
      <c r="E11" s="17"/>
      <c r="F11" s="37" t="s">
        <v>1023</v>
      </c>
      <c r="G11" s="161">
        <f>MONTH(EJECUTADO[[#This Row],[FECHA]])</f>
        <v>1</v>
      </c>
      <c r="H11" s="163" t="str">
        <f>MID(EJECUTADO[[#This Row],[CUENTA]],1,4)</f>
        <v>I-04</v>
      </c>
      <c r="I11" s="163" t="str">
        <f>INDEX(CATALOGO[Descripción],MATCH(EJECUTADO[[#This Row],[APLICACIÓN]]&amp;"-00-00-00",CATALOGO[Código],0))</f>
        <v>CENTRO DE FORMACION PROFESIONAL</v>
      </c>
      <c r="J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DIPLOMADOS FACULTAD CC EMPRESARIALES</v>
      </c>
      <c r="K11" s="161" t="str">
        <f>IF((EJECUTADO[[#This Row],[MONTO DISPONIBLE ]]-EJECUTADO[[#This Row],[MONTO SOLICITADO]])&gt;=0,"PRESUPUESTO: SI","PRESUPUESTO: NO")</f>
        <v>PRESUPUESTO: SI</v>
      </c>
      <c r="L11" s="162">
        <f>SUMIF(PRESUPUESTO[CUENTA],EJECUTADO[[#This Row],[CUENTA]],PRESUPUESTO[MONTO])-SUMIF($F$1:F10,EJECUTADO[[#This Row],[CUENTA]],$M$1:M10)</f>
        <v>31642</v>
      </c>
      <c r="M11" s="2">
        <v>75</v>
      </c>
      <c r="N11" s="2"/>
      <c r="O11" s="2"/>
      <c r="P11" s="162">
        <f>+EJECUTADO[[#This Row],[MONTO SOLICITADO]]-EJECUTADO[[#This Row],[RETENCION IVA]]-EJECUTADO[[#This Row],[RETENCION ISR]]</f>
        <v>75</v>
      </c>
      <c r="Q11" s="84" t="s">
        <v>1000</v>
      </c>
      <c r="R11" s="2"/>
      <c r="S11">
        <v>1</v>
      </c>
      <c r="T11" s="168" t="str">
        <f t="shared" si="0"/>
        <v>CENTRO DE FORMACION PROFESIONAL - DIPLOMADOS FACULTAD CC EMPRESARIALES Disponible $31642 Solicitado $75 PRESUPUESTO: SI</v>
      </c>
    </row>
    <row r="12" spans="1:20" ht="30" x14ac:dyDescent="0.25">
      <c r="A12" s="6">
        <f t="shared" si="1"/>
        <v>11</v>
      </c>
      <c r="B12" s="62">
        <v>45292</v>
      </c>
      <c r="C12" s="17" t="s">
        <v>1021</v>
      </c>
      <c r="D12" s="17" t="s">
        <v>1022</v>
      </c>
      <c r="E12" s="17"/>
      <c r="F12" t="s">
        <v>1023</v>
      </c>
      <c r="G12" s="161">
        <f>MONTH(EJECUTADO[[#This Row],[FECHA]])</f>
        <v>1</v>
      </c>
      <c r="H12" s="163" t="str">
        <f>MID(EJECUTADO[[#This Row],[CUENTA]],1,4)</f>
        <v>I-04</v>
      </c>
      <c r="I12" s="163" t="str">
        <f>INDEX(CATALOGO[Descripción],MATCH(EJECUTADO[[#This Row],[APLICACIÓN]]&amp;"-00-00-00",CATALOGO[Código],0))</f>
        <v>CENTRO DE FORMACION PROFESIONAL</v>
      </c>
      <c r="J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DIPLOMADOS FACULTAD CC EMPRESARIALES</v>
      </c>
      <c r="K12" s="161" t="str">
        <f>IF((EJECUTADO[[#This Row],[MONTO DISPONIBLE ]]-EJECUTADO[[#This Row],[MONTO SOLICITADO]])&gt;=0,"PRESUPUESTO: SI","PRESUPUESTO: NO")</f>
        <v>PRESUPUESTO: SI</v>
      </c>
      <c r="L12" s="162">
        <f>SUMIF(PRESUPUESTO[CUENTA],EJECUTADO[[#This Row],[CUENTA]],PRESUPUESTO[MONTO])-SUMIF($F$1:F11,EJECUTADO[[#This Row],[CUENTA]],$M$1:M11)</f>
        <v>31567</v>
      </c>
      <c r="M12" s="2">
        <v>52.5</v>
      </c>
      <c r="N12" s="2"/>
      <c r="O12" s="2"/>
      <c r="P12" s="162">
        <f>+EJECUTADO[[#This Row],[MONTO SOLICITADO]]-EJECUTADO[[#This Row],[RETENCION IVA]]-EJECUTADO[[#This Row],[RETENCION ISR]]</f>
        <v>52.5</v>
      </c>
      <c r="Q12" s="84" t="s">
        <v>1000</v>
      </c>
      <c r="R12" s="2"/>
      <c r="S12">
        <v>1</v>
      </c>
      <c r="T12" s="168" t="str">
        <f t="shared" si="0"/>
        <v>CENTRO DE FORMACION PROFESIONAL - DIPLOMADOS FACULTAD CC EMPRESARIALES Disponible $31567 Solicitado $52.5 PRESUPUESTO: SI</v>
      </c>
    </row>
    <row r="13" spans="1:20" ht="30" x14ac:dyDescent="0.25">
      <c r="A13" s="6">
        <f t="shared" si="1"/>
        <v>12</v>
      </c>
      <c r="B13" s="62">
        <v>45292</v>
      </c>
      <c r="C13" s="17" t="s">
        <v>1021</v>
      </c>
      <c r="D13" s="17" t="s">
        <v>1022</v>
      </c>
      <c r="E13" s="17"/>
      <c r="F13" t="s">
        <v>1024</v>
      </c>
      <c r="G13" s="161">
        <f>MONTH(EJECUTADO[[#This Row],[FECHA]])</f>
        <v>1</v>
      </c>
      <c r="H13" s="163" t="str">
        <f>MID(EJECUTADO[[#This Row],[CUENTA]],1,4)</f>
        <v>I-04</v>
      </c>
      <c r="I13" s="163" t="str">
        <f>INDEX(CATALOGO[Descripción],MATCH(EJECUTADO[[#This Row],[APLICACIÓN]]&amp;"-00-00-00",CATALOGO[Código],0))</f>
        <v>CENTRO DE FORMACION PROFESIONAL</v>
      </c>
      <c r="J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DIPLOMADOS FACULTAD CC SOCIALES</v>
      </c>
      <c r="K13" s="161" t="str">
        <f>IF((EJECUTADO[[#This Row],[MONTO DISPONIBLE ]]-EJECUTADO[[#This Row],[MONTO SOLICITADO]])&gt;=0,"PRESUPUESTO: SI","PRESUPUESTO: NO")</f>
        <v>PRESUPUESTO: SI</v>
      </c>
      <c r="L13" s="162">
        <f>SUMIF(PRESUPUESTO[CUENTA],EJECUTADO[[#This Row],[CUENTA]],PRESUPUESTO[MONTO])-SUMIF($F$1:F12,EJECUTADO[[#This Row],[CUENTA]],$M$1:M12)</f>
        <v>41862</v>
      </c>
      <c r="M13" s="2">
        <v>493.5</v>
      </c>
      <c r="N13" s="2"/>
      <c r="O13" s="2"/>
      <c r="P13" s="162">
        <f>+EJECUTADO[[#This Row],[MONTO SOLICITADO]]-EJECUTADO[[#This Row],[RETENCION IVA]]-EJECUTADO[[#This Row],[RETENCION ISR]]</f>
        <v>493.5</v>
      </c>
      <c r="Q13" s="84" t="s">
        <v>1000</v>
      </c>
      <c r="R13" s="2"/>
      <c r="S13">
        <v>1</v>
      </c>
      <c r="T13" s="168" t="str">
        <f t="shared" si="0"/>
        <v>CENTRO DE FORMACION PROFESIONAL - DIPLOMADOS FACULTAD CC SOCIALES Disponible $41862 Solicitado $493.5 PRESUPUESTO: SI</v>
      </c>
    </row>
    <row r="14" spans="1:20" ht="30" x14ac:dyDescent="0.25">
      <c r="A14" s="6">
        <f t="shared" si="1"/>
        <v>13</v>
      </c>
      <c r="B14" s="62">
        <v>45292</v>
      </c>
      <c r="C14" s="17" t="s">
        <v>1025</v>
      </c>
      <c r="D14" s="17" t="s">
        <v>1026</v>
      </c>
      <c r="E14" s="17"/>
      <c r="F14" s="68" t="s">
        <v>1027</v>
      </c>
      <c r="G14" s="161">
        <f>MONTH(EJECUTADO[[#This Row],[FECHA]])</f>
        <v>1</v>
      </c>
      <c r="H14" s="163" t="str">
        <f>MID(EJECUTADO[[#This Row],[CUENTA]],1,4)</f>
        <v>E-12</v>
      </c>
      <c r="I14" s="163" t="str">
        <f>INDEX(CATALOGO[Descripción],MATCH(EJECUTADO[[#This Row],[APLICACIÓN]]&amp;"-00-00-00",CATALOGO[Código],0))</f>
        <v>PROYECCION SOCIAL</v>
      </c>
      <c r="J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y actividades de Facultad de Informática y Ciencias Aplicadas</v>
      </c>
      <c r="K14" s="161" t="str">
        <f>IF((EJECUTADO[[#This Row],[MONTO DISPONIBLE ]]-EJECUTADO[[#This Row],[MONTO SOLICITADO]])&gt;=0,"PRESUPUESTO: SI","PRESUPUESTO: NO")</f>
        <v>PRESUPUESTO: SI</v>
      </c>
      <c r="L14" s="162">
        <f>SUMIF(PRESUPUESTO[CUENTA],EJECUTADO[[#This Row],[CUENTA]],PRESUPUESTO[MONTO])-SUMIF($F$1:F13,EJECUTADO[[#This Row],[CUENTA]],$M$1:M13)</f>
        <v>2000</v>
      </c>
      <c r="M14" s="2">
        <v>632.79999999999995</v>
      </c>
      <c r="N14" s="2"/>
      <c r="O14" s="2"/>
      <c r="P14" s="162">
        <f>+EJECUTADO[[#This Row],[MONTO SOLICITADO]]-EJECUTADO[[#This Row],[RETENCION IVA]]-EJECUTADO[[#This Row],[RETENCION ISR]]</f>
        <v>632.79999999999995</v>
      </c>
      <c r="Q14" s="84" t="s">
        <v>1000</v>
      </c>
      <c r="R14" s="2"/>
      <c r="S14">
        <v>1</v>
      </c>
      <c r="T14" s="168" t="str">
        <f t="shared" si="0"/>
        <v>PROYECCION SOCIAL - Proyectos y actividades de Facultad de Informática y Ciencias Aplicadas Disponible $2000 Solicitado $632.8 PRESUPUESTO: SI</v>
      </c>
    </row>
    <row r="15" spans="1:20" ht="45" x14ac:dyDescent="0.25">
      <c r="A15" s="6">
        <f t="shared" si="1"/>
        <v>14</v>
      </c>
      <c r="B15" s="62">
        <v>45292</v>
      </c>
      <c r="C15" s="17" t="s">
        <v>1025</v>
      </c>
      <c r="D15" s="17" t="s">
        <v>1028</v>
      </c>
      <c r="E15" s="17"/>
      <c r="F15" s="37" t="s">
        <v>1029</v>
      </c>
      <c r="G15" s="161">
        <f>MONTH(EJECUTADO[[#This Row],[FECHA]])</f>
        <v>1</v>
      </c>
      <c r="H15" s="163" t="str">
        <f>MID(EJECUTADO[[#This Row],[CUENTA]],1,4)</f>
        <v>E-18</v>
      </c>
      <c r="I15" s="163" t="str">
        <f>INDEX(CATALOGO[Descripción],MATCH(EJECUTADO[[#This Row],[APLICACIÓN]]&amp;"-00-00-00",CATALOGO[Código],0))</f>
        <v>COMUNICACIÓN INSTITUCIONAL</v>
      </c>
      <c r="J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Arrendamiento de 5 mupis digitales: SB, BJ, FM, GL Y GM ($2,200 mens)</v>
      </c>
      <c r="K15" s="161" t="str">
        <f>IF((EJECUTADO[[#This Row],[MONTO DISPONIBLE ]]-EJECUTADO[[#This Row],[MONTO SOLICITADO]])&gt;=0,"PRESUPUESTO: SI","PRESUPUESTO: NO")</f>
        <v>PRESUPUESTO: SI</v>
      </c>
      <c r="L15" s="162">
        <f>SUMIF(PRESUPUESTO[CUENTA],EJECUTADO[[#This Row],[CUENTA]],PRESUPUESTO[MONTO])-SUMIF($F$1:F14,EJECUTADO[[#This Row],[CUENTA]],$M$1:M14)</f>
        <v>26400</v>
      </c>
      <c r="M15" s="2">
        <v>4853.3500000000004</v>
      </c>
      <c r="N15" s="2"/>
      <c r="O15" s="2"/>
      <c r="P15" s="162">
        <f>+EJECUTADO[[#This Row],[MONTO SOLICITADO]]-EJECUTADO[[#This Row],[RETENCION IVA]]-EJECUTADO[[#This Row],[RETENCION ISR]]</f>
        <v>4853.3500000000004</v>
      </c>
      <c r="Q15" s="84" t="s">
        <v>1000</v>
      </c>
      <c r="R15" s="2"/>
      <c r="S15">
        <v>1</v>
      </c>
      <c r="T15" s="168" t="str">
        <f t="shared" si="0"/>
        <v>COMUNICACIÓN INSTITUCIONAL - Com. Interna - Arrendamiento de 5 mupis digitales: SB, BJ, FM, GL Y GM ($2,200 mens) Disponible $26400 Solicitado $4853.35 PRESUPUESTO: SI</v>
      </c>
    </row>
    <row r="16" spans="1:20" ht="30" x14ac:dyDescent="0.25">
      <c r="A16" s="6">
        <f t="shared" si="1"/>
        <v>15</v>
      </c>
      <c r="B16" s="62">
        <v>45292</v>
      </c>
      <c r="C16" s="17" t="s">
        <v>1030</v>
      </c>
      <c r="D16" s="17" t="s">
        <v>1031</v>
      </c>
      <c r="E16" s="17"/>
      <c r="F16" t="s">
        <v>1032</v>
      </c>
      <c r="G16" s="161">
        <f>MONTH(EJECUTADO[[#This Row],[FECHA]])</f>
        <v>1</v>
      </c>
      <c r="H16" s="163" t="str">
        <f>MID(EJECUTADO[[#This Row],[CUENTA]],1,4)</f>
        <v>E-09</v>
      </c>
      <c r="I16" s="163" t="str">
        <f>INDEX(CATALOGO[Descripción],MATCH(EJECUTADO[[#This Row],[APLICACIÓN]]&amp;"-00-00-00",CATALOGO[Código],0))</f>
        <v>PRESTACIONES AL PERSONAL</v>
      </c>
      <c r="J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16" s="161" t="str">
        <f>IF((EJECUTADO[[#This Row],[MONTO DISPONIBLE ]]-EJECUTADO[[#This Row],[MONTO SOLICITADO]])&gt;=0,"PRESUPUESTO: SI","PRESUPUESTO: NO")</f>
        <v>PRESUPUESTO: SI</v>
      </c>
      <c r="L16" s="162">
        <f>SUMIF(PRESUPUESTO[CUENTA],EJECUTADO[[#This Row],[CUENTA]],PRESUPUESTO[MONTO])-SUMIF($F$1:F15,EJECUTADO[[#This Row],[CUENTA]],$M$1:M15)</f>
        <v>125000</v>
      </c>
      <c r="M16" s="2">
        <v>1402.12</v>
      </c>
      <c r="N16" s="2"/>
      <c r="O16" s="2"/>
      <c r="P16" s="162">
        <f>+EJECUTADO[[#This Row],[MONTO SOLICITADO]]-EJECUTADO[[#This Row],[RETENCION IVA]]-EJECUTADO[[#This Row],[RETENCION ISR]]</f>
        <v>1402.12</v>
      </c>
      <c r="Q16" s="84" t="s">
        <v>1000</v>
      </c>
      <c r="R16" s="2"/>
      <c r="S16">
        <v>1</v>
      </c>
      <c r="T16" s="168" t="str">
        <f t="shared" si="0"/>
        <v>PRESTACIONES AL PERSONAL - Liquidaciones laborales y compensaciones Disponible $125000 Solicitado $1402.12 PRESUPUESTO: SI</v>
      </c>
    </row>
    <row r="17" spans="1:20" ht="30" x14ac:dyDescent="0.25">
      <c r="A17" s="6">
        <f t="shared" si="1"/>
        <v>16</v>
      </c>
      <c r="B17" s="62">
        <v>45292</v>
      </c>
      <c r="C17" s="17" t="s">
        <v>1030</v>
      </c>
      <c r="D17" s="17" t="s">
        <v>1031</v>
      </c>
      <c r="E17" s="17"/>
      <c r="F17" t="s">
        <v>1033</v>
      </c>
      <c r="G17" s="161">
        <f>MONTH(EJECUTADO[[#This Row],[FECHA]])</f>
        <v>1</v>
      </c>
      <c r="H17" s="163" t="str">
        <f>MID(EJECUTADO[[#This Row],[CUENTA]],1,4)</f>
        <v>E-13</v>
      </c>
      <c r="I17" s="163" t="str">
        <f>INDEX(CATALOGO[Descripción],MATCH(EJECUTADO[[#This Row],[APLICACIÓN]]&amp;"-00-00-00",CATALOGO[Código],0))</f>
        <v>MAESTRIAS Y POSTGRADOS</v>
      </c>
      <c r="J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Material de oficina</v>
      </c>
      <c r="K17" s="161" t="str">
        <f>IF((EJECUTADO[[#This Row],[MONTO DISPONIBLE ]]-EJECUTADO[[#This Row],[MONTO SOLICITADO]])&gt;=0,"PRESUPUESTO: SI","PRESUPUESTO: NO")</f>
        <v>PRESUPUESTO: SI</v>
      </c>
      <c r="L17" s="162">
        <f>SUMIF(PRESUPUESTO[CUENTA],EJECUTADO[[#This Row],[CUENTA]],PRESUPUESTO[MONTO])-SUMIF($F$1:F16,EJECUTADO[[#This Row],[CUENTA]],$M$1:M16)</f>
        <v>4445</v>
      </c>
      <c r="M17" s="2">
        <v>50</v>
      </c>
      <c r="N17" s="2"/>
      <c r="O17" s="2"/>
      <c r="P17" s="162">
        <f>+EJECUTADO[[#This Row],[MONTO SOLICITADO]]-EJECUTADO[[#This Row],[RETENCION IVA]]-EJECUTADO[[#This Row],[RETENCION ISR]]</f>
        <v>50</v>
      </c>
      <c r="Q17" s="84" t="s">
        <v>1000</v>
      </c>
      <c r="R17" s="2"/>
      <c r="S17">
        <v>1</v>
      </c>
      <c r="T17" s="168" t="str">
        <f t="shared" si="0"/>
        <v>MAESTRIAS Y POSTGRADOS - Material de oficina Disponible $4445 Solicitado $50 PRESUPUESTO: SI</v>
      </c>
    </row>
    <row r="18" spans="1:20" ht="30" x14ac:dyDescent="0.25">
      <c r="A18" s="6">
        <f t="shared" si="1"/>
        <v>17</v>
      </c>
      <c r="B18" s="62">
        <v>45292</v>
      </c>
      <c r="C18" s="17" t="s">
        <v>1030</v>
      </c>
      <c r="D18" s="17" t="s">
        <v>1031</v>
      </c>
      <c r="E18" s="17"/>
      <c r="F18" t="s">
        <v>1034</v>
      </c>
      <c r="G18" s="161">
        <f>MONTH(EJECUTADO[[#This Row],[FECHA]])</f>
        <v>1</v>
      </c>
      <c r="H18" s="163" t="str">
        <f>MID(EJECUTADO[[#This Row],[CUENTA]],1,4)</f>
        <v>E-12</v>
      </c>
      <c r="I18" s="163" t="str">
        <f>INDEX(CATALOGO[Descripción],MATCH(EJECUTADO[[#This Row],[APLICACIÓN]]&amp;"-00-00-00",CATALOGO[Código],0))</f>
        <v>PROYECCION SOCIAL</v>
      </c>
      <c r="J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Agua cristal </v>
      </c>
      <c r="K18" s="161" t="str">
        <f>IF((EJECUTADO[[#This Row],[MONTO DISPONIBLE ]]-EJECUTADO[[#This Row],[MONTO SOLICITADO]])&gt;=0,"PRESUPUESTO: SI","PRESUPUESTO: NO")</f>
        <v>PRESUPUESTO: SI</v>
      </c>
      <c r="L18" s="162">
        <f>SUMIF(PRESUPUESTO[CUENTA],EJECUTADO[[#This Row],[CUENTA]],PRESUPUESTO[MONTO])-SUMIF($F$1:F17,EJECUTADO[[#This Row],[CUENTA]],$M$1:M17)</f>
        <v>245</v>
      </c>
      <c r="M18" s="2">
        <v>30</v>
      </c>
      <c r="N18" s="2"/>
      <c r="O18" s="2"/>
      <c r="P18" s="162">
        <f>+EJECUTADO[[#This Row],[MONTO SOLICITADO]]-EJECUTADO[[#This Row],[RETENCION IVA]]-EJECUTADO[[#This Row],[RETENCION ISR]]</f>
        <v>30</v>
      </c>
      <c r="Q18" s="84" t="s">
        <v>1000</v>
      </c>
      <c r="R18" s="2"/>
      <c r="S18">
        <v>1</v>
      </c>
      <c r="T18" s="168" t="str">
        <f t="shared" si="0"/>
        <v>PROYECCION SOCIAL - Agua cristal  Disponible $245 Solicitado $30 PRESUPUESTO: SI</v>
      </c>
    </row>
    <row r="19" spans="1:20" ht="30" x14ac:dyDescent="0.25">
      <c r="A19" s="6">
        <f t="shared" si="1"/>
        <v>18</v>
      </c>
      <c r="B19" s="62">
        <v>45292</v>
      </c>
      <c r="C19" s="17" t="s">
        <v>1030</v>
      </c>
      <c r="D19" s="17" t="s">
        <v>1031</v>
      </c>
      <c r="E19" s="17"/>
      <c r="F19" s="68" t="s">
        <v>1035</v>
      </c>
      <c r="G19" s="161">
        <f>MONTH(EJECUTADO[[#This Row],[FECHA]])</f>
        <v>1</v>
      </c>
      <c r="H19" s="163" t="str">
        <f>MID(EJECUTADO[[#This Row],[CUENTA]],1,4)</f>
        <v>E-25</v>
      </c>
      <c r="I19" s="163" t="str">
        <f>INDEX(CATALOGO[Descripción],MATCH(EJECUTADO[[#This Row],[APLICACIÓN]]&amp;"-00-00-00",CATALOGO[Código],0))</f>
        <v>DECANATO DE ESTUDIANTES</v>
      </c>
      <c r="J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Servicio de agua cristal</v>
      </c>
      <c r="K19" s="161" t="str">
        <f>IF((EJECUTADO[[#This Row],[MONTO DISPONIBLE ]]-EJECUTADO[[#This Row],[MONTO SOLICITADO]])&gt;=0,"PRESUPUESTO: SI","PRESUPUESTO: NO")</f>
        <v>PRESUPUESTO: SI</v>
      </c>
      <c r="L19" s="162">
        <f>SUMIF(PRESUPUESTO[CUENTA],EJECUTADO[[#This Row],[CUENTA]],PRESUPUESTO[MONTO])-SUMIF($F$1:F18,EJECUTADO[[#This Row],[CUENTA]],$M$1:M18)</f>
        <v>1200</v>
      </c>
      <c r="M19" s="2">
        <v>100</v>
      </c>
      <c r="N19" s="2"/>
      <c r="O19" s="2"/>
      <c r="P19" s="162">
        <f>+EJECUTADO[[#This Row],[MONTO SOLICITADO]]-EJECUTADO[[#This Row],[RETENCION IVA]]-EJECUTADO[[#This Row],[RETENCION ISR]]</f>
        <v>100</v>
      </c>
      <c r="Q19" s="84" t="s">
        <v>1000</v>
      </c>
      <c r="R19" s="2"/>
      <c r="S19">
        <v>1</v>
      </c>
      <c r="T19" s="168" t="str">
        <f t="shared" si="0"/>
        <v>DECANATO DE ESTUDIANTES - U. recreación y deportes - Servicio de agua cristal Disponible $1200 Solicitado $100 PRESUPUESTO: SI</v>
      </c>
    </row>
    <row r="20" spans="1:20" x14ac:dyDescent="0.25">
      <c r="A20" s="6">
        <f t="shared" si="1"/>
        <v>19</v>
      </c>
      <c r="B20" s="62">
        <v>45292</v>
      </c>
      <c r="C20" s="17" t="s">
        <v>1036</v>
      </c>
      <c r="D20" s="17" t="s">
        <v>1037</v>
      </c>
      <c r="E20" s="17"/>
      <c r="F20" t="s">
        <v>1038</v>
      </c>
      <c r="G20" s="161">
        <f>MONTH(EJECUTADO[[#This Row],[FECHA]])</f>
        <v>1</v>
      </c>
      <c r="H20" s="163" t="str">
        <f>MID(EJECUTADO[[#This Row],[CUENTA]],1,4)</f>
        <v>E-18</v>
      </c>
      <c r="I20" s="163" t="str">
        <f>INDEX(CATALOGO[Descripción],MATCH(EJECUTADO[[#This Row],[APLICACIÓN]]&amp;"-00-00-00",CATALOGO[Código],0))</f>
        <v>COMUNICACIÓN INSTITUCIONAL</v>
      </c>
      <c r="J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PROMOCIONAL</v>
      </c>
      <c r="K20" s="161" t="str">
        <f>IF((EJECUTADO[[#This Row],[MONTO DISPONIBLE ]]-EJECUTADO[[#This Row],[MONTO SOLICITADO]])&gt;=0,"PRESUPUESTO: SI","PRESUPUESTO: NO")</f>
        <v>PRESUPUESTO: SI</v>
      </c>
      <c r="L20" s="162">
        <f>SUMIF(PRESUPUESTO[CUENTA],EJECUTADO[[#This Row],[CUENTA]],PRESUPUESTO[MONTO])-SUMIF($F$1:F19,EJECUTADO[[#This Row],[CUENTA]],$M$1:M19)</f>
        <v>160000</v>
      </c>
      <c r="M20" s="2">
        <v>60</v>
      </c>
      <c r="N20" s="2"/>
      <c r="O20" s="2"/>
      <c r="P20" s="162">
        <f>+EJECUTADO[[#This Row],[MONTO SOLICITADO]]-EJECUTADO[[#This Row],[RETENCION IVA]]-EJECUTADO[[#This Row],[RETENCION ISR]]</f>
        <v>60</v>
      </c>
      <c r="Q20" s="84" t="s">
        <v>1000</v>
      </c>
      <c r="R20" s="2"/>
      <c r="S20">
        <v>1</v>
      </c>
      <c r="T20" s="168" t="str">
        <f t="shared" si="0"/>
        <v>COMUNICACIÓN INSTITUCIONAL - PUBLICIDAD PROMOCIONAL Disponible $160000 Solicitado $60 PRESUPUESTO: SI</v>
      </c>
    </row>
    <row r="21" spans="1:20" ht="30" x14ac:dyDescent="0.25">
      <c r="A21" s="6">
        <f t="shared" si="1"/>
        <v>20</v>
      </c>
      <c r="B21" s="62">
        <v>45292</v>
      </c>
      <c r="C21" s="17" t="s">
        <v>1036</v>
      </c>
      <c r="D21" s="17" t="s">
        <v>1039</v>
      </c>
      <c r="E21" s="17"/>
      <c r="F21" t="s">
        <v>1040</v>
      </c>
      <c r="G21" s="161">
        <f>MONTH(EJECUTADO[[#This Row],[FECHA]])</f>
        <v>1</v>
      </c>
      <c r="H21" s="163" t="str">
        <f>MID(EJECUTADO[[#This Row],[CUENTA]],1,4)</f>
        <v>E-23</v>
      </c>
      <c r="I21" s="163" t="str">
        <f>INDEX(CATALOGO[Descripción],MATCH(EJECUTADO[[#This Row],[APLICACIÓN]]&amp;"-00-00-00",CATALOGO[Código],0))</f>
        <v>GASTOS DE VIAJE</v>
      </c>
      <c r="J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BOLETOS Y VIATICOS A EJECUTIVOS</v>
      </c>
      <c r="K21" s="161" t="str">
        <f>IF((EJECUTADO[[#This Row],[MONTO DISPONIBLE ]]-EJECUTADO[[#This Row],[MONTO SOLICITADO]])&gt;=0,"PRESUPUESTO: SI","PRESUPUESTO: NO")</f>
        <v>PRESUPUESTO: SI</v>
      </c>
      <c r="L21" s="162">
        <f>SUMIF(PRESUPUESTO[CUENTA],EJECUTADO[[#This Row],[CUENTA]],PRESUPUESTO[MONTO])-SUMIF($F$1:F20,EJECUTADO[[#This Row],[CUENTA]],$M$1:M20)</f>
        <v>15000</v>
      </c>
      <c r="M21" s="2">
        <v>140</v>
      </c>
      <c r="N21" s="2"/>
      <c r="O21" s="2"/>
      <c r="P21" s="162">
        <f>+EJECUTADO[[#This Row],[MONTO SOLICITADO]]-EJECUTADO[[#This Row],[RETENCION IVA]]-EJECUTADO[[#This Row],[RETENCION ISR]]</f>
        <v>140</v>
      </c>
      <c r="Q21" s="84" t="s">
        <v>1000</v>
      </c>
      <c r="R21" s="2"/>
      <c r="S21">
        <v>1</v>
      </c>
      <c r="T21" s="168" t="str">
        <f t="shared" si="0"/>
        <v>GASTOS DE VIAJE - BOLETOS Y VIATICOS A EJECUTIVOS Disponible $15000 Solicitado $140 PRESUPUESTO: SI</v>
      </c>
    </row>
    <row r="22" spans="1:20" ht="45" x14ac:dyDescent="0.25">
      <c r="A22" s="6">
        <f t="shared" si="1"/>
        <v>21</v>
      </c>
      <c r="B22" s="62">
        <v>45292</v>
      </c>
      <c r="C22" s="17" t="s">
        <v>1036</v>
      </c>
      <c r="D22" s="17" t="s">
        <v>1041</v>
      </c>
      <c r="E22" s="17"/>
      <c r="F22" t="s">
        <v>1042</v>
      </c>
      <c r="G22" s="161">
        <f>MONTH(EJECUTADO[[#This Row],[FECHA]])</f>
        <v>1</v>
      </c>
      <c r="H22" s="163" t="str">
        <f>MID(EJECUTADO[[#This Row],[CUENTA]],1,4)</f>
        <v>E-23</v>
      </c>
      <c r="I22" s="163" t="str">
        <f>INDEX(CATALOGO[Descripción],MATCH(EJECUTADO[[#This Row],[APLICACIÓN]]&amp;"-00-00-00",CATALOGO[Código],0))</f>
        <v>GASTOS DE VIAJE</v>
      </c>
      <c r="J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2" s="161" t="str">
        <f>IF((EJECUTADO[[#This Row],[MONTO DISPONIBLE ]]-EJECUTADO[[#This Row],[MONTO SOLICITADO]])&gt;=0,"PRESUPUESTO: SI","PRESUPUESTO: NO")</f>
        <v>PRESUPUESTO: SI</v>
      </c>
      <c r="L22" s="162">
        <f>SUMIF(PRESUPUESTO[CUENTA],EJECUTADO[[#This Row],[CUENTA]],PRESUPUESTO[MONTO])-SUMIF($F$1:F21,EJECUTADO[[#This Row],[CUENTA]],$M$1:M21)</f>
        <v>3840</v>
      </c>
      <c r="M22" s="2">
        <v>116</v>
      </c>
      <c r="N22" s="2"/>
      <c r="O22" s="2"/>
      <c r="P22" s="162">
        <f>+EJECUTADO[[#This Row],[MONTO SOLICITADO]]-EJECUTADO[[#This Row],[RETENCION IVA]]-EJECUTADO[[#This Row],[RETENCION ISR]]</f>
        <v>116</v>
      </c>
      <c r="Q22" s="84" t="s">
        <v>1000</v>
      </c>
      <c r="R22" s="2"/>
      <c r="S22">
        <v>1</v>
      </c>
      <c r="T22" s="168" t="str">
        <f t="shared" si="0"/>
        <v>GASTOS DE VIAJE - OTROS VIATICOS AL PERSONAL Disponible $3840 Solicitado $116 PRESUPUESTO: SI</v>
      </c>
    </row>
    <row r="23" spans="1:20" x14ac:dyDescent="0.25">
      <c r="A23" s="6">
        <f t="shared" si="1"/>
        <v>22</v>
      </c>
      <c r="B23" s="62">
        <v>45292</v>
      </c>
      <c r="C23" s="17" t="s">
        <v>1036</v>
      </c>
      <c r="D23" s="17" t="s">
        <v>1043</v>
      </c>
      <c r="E23" s="17"/>
      <c r="F23" s="68" t="s">
        <v>1044</v>
      </c>
      <c r="G23" s="161">
        <f>MONTH(EJECUTADO[[#This Row],[FECHA]])</f>
        <v>1</v>
      </c>
      <c r="H23" s="163" t="str">
        <f>MID(EJECUTADO[[#This Row],[CUENTA]],1,4)</f>
        <v>E-26</v>
      </c>
      <c r="I23" s="163" t="str">
        <f>INDEX(CATALOGO[Descripción],MATCH(EJECUTADO[[#This Row],[APLICACIÓN]]&amp;"-00-00-00",CATALOGO[Código],0))</f>
        <v>EVENTOS ACADEMICOS, CULTURALES  E INSTITUCIONALES</v>
      </c>
      <c r="J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COMITES EJECUTIVOS</v>
      </c>
      <c r="K23" s="161" t="str">
        <f>IF((EJECUTADO[[#This Row],[MONTO DISPONIBLE ]]-EJECUTADO[[#This Row],[MONTO SOLICITADO]])&gt;=0,"PRESUPUESTO: SI","PRESUPUESTO: NO")</f>
        <v>PRESUPUESTO: SI</v>
      </c>
      <c r="L23" s="162">
        <f>SUMIF(PRESUPUESTO[CUENTA],EJECUTADO[[#This Row],[CUENTA]],PRESUPUESTO[MONTO])-SUMIF($F$1:F22,EJECUTADO[[#This Row],[CUENTA]],$M$1:M22)</f>
        <v>8333.33</v>
      </c>
      <c r="M23" s="2">
        <v>65.28</v>
      </c>
      <c r="N23" s="2"/>
      <c r="O23" s="2"/>
      <c r="P23" s="162">
        <f>+EJECUTADO[[#This Row],[MONTO SOLICITADO]]-EJECUTADO[[#This Row],[RETENCION IVA]]-EJECUTADO[[#This Row],[RETENCION ISR]]</f>
        <v>65.28</v>
      </c>
      <c r="Q23" s="84" t="s">
        <v>1000</v>
      </c>
      <c r="R23" s="2"/>
      <c r="S23">
        <v>1</v>
      </c>
      <c r="T23" s="168" t="str">
        <f t="shared" si="0"/>
        <v>EVENTOS ACADEMICOS, CULTURALES  E INSTITUCIONALES - COMITES EJECUTIVOS Disponible $8333.33 Solicitado $65.28 PRESUPUESTO: SI</v>
      </c>
    </row>
    <row r="24" spans="1:20" ht="45" x14ac:dyDescent="0.25">
      <c r="A24" s="6">
        <f t="shared" si="1"/>
        <v>23</v>
      </c>
      <c r="B24" s="62">
        <v>45292</v>
      </c>
      <c r="C24" s="17" t="s">
        <v>1045</v>
      </c>
      <c r="D24" s="17" t="s">
        <v>1046</v>
      </c>
      <c r="E24" s="17"/>
      <c r="F24" s="68" t="s">
        <v>1047</v>
      </c>
      <c r="G24" s="161">
        <f>MONTH(EJECUTADO[[#This Row],[FECHA]])</f>
        <v>1</v>
      </c>
      <c r="H24" s="163" t="str">
        <f>MID(EJECUTADO[[#This Row],[CUENTA]],1,4)</f>
        <v>E-19</v>
      </c>
      <c r="I24" s="163" t="str">
        <f>INDEX(CATALOGO[Descripción],MATCH(EJECUTADO[[#This Row],[APLICACIÓN]]&amp;"-00-00-00",CATALOGO[Código],0))</f>
        <v>MANTENIMIENTO</v>
      </c>
      <c r="J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24" s="161" t="str">
        <f>IF((EJECUTADO[[#This Row],[MONTO DISPONIBLE ]]-EJECUTADO[[#This Row],[MONTO SOLICITADO]])&gt;=0,"PRESUPUESTO: SI","PRESUPUESTO: NO")</f>
        <v>PRESUPUESTO: SI</v>
      </c>
      <c r="L24" s="162">
        <f>SUMIF(PRESUPUESTO[CUENTA],EJECUTADO[[#This Row],[CUENTA]],PRESUPUESTO[MONTO])-SUMIF($F$1:F23,EJECUTADO[[#This Row],[CUENTA]],$M$1:M23)</f>
        <v>40000</v>
      </c>
      <c r="M24" s="2">
        <v>4037.18</v>
      </c>
      <c r="N24" s="2"/>
      <c r="O24" s="2"/>
      <c r="P24" s="162">
        <f>+EJECUTADO[[#This Row],[MONTO SOLICITADO]]-EJECUTADO[[#This Row],[RETENCION IVA]]-EJECUTADO[[#This Row],[RETENCION ISR]]</f>
        <v>4037.18</v>
      </c>
      <c r="Q24" s="84" t="s">
        <v>1000</v>
      </c>
      <c r="R24" s="2"/>
      <c r="S24">
        <v>1</v>
      </c>
      <c r="T24" s="168" t="str">
        <f t="shared" si="0"/>
        <v>MANTENIMIENTO - Casos eventuales- mantenimiento imprevistos Disponible $40000 Solicitado $4037.18 PRESUPUESTO: SI</v>
      </c>
    </row>
    <row r="25" spans="1:20" ht="30" x14ac:dyDescent="0.25">
      <c r="A25" s="6">
        <f t="shared" si="1"/>
        <v>24</v>
      </c>
      <c r="B25" s="62">
        <v>45292</v>
      </c>
      <c r="C25" s="17" t="s">
        <v>1048</v>
      </c>
      <c r="D25" s="17" t="s">
        <v>1049</v>
      </c>
      <c r="E25" s="17"/>
      <c r="F25" s="68" t="s">
        <v>1050</v>
      </c>
      <c r="G25" s="161">
        <f>MONTH(EJECUTADO[[#This Row],[FECHA]])</f>
        <v>1</v>
      </c>
      <c r="H25" s="163" t="str">
        <f>MID(EJECUTADO[[#This Row],[CUENTA]],1,4)</f>
        <v>E-22</v>
      </c>
      <c r="I25" s="163" t="str">
        <f>INDEX(CATALOGO[Descripción],MATCH(EJECUTADO[[#This Row],[APLICACIÓN]]&amp;"-00-00-00",CATALOGO[Código],0))</f>
        <v>CAPACITACIÓN AL PERSONAL</v>
      </c>
      <c r="J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varias- Biblioteca</v>
      </c>
      <c r="K25" s="161" t="str">
        <f>IF((EJECUTADO[[#This Row],[MONTO DISPONIBLE ]]-EJECUTADO[[#This Row],[MONTO SOLICITADO]])&gt;=0,"PRESUPUESTO: SI","PRESUPUESTO: NO")</f>
        <v>PRESUPUESTO: NO</v>
      </c>
      <c r="L25" s="162">
        <f>SUMIF(PRESUPUESTO[CUENTA],EJECUTADO[[#This Row],[CUENTA]],PRESUPUESTO[MONTO])-SUMIF($F$1:F24,EJECUTADO[[#This Row],[CUENTA]],$M$1:M24)</f>
        <v>470</v>
      </c>
      <c r="M25" s="2">
        <v>579.97</v>
      </c>
      <c r="N25" s="2"/>
      <c r="O25" s="2"/>
      <c r="P25" s="162">
        <f>+EJECUTADO[[#This Row],[MONTO SOLICITADO]]-EJECUTADO[[#This Row],[RETENCION IVA]]-EJECUTADO[[#This Row],[RETENCION ISR]]</f>
        <v>579.97</v>
      </c>
      <c r="Q25" s="84" t="s">
        <v>1000</v>
      </c>
      <c r="R25" s="2"/>
      <c r="S25">
        <v>1</v>
      </c>
      <c r="T25" s="168" t="str">
        <f t="shared" si="0"/>
        <v>CAPACITACIÓN AL PERSONAL - Capacitaciones varias- Biblioteca Disponible $470 Solicitado $579.97 PRESUPUESTO: NO</v>
      </c>
    </row>
    <row r="26" spans="1:20" ht="30" x14ac:dyDescent="0.25">
      <c r="A26" s="6">
        <f t="shared" si="1"/>
        <v>25</v>
      </c>
      <c r="B26" s="62">
        <v>45292</v>
      </c>
      <c r="C26" s="17" t="s">
        <v>1048</v>
      </c>
      <c r="D26" s="17" t="s">
        <v>1051</v>
      </c>
      <c r="E26" s="17"/>
      <c r="F26" s="37" t="s">
        <v>1052</v>
      </c>
      <c r="G26" s="161">
        <f>MONTH(EJECUTADO[[#This Row],[FECHA]])</f>
        <v>1</v>
      </c>
      <c r="H26" s="163" t="str">
        <f>MID(EJECUTADO[[#This Row],[CUENTA]],1,4)</f>
        <v>E-32</v>
      </c>
      <c r="I26" s="163" t="str">
        <f>INDEX(CATALOGO[Descripción],MATCH(EJECUTADO[[#This Row],[APLICACIÓN]]&amp;"-00-00-00",CATALOGO[Código],0))</f>
        <v>RELACIONES INTERNACIONALES</v>
      </c>
      <c r="J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Asamblea RLCU</v>
      </c>
      <c r="K26" s="161" t="str">
        <f>IF((EJECUTADO[[#This Row],[MONTO DISPONIBLE ]]-EJECUTADO[[#This Row],[MONTO SOLICITADO]])&gt;=0,"PRESUPUESTO: SI","PRESUPUESTO: NO")</f>
        <v>PRESUPUESTO: SI</v>
      </c>
      <c r="L26" s="162">
        <f>SUMIF(PRESUPUESTO[CUENTA],EJECUTADO[[#This Row],[CUENTA]],PRESUPUESTO[MONTO])-SUMIF($F$1:F25,EJECUTADO[[#This Row],[CUENTA]],$M$1:M25)</f>
        <v>1500</v>
      </c>
      <c r="M26" s="2">
        <v>644.66</v>
      </c>
      <c r="N26" s="2"/>
      <c r="O26" s="2"/>
      <c r="P26" s="162">
        <f>+EJECUTADO[[#This Row],[MONTO SOLICITADO]]-EJECUTADO[[#This Row],[RETENCION IVA]]-EJECUTADO[[#This Row],[RETENCION ISR]]</f>
        <v>644.66</v>
      </c>
      <c r="Q26" s="84" t="s">
        <v>1000</v>
      </c>
      <c r="R26" s="2"/>
      <c r="S26">
        <v>1</v>
      </c>
      <c r="T26" s="168" t="str">
        <f t="shared" si="0"/>
        <v>RELACIONES INTERNACIONALES - Asamblea RLCU Disponible $1500 Solicitado $644.66 PRESUPUESTO: SI</v>
      </c>
    </row>
    <row r="27" spans="1:20" ht="45" x14ac:dyDescent="0.25">
      <c r="A27" s="6">
        <f t="shared" si="1"/>
        <v>26</v>
      </c>
      <c r="B27" s="62">
        <v>45292</v>
      </c>
      <c r="C27" s="17" t="s">
        <v>1053</v>
      </c>
      <c r="D27" s="17" t="s">
        <v>1054</v>
      </c>
      <c r="E27" s="17"/>
      <c r="F27" t="s">
        <v>1055</v>
      </c>
      <c r="G27" s="161">
        <f>MONTH(EJECUTADO[[#This Row],[FECHA]])</f>
        <v>1</v>
      </c>
      <c r="H27" s="163" t="str">
        <f>MID(EJECUTADO[[#This Row],[CUENTA]],1,4)</f>
        <v>E-07</v>
      </c>
      <c r="I27" s="163" t="str">
        <f>INDEX(CATALOGO[Descripción],MATCH(EJECUTADO[[#This Row],[APLICACIÓN]]&amp;"-00-00-00",CATALOGO[Código],0))</f>
        <v>SERVICIOS TECNOLOGICOS</v>
      </c>
      <c r="J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Enlace ComercialDigicel   Internet Alumnos $ 3,560.00 x 12 </v>
      </c>
      <c r="K27" s="161" t="str">
        <f>IF((EJECUTADO[[#This Row],[MONTO DISPONIBLE ]]-EJECUTADO[[#This Row],[MONTO SOLICITADO]])&gt;=0,"PRESUPUESTO: SI","PRESUPUESTO: NO")</f>
        <v>PRESUPUESTO: SI</v>
      </c>
      <c r="L27" s="162">
        <f>SUMIF(PRESUPUESTO[CUENTA],EJECUTADO[[#This Row],[CUENTA]],PRESUPUESTO[MONTO])-SUMIF($F$1:F26,EJECUTADO[[#This Row],[CUENTA]],$M$1:M26)</f>
        <v>42700</v>
      </c>
      <c r="M27" s="2">
        <v>3051</v>
      </c>
      <c r="N27" s="2"/>
      <c r="O27" s="2"/>
      <c r="P27" s="162">
        <f>+EJECUTADO[[#This Row],[MONTO SOLICITADO]]-EJECUTADO[[#This Row],[RETENCION IVA]]-EJECUTADO[[#This Row],[RETENCION ISR]]</f>
        <v>3051</v>
      </c>
      <c r="Q27" s="84" t="s">
        <v>1000</v>
      </c>
      <c r="R27" s="2"/>
      <c r="S27">
        <v>1</v>
      </c>
      <c r="T27" s="168" t="str">
        <f t="shared" si="0"/>
        <v>SERVICIOS TECNOLOGICOS - Enlace ComercialDigicel   Internet Alumnos $ 3,560.00 x 12  Disponible $42700 Solicitado $3051 PRESUPUESTO: SI</v>
      </c>
    </row>
    <row r="28" spans="1:20" ht="45" x14ac:dyDescent="0.25">
      <c r="A28" s="6">
        <f t="shared" si="1"/>
        <v>27</v>
      </c>
      <c r="B28" s="62">
        <v>45292</v>
      </c>
      <c r="C28" s="17" t="s">
        <v>1056</v>
      </c>
      <c r="D28" s="17" t="s">
        <v>1057</v>
      </c>
      <c r="E28" s="17"/>
      <c r="F28" t="s">
        <v>1058</v>
      </c>
      <c r="G28" s="161">
        <f>MONTH(EJECUTADO[[#This Row],[FECHA]])</f>
        <v>1</v>
      </c>
      <c r="H28" s="163" t="str">
        <f>MID(EJECUTADO[[#This Row],[CUENTA]],1,4)</f>
        <v>E-13</v>
      </c>
      <c r="I28" s="163" t="str">
        <f>INDEX(CATALOGO[Descripción],MATCH(EJECUTADO[[#This Row],[APLICACIÓN]]&amp;"-00-00-00",CATALOGO[Código],0))</f>
        <v>MAESTRIAS Y POSTGRADOS</v>
      </c>
      <c r="J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AIRE ACONDICIONADO </v>
      </c>
      <c r="K28" s="161" t="str">
        <f>IF((EJECUTADO[[#This Row],[MONTO DISPONIBLE ]]-EJECUTADO[[#This Row],[MONTO SOLICITADO]])&gt;=0,"PRESUPUESTO: SI","PRESUPUESTO: NO")</f>
        <v>PRESUPUESTO: SI</v>
      </c>
      <c r="L28" s="162">
        <f>SUMIF(PRESUPUESTO[CUENTA],EJECUTADO[[#This Row],[CUENTA]],PRESUPUESTO[MONTO])-SUMIF($F$1:F27,EJECUTADO[[#This Row],[CUENTA]],$M$1:M27)</f>
        <v>1000</v>
      </c>
      <c r="M28" s="2">
        <v>180</v>
      </c>
      <c r="N28" s="2"/>
      <c r="O28" s="2"/>
      <c r="P28" s="162">
        <f>+EJECUTADO[[#This Row],[MONTO SOLICITADO]]-EJECUTADO[[#This Row],[RETENCION IVA]]-EJECUTADO[[#This Row],[RETENCION ISR]]</f>
        <v>180</v>
      </c>
      <c r="Q28" s="84" t="s">
        <v>1000</v>
      </c>
      <c r="R28" s="2"/>
      <c r="S28">
        <v>1</v>
      </c>
      <c r="T28" s="168" t="str">
        <f t="shared" si="0"/>
        <v>MAESTRIAS Y POSTGRADOS - MANTENIMIENTO AIRE ACONDICIONADO  Disponible $1000 Solicitado $180 PRESUPUESTO: SI</v>
      </c>
    </row>
    <row r="29" spans="1:20" ht="30" x14ac:dyDescent="0.25">
      <c r="A29" s="6">
        <f t="shared" si="1"/>
        <v>28</v>
      </c>
      <c r="B29" s="62">
        <v>45292</v>
      </c>
      <c r="C29" s="17" t="s">
        <v>1059</v>
      </c>
      <c r="D29" s="17" t="s">
        <v>1060</v>
      </c>
      <c r="E29" s="17"/>
      <c r="F29" t="s">
        <v>1061</v>
      </c>
      <c r="G29" s="161">
        <f>MONTH(EJECUTADO[[#This Row],[FECHA]])</f>
        <v>1</v>
      </c>
      <c r="H29" s="163" t="str">
        <f>MID(EJECUTADO[[#This Row],[CUENTA]],1,4)</f>
        <v>E-04</v>
      </c>
      <c r="I29" s="163" t="str">
        <f>INDEX(CATALOGO[Descripción],MATCH(EJECUTADO[[#This Row],[APLICACIÓN]]&amp;"-00-00-00",CATALOGO[Código],0))</f>
        <v>SUELDOS ACADÉMICOS</v>
      </c>
      <c r="J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29" s="161" t="str">
        <f>IF((EJECUTADO[[#This Row],[MONTO DISPONIBLE ]]-EJECUTADO[[#This Row],[MONTO SOLICITADO]])&gt;=0,"PRESUPUESTO: SI","PRESUPUESTO: NO")</f>
        <v>PRESUPUESTO: SI</v>
      </c>
      <c r="L29" s="162">
        <f>SUMIF(PRESUPUESTO[CUENTA],EJECUTADO[[#This Row],[CUENTA]],PRESUPUESTO[MONTO])-SUMIF($F$1:F28,EJECUTADO[[#This Row],[CUENTA]],$M$1:M28)</f>
        <v>115050</v>
      </c>
      <c r="M29" s="2">
        <v>36.049999999999997</v>
      </c>
      <c r="N29" s="2"/>
      <c r="O29" s="2"/>
      <c r="P29" s="162">
        <f>+EJECUTADO[[#This Row],[MONTO SOLICITADO]]-EJECUTADO[[#This Row],[RETENCION IVA]]-EJECUTADO[[#This Row],[RETENCION ISR]]</f>
        <v>36.049999999999997</v>
      </c>
      <c r="Q29" s="84" t="s">
        <v>1000</v>
      </c>
      <c r="R29" s="2"/>
      <c r="S29">
        <v>1</v>
      </c>
      <c r="T29" s="168" t="str">
        <f t="shared" si="0"/>
        <v>SUELDOS ACADÉMICOS - SUELDOS Y SALARIOS FACULTAD DE INFORMATICA Y CIENCIAS APLICADAS Disponible $115050 Solicitado $36.05 PRESUPUESTO: SI</v>
      </c>
    </row>
    <row r="30" spans="1:20" ht="45" x14ac:dyDescent="0.25">
      <c r="A30" s="6">
        <f t="shared" si="1"/>
        <v>29</v>
      </c>
      <c r="B30" s="62">
        <v>45292</v>
      </c>
      <c r="C30" s="17" t="s">
        <v>1059</v>
      </c>
      <c r="D30" s="17" t="s">
        <v>1062</v>
      </c>
      <c r="E30" s="17"/>
      <c r="F30" t="s">
        <v>1032</v>
      </c>
      <c r="G30" s="161">
        <f>MONTH(EJECUTADO[[#This Row],[FECHA]])</f>
        <v>1</v>
      </c>
      <c r="H30" s="163" t="str">
        <f>MID(EJECUTADO[[#This Row],[CUENTA]],1,4)</f>
        <v>E-09</v>
      </c>
      <c r="I30" s="163" t="str">
        <f>INDEX(CATALOGO[Descripción],MATCH(EJECUTADO[[#This Row],[APLICACIÓN]]&amp;"-00-00-00",CATALOGO[Código],0))</f>
        <v>PRESTACIONES AL PERSONAL</v>
      </c>
      <c r="J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30" s="161" t="str">
        <f>IF((EJECUTADO[[#This Row],[MONTO DISPONIBLE ]]-EJECUTADO[[#This Row],[MONTO SOLICITADO]])&gt;=0,"PRESUPUESTO: SI","PRESUPUESTO: NO")</f>
        <v>PRESUPUESTO: SI</v>
      </c>
      <c r="L30" s="162">
        <f>SUMIF(PRESUPUESTO[CUENTA],EJECUTADO[[#This Row],[CUENTA]],PRESUPUESTO[MONTO])-SUMIF($F$1:F29,EJECUTADO[[#This Row],[CUENTA]],$M$1:M29)</f>
        <v>123597.88</v>
      </c>
      <c r="M30" s="2">
        <v>10650.47</v>
      </c>
      <c r="N30" s="2"/>
      <c r="O30" s="2"/>
      <c r="P30" s="162">
        <f>+EJECUTADO[[#This Row],[MONTO SOLICITADO]]-EJECUTADO[[#This Row],[RETENCION IVA]]-EJECUTADO[[#This Row],[RETENCION ISR]]</f>
        <v>10650.47</v>
      </c>
      <c r="Q30" s="84" t="s">
        <v>1000</v>
      </c>
      <c r="R30" s="2"/>
      <c r="S30">
        <v>1</v>
      </c>
      <c r="T30" s="168" t="str">
        <f t="shared" si="0"/>
        <v>PRESTACIONES AL PERSONAL - Liquidaciones laborales y compensaciones Disponible $123597.88 Solicitado $10650.47 PRESUPUESTO: SI</v>
      </c>
    </row>
    <row r="31" spans="1:20" ht="45" x14ac:dyDescent="0.25">
      <c r="A31" s="6">
        <f t="shared" si="1"/>
        <v>30</v>
      </c>
      <c r="B31" s="62">
        <v>45292</v>
      </c>
      <c r="C31" s="17" t="s">
        <v>1063</v>
      </c>
      <c r="D31" s="17" t="s">
        <v>1064</v>
      </c>
      <c r="E31" s="17"/>
      <c r="F31" t="s">
        <v>1065</v>
      </c>
      <c r="G31" s="161">
        <f>MONTH(EJECUTADO[[#This Row],[FECHA]])</f>
        <v>1</v>
      </c>
      <c r="H31" s="163" t="str">
        <f>MID(EJECUTADO[[#This Row],[CUENTA]],1,4)</f>
        <v>E-16</v>
      </c>
      <c r="I31" s="163" t="str">
        <f>INDEX(CATALOGO[Descripción],MATCH(EJECUTADO[[#This Row],[APLICACIÓN]]&amp;"-00-00-00",CATALOGO[Código],0))</f>
        <v xml:space="preserve">PRE-ESPECIALIDAD </v>
      </c>
      <c r="J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31" s="161" t="str">
        <f>IF((EJECUTADO[[#This Row],[MONTO DISPONIBLE ]]-EJECUTADO[[#This Row],[MONTO SOLICITADO]])&gt;=0,"PRESUPUESTO: SI","PRESUPUESTO: NO")</f>
        <v>PRESUPUESTO: NO</v>
      </c>
      <c r="L31" s="162">
        <f>SUMIF(PRESUPUESTO[CUENTA],EJECUTADO[[#This Row],[CUENTA]],PRESUPUESTO[MONTO])-SUMIF($F$1:F30,EJECUTADO[[#This Row],[CUENTA]],$M$1:M30)</f>
        <v>0</v>
      </c>
      <c r="M31" s="2">
        <v>4900</v>
      </c>
      <c r="N31" s="2"/>
      <c r="O31" s="2"/>
      <c r="P31" s="162">
        <f>+EJECUTADO[[#This Row],[MONTO SOLICITADO]]-EJECUTADO[[#This Row],[RETENCION IVA]]-EJECUTADO[[#This Row],[RETENCION ISR]]</f>
        <v>4900</v>
      </c>
      <c r="Q31" s="84" t="s">
        <v>1000</v>
      </c>
      <c r="R31" s="2"/>
      <c r="S31">
        <v>1</v>
      </c>
      <c r="T31" s="168" t="str">
        <f t="shared" si="0"/>
        <v>PRE-ESPECIALIDAD  - ND Disponible $0 Solicitado $4900 PRESUPUESTO: NO</v>
      </c>
    </row>
    <row r="32" spans="1:20" ht="45" x14ac:dyDescent="0.25">
      <c r="A32" s="6">
        <f t="shared" si="1"/>
        <v>31</v>
      </c>
      <c r="B32" s="62">
        <v>45292</v>
      </c>
      <c r="C32" s="17" t="s">
        <v>1066</v>
      </c>
      <c r="D32" s="17" t="s">
        <v>1067</v>
      </c>
      <c r="E32" s="17"/>
      <c r="F32" t="s">
        <v>1068</v>
      </c>
      <c r="G32" s="161">
        <f>MONTH(EJECUTADO[[#This Row],[FECHA]])</f>
        <v>1</v>
      </c>
      <c r="H32" s="163" t="str">
        <f>MID(EJECUTADO[[#This Row],[CUENTA]],1,4)</f>
        <v>E-15</v>
      </c>
      <c r="I32" s="163" t="str">
        <f>INDEX(CATALOGO[Descripción],MATCH(EJECUTADO[[#This Row],[APLICACIÓN]]&amp;"-00-00-00",CATALOGO[Código],0))</f>
        <v>ALQUILERES</v>
      </c>
      <c r="J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Bodega externa Admón Académica  Datasafe</v>
      </c>
      <c r="K32" s="161" t="str">
        <f>IF((EJECUTADO[[#This Row],[MONTO DISPONIBLE ]]-EJECUTADO[[#This Row],[MONTO SOLICITADO]])&gt;=0,"PRESUPUESTO: SI","PRESUPUESTO: NO")</f>
        <v>PRESUPUESTO: SI</v>
      </c>
      <c r="L32" s="162">
        <f>SUMIF(PRESUPUESTO[CUENTA],EJECUTADO[[#This Row],[CUENTA]],PRESUPUESTO[MONTO])-SUMIF($F$1:F31,EJECUTADO[[#This Row],[CUENTA]],$M$1:M31)</f>
        <v>6450</v>
      </c>
      <c r="M32" s="2">
        <v>554.79</v>
      </c>
      <c r="N32" s="2"/>
      <c r="O32" s="2"/>
      <c r="P32" s="162">
        <f>+EJECUTADO[[#This Row],[MONTO SOLICITADO]]-EJECUTADO[[#This Row],[RETENCION IVA]]-EJECUTADO[[#This Row],[RETENCION ISR]]</f>
        <v>554.79</v>
      </c>
      <c r="Q32" s="84" t="s">
        <v>1000</v>
      </c>
      <c r="R32" s="2"/>
      <c r="S32">
        <v>1</v>
      </c>
      <c r="T32" s="168" t="str">
        <f t="shared" si="0"/>
        <v>ALQUILERES - Bodega externa Admón Académica  Datasafe Disponible $6450 Solicitado $554.79 PRESUPUESTO: SI</v>
      </c>
    </row>
    <row r="33" spans="1:20" ht="30" x14ac:dyDescent="0.25">
      <c r="A33" s="6">
        <f t="shared" si="1"/>
        <v>32</v>
      </c>
      <c r="B33" s="62">
        <v>45292</v>
      </c>
      <c r="C33" s="17" t="s">
        <v>1069</v>
      </c>
      <c r="D33" s="17" t="s">
        <v>1070</v>
      </c>
      <c r="E33" s="17"/>
      <c r="F33" t="s">
        <v>1071</v>
      </c>
      <c r="G33" s="161">
        <f>MONTH(EJECUTADO[[#This Row],[FECHA]])</f>
        <v>1</v>
      </c>
      <c r="H33" s="163" t="str">
        <f>MID(EJECUTADO[[#This Row],[CUENTA]],1,4)</f>
        <v>E-24</v>
      </c>
      <c r="I33" s="163" t="str">
        <f>INDEX(CATALOGO[Descripción],MATCH(EJECUTADO[[#This Row],[APLICACIÓN]]&amp;"-00-00-00",CATALOGO[Código],0))</f>
        <v>NUEVO INGRESO</v>
      </c>
      <c r="J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PROMOCIONAL</v>
      </c>
      <c r="K33" s="161" t="str">
        <f>IF((EJECUTADO[[#This Row],[MONTO DISPONIBLE ]]-EJECUTADO[[#This Row],[MONTO SOLICITADO]])&gt;=0,"PRESUPUESTO: SI","PRESUPUESTO: NO")</f>
        <v>PRESUPUESTO: NO</v>
      </c>
      <c r="L33" s="162">
        <f>SUMIF(PRESUPUESTO[CUENTA],EJECUTADO[[#This Row],[CUENTA]],PRESUPUESTO[MONTO])-SUMIF($F$1:F32,EJECUTADO[[#This Row],[CUENTA]],$M$1:M32)</f>
        <v>0</v>
      </c>
      <c r="M33" s="2">
        <v>3000</v>
      </c>
      <c r="N33" s="2"/>
      <c r="O33" s="2"/>
      <c r="P33" s="162">
        <f>+EJECUTADO[[#This Row],[MONTO SOLICITADO]]-EJECUTADO[[#This Row],[RETENCION IVA]]-EJECUTADO[[#This Row],[RETENCION ISR]]</f>
        <v>3000</v>
      </c>
      <c r="Q33" s="84" t="s">
        <v>1000</v>
      </c>
      <c r="R33" s="2"/>
      <c r="S33">
        <v>1</v>
      </c>
      <c r="T33" s="168" t="str">
        <f t="shared" si="0"/>
        <v>NUEVO INGRESO - PUBLICIDAD PROMOCIONAL Disponible $0 Solicitado $3000 PRESUPUESTO: NO</v>
      </c>
    </row>
    <row r="34" spans="1:20" ht="45" x14ac:dyDescent="0.25">
      <c r="A34" s="6">
        <f t="shared" si="1"/>
        <v>33</v>
      </c>
      <c r="B34" s="62">
        <v>45292</v>
      </c>
      <c r="C34" s="17" t="s">
        <v>1072</v>
      </c>
      <c r="D34" s="17" t="s">
        <v>1073</v>
      </c>
      <c r="E34" s="17"/>
      <c r="F34" t="s">
        <v>1074</v>
      </c>
      <c r="G34" s="161">
        <f>MONTH(EJECUTADO[[#This Row],[FECHA]])</f>
        <v>1</v>
      </c>
      <c r="H34" s="163" t="str">
        <f>MID(EJECUTADO[[#This Row],[CUENTA]],1,4)</f>
        <v>E-15</v>
      </c>
      <c r="I34" s="163" t="str">
        <f>INDEX(CATALOGO[Descripción],MATCH(EJECUTADO[[#This Row],[APLICACIÓN]]&amp;"-00-00-00",CATALOGO[Código],0))</f>
        <v>ALQUILERES</v>
      </c>
      <c r="J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Parqueo de estudiantes Calleja 12   $ 11,136.33</v>
      </c>
      <c r="K34" s="161" t="str">
        <f>IF((EJECUTADO[[#This Row],[MONTO DISPONIBLE ]]-EJECUTADO[[#This Row],[MONTO SOLICITADO]])&gt;=0,"PRESUPUESTO: SI","PRESUPUESTO: NO")</f>
        <v>PRESUPUESTO: SI</v>
      </c>
      <c r="L34" s="162">
        <f>SUMIF(PRESUPUESTO[CUENTA],EJECUTADO[[#This Row],[CUENTA]],PRESUPUESTO[MONTO])-SUMIF($F$1:F33,EJECUTADO[[#This Row],[CUENTA]],$M$1:M33)</f>
        <v>133630</v>
      </c>
      <c r="M34" s="2">
        <v>777.8</v>
      </c>
      <c r="N34" s="2"/>
      <c r="O34" s="2"/>
      <c r="P34" s="162">
        <f>+EJECUTADO[[#This Row],[MONTO SOLICITADO]]-EJECUTADO[[#This Row],[RETENCION IVA]]-EJECUTADO[[#This Row],[RETENCION ISR]]</f>
        <v>777.8</v>
      </c>
      <c r="Q34" s="84" t="s">
        <v>1000</v>
      </c>
      <c r="R34" s="2"/>
      <c r="S34">
        <v>1</v>
      </c>
      <c r="T34" s="168" t="str">
        <f t="shared" si="0"/>
        <v>ALQUILERES - Parqueo de estudiantes Calleja 12   $ 11,136.33 Disponible $133630 Solicitado $777.8 PRESUPUESTO: SI</v>
      </c>
    </row>
    <row r="35" spans="1:20" ht="45" x14ac:dyDescent="0.25">
      <c r="A35" s="6">
        <f t="shared" si="1"/>
        <v>34</v>
      </c>
      <c r="B35" s="62">
        <v>45292</v>
      </c>
      <c r="C35" s="17" t="s">
        <v>1072</v>
      </c>
      <c r="D35" s="17" t="s">
        <v>1075</v>
      </c>
      <c r="E35" s="17"/>
      <c r="F35" t="s">
        <v>1074</v>
      </c>
      <c r="G35" s="161">
        <f>MONTH(EJECUTADO[[#This Row],[FECHA]])</f>
        <v>1</v>
      </c>
      <c r="H35" s="163" t="str">
        <f>MID(EJECUTADO[[#This Row],[CUENTA]],1,4)</f>
        <v>E-15</v>
      </c>
      <c r="I35" s="163" t="str">
        <f>INDEX(CATALOGO[Descripción],MATCH(EJECUTADO[[#This Row],[APLICACIÓN]]&amp;"-00-00-00",CATALOGO[Código],0))</f>
        <v>ALQUILERES</v>
      </c>
      <c r="J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Parqueo de estudiantes Calleja 12   $ 11,136.33</v>
      </c>
      <c r="K35" s="161" t="str">
        <f>IF((EJECUTADO[[#This Row],[MONTO DISPONIBLE ]]-EJECUTADO[[#This Row],[MONTO SOLICITADO]])&gt;=0,"PRESUPUESTO: SI","PRESUPUESTO: NO")</f>
        <v>PRESUPUESTO: SI</v>
      </c>
      <c r="L35" s="162">
        <f>SUMIF(PRESUPUESTO[CUENTA],EJECUTADO[[#This Row],[CUENTA]],PRESUPUESTO[MONTO])-SUMIF($F$1:F34,EJECUTADO[[#This Row],[CUENTA]],$M$1:M34)</f>
        <v>132852.20000000001</v>
      </c>
      <c r="M35" s="2">
        <v>530.29999999999995</v>
      </c>
      <c r="N35" s="2"/>
      <c r="O35" s="2"/>
      <c r="P35" s="162">
        <f>+EJECUTADO[[#This Row],[MONTO SOLICITADO]]-EJECUTADO[[#This Row],[RETENCION IVA]]-EJECUTADO[[#This Row],[RETENCION ISR]]</f>
        <v>530.29999999999995</v>
      </c>
      <c r="Q35" s="84" t="s">
        <v>1000</v>
      </c>
      <c r="R35" s="2"/>
      <c r="S35">
        <v>1</v>
      </c>
      <c r="T35" s="168" t="str">
        <f t="shared" si="0"/>
        <v>ALQUILERES - Parqueo de estudiantes Calleja 12   $ 11,136.33 Disponible $132852.2 Solicitado $530.3 PRESUPUESTO: SI</v>
      </c>
    </row>
    <row r="36" spans="1:20" ht="45" x14ac:dyDescent="0.25">
      <c r="A36" s="6">
        <f t="shared" si="1"/>
        <v>35</v>
      </c>
      <c r="B36" s="62">
        <v>45292</v>
      </c>
      <c r="C36" s="17" t="s">
        <v>1076</v>
      </c>
      <c r="D36" s="17" t="s">
        <v>1077</v>
      </c>
      <c r="E36" s="17"/>
      <c r="F36" t="s">
        <v>1078</v>
      </c>
      <c r="G36" s="161">
        <f>MONTH(EJECUTADO[[#This Row],[FECHA]])</f>
        <v>1</v>
      </c>
      <c r="H36" s="163" t="str">
        <f>MID(EJECUTADO[[#This Row],[CUENTA]],1,4)</f>
        <v>E-26</v>
      </c>
      <c r="I36" s="163" t="str">
        <f>INDEX(CATALOGO[Descripción],MATCH(EJECUTADO[[#This Row],[APLICACIÓN]]&amp;"-00-00-00",CATALOGO[Código],0))</f>
        <v>EVENTOS ACADEMICOS, CULTURALES  E INSTITUCIONALES</v>
      </c>
      <c r="J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DE REPRESENTACION </v>
      </c>
      <c r="K36" s="161" t="str">
        <f>IF((EJECUTADO[[#This Row],[MONTO DISPONIBLE ]]-EJECUTADO[[#This Row],[MONTO SOLICITADO]])&gt;=0,"PRESUPUESTO: SI","PRESUPUESTO: NO")</f>
        <v>PRESUPUESTO: SI</v>
      </c>
      <c r="L36" s="162">
        <f>SUMIF(PRESUPUESTO[CUENTA],EJECUTADO[[#This Row],[CUENTA]],PRESUPUESTO[MONTO])-SUMIF($F$1:F35,EJECUTADO[[#This Row],[CUENTA]],$M$1:M35)</f>
        <v>110100</v>
      </c>
      <c r="M36" s="2">
        <v>1714.29</v>
      </c>
      <c r="N36" s="2"/>
      <c r="O36" s="2"/>
      <c r="P36" s="162">
        <f>+EJECUTADO[[#This Row],[MONTO SOLICITADO]]-EJECUTADO[[#This Row],[RETENCION IVA]]-EJECUTADO[[#This Row],[RETENCION ISR]]</f>
        <v>1714.29</v>
      </c>
      <c r="Q36" s="84" t="s">
        <v>1000</v>
      </c>
      <c r="R36" s="2"/>
      <c r="S36">
        <v>1</v>
      </c>
      <c r="T36" s="168" t="str">
        <f t="shared" si="0"/>
        <v>EVENTOS ACADEMICOS, CULTURALES  E INSTITUCIONALES - GASTOS DE REPRESENTACION  Disponible $110100 Solicitado $1714.29 PRESUPUESTO: SI</v>
      </c>
    </row>
    <row r="37" spans="1:20" x14ac:dyDescent="0.25">
      <c r="A37" s="6">
        <f t="shared" si="1"/>
        <v>36</v>
      </c>
      <c r="B37" s="62">
        <v>45292</v>
      </c>
      <c r="C37" s="17" t="s">
        <v>1079</v>
      </c>
      <c r="D37" s="17" t="s">
        <v>1080</v>
      </c>
      <c r="E37" s="17"/>
      <c r="F37" t="s">
        <v>1081</v>
      </c>
      <c r="G37" s="161">
        <f>MONTH(EJECUTADO[[#This Row],[FECHA]])</f>
        <v>1</v>
      </c>
      <c r="H37" s="163" t="str">
        <f>MID(EJECUTADO[[#This Row],[CUENTA]],1,4)</f>
        <v>E-10</v>
      </c>
      <c r="I37" s="163" t="str">
        <f>INDEX(CATALOGO[Descripción],MATCH(EJECUTADO[[#This Row],[APLICACIÓN]]&amp;"-00-00-00",CATALOGO[Código],0))</f>
        <v>SERVICIOS PUBLICOS</v>
      </c>
      <c r="J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37" s="161" t="str">
        <f>IF((EJECUTADO[[#This Row],[MONTO DISPONIBLE ]]-EJECUTADO[[#This Row],[MONTO SOLICITADO]])&gt;=0,"PRESUPUESTO: SI","PRESUPUESTO: NO")</f>
        <v>PRESUPUESTO: SI</v>
      </c>
      <c r="L37" s="162">
        <f>SUMIF(PRESUPUESTO[CUENTA],EJECUTADO[[#This Row],[CUENTA]],PRESUPUESTO[MONTO])-SUMIF($F$1:F36,EJECUTADO[[#This Row],[CUENTA]],$M$1:M36)</f>
        <v>360000</v>
      </c>
      <c r="M37" s="2">
        <v>7403.12</v>
      </c>
      <c r="N37" s="2"/>
      <c r="O37" s="2"/>
      <c r="P37" s="162">
        <f>+EJECUTADO[[#This Row],[MONTO SOLICITADO]]-EJECUTADO[[#This Row],[RETENCION IVA]]-EJECUTADO[[#This Row],[RETENCION ISR]]</f>
        <v>7403.12</v>
      </c>
      <c r="Q37" s="84" t="s">
        <v>1000</v>
      </c>
      <c r="R37" s="2"/>
      <c r="S37">
        <v>1</v>
      </c>
      <c r="T37" s="168" t="str">
        <f t="shared" si="0"/>
        <v>SERVICIOS PUBLICOS - ENERGÍA ELÉCTRICA Disponible $360000 Solicitado $7403.12 PRESUPUESTO: SI</v>
      </c>
    </row>
    <row r="38" spans="1:20" ht="30" x14ac:dyDescent="0.25">
      <c r="A38" s="6">
        <f t="shared" si="1"/>
        <v>37</v>
      </c>
      <c r="B38" s="62">
        <v>45292</v>
      </c>
      <c r="C38" s="17" t="s">
        <v>1079</v>
      </c>
      <c r="D38" s="17" t="s">
        <v>248</v>
      </c>
      <c r="E38" s="17"/>
      <c r="F38" t="s">
        <v>1082</v>
      </c>
      <c r="G38" s="161">
        <f>MONTH(EJECUTADO[[#This Row],[FECHA]])</f>
        <v>1</v>
      </c>
      <c r="H38" s="163" t="str">
        <f>MID(EJECUTADO[[#This Row],[CUENTA]],1,4)</f>
        <v>E-10</v>
      </c>
      <c r="I38" s="163" t="str">
        <f>INDEX(CATALOGO[Descripción],MATCH(EJECUTADO[[#This Row],[APLICACIÓN]]&amp;"-00-00-00",CATALOGO[Código],0))</f>
        <v>SERVICIOS PUBLICOS</v>
      </c>
      <c r="J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38" s="161" t="str">
        <f>IF((EJECUTADO[[#This Row],[MONTO DISPONIBLE ]]-EJECUTADO[[#This Row],[MONTO SOLICITADO]])&gt;=0,"PRESUPUESTO: SI","PRESUPUESTO: NO")</f>
        <v>PRESUPUESTO: SI</v>
      </c>
      <c r="L38" s="162">
        <f>SUMIF(PRESUPUESTO[CUENTA],EJECUTADO[[#This Row],[CUENTA]],PRESUPUESTO[MONTO])-SUMIF($F$1:F37,EJECUTADO[[#This Row],[CUENTA]],$M$1:M37)</f>
        <v>150000</v>
      </c>
      <c r="M38" s="2">
        <v>2210.3000000000002</v>
      </c>
      <c r="N38" s="2"/>
      <c r="O38" s="2"/>
      <c r="P38" s="162">
        <f>+EJECUTADO[[#This Row],[MONTO SOLICITADO]]-EJECUTADO[[#This Row],[RETENCION IVA]]-EJECUTADO[[#This Row],[RETENCION ISR]]</f>
        <v>2210.3000000000002</v>
      </c>
      <c r="Q38" s="84" t="s">
        <v>1000</v>
      </c>
      <c r="R38" s="2"/>
      <c r="S38">
        <v>1</v>
      </c>
      <c r="T38" s="168" t="str">
        <f t="shared" si="0"/>
        <v>SERVICIOS PUBLICOS - IMPUESTOS FISCALES  Disponible $150000 Solicitado $2210.3 PRESUPUESTO: SI</v>
      </c>
    </row>
    <row r="39" spans="1:20" x14ac:dyDescent="0.25">
      <c r="A39" s="6">
        <f t="shared" si="1"/>
        <v>38</v>
      </c>
      <c r="B39" s="62">
        <v>45292</v>
      </c>
      <c r="C39" s="17" t="s">
        <v>1083</v>
      </c>
      <c r="D39" s="17" t="s">
        <v>249</v>
      </c>
      <c r="E39" s="17"/>
      <c r="F39" t="s">
        <v>1084</v>
      </c>
      <c r="G39" s="161">
        <f>MONTH(EJECUTADO[[#This Row],[FECHA]])</f>
        <v>1</v>
      </c>
      <c r="H39" s="163" t="str">
        <f>MID(EJECUTADO[[#This Row],[CUENTA]],1,4)</f>
        <v>E-10</v>
      </c>
      <c r="I39" s="163" t="str">
        <f>INDEX(CATALOGO[Descripción],MATCH(EJECUTADO[[#This Row],[APLICACIÓN]]&amp;"-00-00-00",CATALOGO[Código],0))</f>
        <v>SERVICIOS PUBLICOS</v>
      </c>
      <c r="J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39" s="161" t="str">
        <f>IF((EJECUTADO[[#This Row],[MONTO DISPONIBLE ]]-EJECUTADO[[#This Row],[MONTO SOLICITADO]])&gt;=0,"PRESUPUESTO: SI","PRESUPUESTO: NO")</f>
        <v>PRESUPUESTO: SI</v>
      </c>
      <c r="L39" s="162">
        <f>SUMIF(PRESUPUESTO[CUENTA],EJECUTADO[[#This Row],[CUENTA]],PRESUPUESTO[MONTO])-SUMIF($F$1:F38,EJECUTADO[[#This Row],[CUENTA]],$M$1:M38)</f>
        <v>90000</v>
      </c>
      <c r="M39" s="2">
        <v>4108.0200000000004</v>
      </c>
      <c r="N39" s="2"/>
      <c r="O39" s="2"/>
      <c r="P39" s="162">
        <f>+EJECUTADO[[#This Row],[MONTO SOLICITADO]]-EJECUTADO[[#This Row],[RETENCION IVA]]-EJECUTADO[[#This Row],[RETENCION ISR]]</f>
        <v>4108.0200000000004</v>
      </c>
      <c r="Q39" s="84" t="s">
        <v>1000</v>
      </c>
      <c r="R39" s="2"/>
      <c r="S39">
        <v>1</v>
      </c>
      <c r="T39" s="168" t="str">
        <f t="shared" si="0"/>
        <v>SERVICIOS PUBLICOS - SERVICIO DE AGUA Disponible $90000 Solicitado $4108.02 PRESUPUESTO: SI</v>
      </c>
    </row>
    <row r="40" spans="1:20" ht="30" x14ac:dyDescent="0.25">
      <c r="A40" s="6">
        <f t="shared" si="1"/>
        <v>39</v>
      </c>
      <c r="B40" s="62">
        <v>45292</v>
      </c>
      <c r="C40" s="17" t="s">
        <v>1085</v>
      </c>
      <c r="D40" s="17" t="s">
        <v>1086</v>
      </c>
      <c r="E40" s="17"/>
      <c r="F40" t="s">
        <v>1087</v>
      </c>
      <c r="G40" s="161">
        <f>MONTH(EJECUTADO[[#This Row],[FECHA]])</f>
        <v>1</v>
      </c>
      <c r="H40" s="163" t="str">
        <f>MID(EJECUTADO[[#This Row],[CUENTA]],1,4)</f>
        <v>E-24</v>
      </c>
      <c r="I40" s="163" t="str">
        <f>INDEX(CATALOGO[Descripción],MATCH(EJECUTADO[[#This Row],[APLICACIÓN]]&amp;"-00-00-00",CATALOGO[Código],0))</f>
        <v>NUEVO INGRESO</v>
      </c>
      <c r="J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Energia electrica $ 200 X 12</v>
      </c>
      <c r="K40" s="161" t="str">
        <f>IF((EJECUTADO[[#This Row],[MONTO DISPONIBLE ]]-EJECUTADO[[#This Row],[MONTO SOLICITADO]])&gt;=0,"PRESUPUESTO: SI","PRESUPUESTO: NO")</f>
        <v>PRESUPUESTO: SI</v>
      </c>
      <c r="L40" s="162">
        <f>SUMIF(PRESUPUESTO[CUENTA],EJECUTADO[[#This Row],[CUENTA]],PRESUPUESTO[MONTO])-SUMIF($F$1:F39,EJECUTADO[[#This Row],[CUENTA]],$M$1:M39)</f>
        <v>2400</v>
      </c>
      <c r="M40" s="2">
        <v>296.41000000000003</v>
      </c>
      <c r="N40" s="2"/>
      <c r="O40" s="2"/>
      <c r="P40" s="162">
        <f>+EJECUTADO[[#This Row],[MONTO SOLICITADO]]-EJECUTADO[[#This Row],[RETENCION IVA]]-EJECUTADO[[#This Row],[RETENCION ISR]]</f>
        <v>296.41000000000003</v>
      </c>
      <c r="Q40" s="84" t="s">
        <v>1000</v>
      </c>
      <c r="R40" s="2"/>
      <c r="S40">
        <v>1</v>
      </c>
      <c r="T40" s="168" t="str">
        <f t="shared" si="0"/>
        <v>NUEVO INGRESO - Plaza Mundo - Energia electrica $ 200 X 12 Disponible $2400 Solicitado $296.41 PRESUPUESTO: SI</v>
      </c>
    </row>
    <row r="41" spans="1:20" ht="30" x14ac:dyDescent="0.25">
      <c r="A41" s="6">
        <f t="shared" si="1"/>
        <v>40</v>
      </c>
      <c r="B41" s="62">
        <v>45292</v>
      </c>
      <c r="C41" s="17" t="s">
        <v>1088</v>
      </c>
      <c r="D41" s="17" t="s">
        <v>1089</v>
      </c>
      <c r="E41" s="17"/>
      <c r="F41" t="s">
        <v>1090</v>
      </c>
      <c r="G41" s="161">
        <f>MONTH(EJECUTADO[[#This Row],[FECHA]])</f>
        <v>1</v>
      </c>
      <c r="H41" s="163" t="str">
        <f>MID(EJECUTADO[[#This Row],[CUENTA]],1,4)</f>
        <v>E-07</v>
      </c>
      <c r="I41" s="163" t="str">
        <f>INDEX(CATALOGO[Descripción],MATCH(EJECUTADO[[#This Row],[APLICACIÓN]]&amp;"-00-00-00",CATALOGO[Código],0))</f>
        <v>SERVICIOS TECNOLOGICOS</v>
      </c>
      <c r="J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41" s="161" t="str">
        <f>IF((EJECUTADO[[#This Row],[MONTO DISPONIBLE ]]-EJECUTADO[[#This Row],[MONTO SOLICITADO]])&gt;=0,"PRESUPUESTO: SI","PRESUPUESTO: NO")</f>
        <v>PRESUPUESTO: SI</v>
      </c>
      <c r="L41" s="162">
        <f>SUMIF(PRESUPUESTO[CUENTA],EJECUTADO[[#This Row],[CUENTA]],PRESUPUESTO[MONTO])-SUMIF($F$1:F40,EJECUTADO[[#This Row],[CUENTA]],$M$1:M40)</f>
        <v>1080484</v>
      </c>
      <c r="M41" s="2">
        <v>88384.78</v>
      </c>
      <c r="N41" s="2"/>
      <c r="O41" s="2"/>
      <c r="P41" s="162">
        <f>+EJECUTADO[[#This Row],[MONTO SOLICITADO]]-EJECUTADO[[#This Row],[RETENCION IVA]]-EJECUTADO[[#This Row],[RETENCION ISR]]</f>
        <v>88384.78</v>
      </c>
      <c r="Q41" s="84" t="s">
        <v>1000</v>
      </c>
      <c r="R41" s="2"/>
      <c r="S41">
        <v>32107</v>
      </c>
      <c r="T41" s="168" t="str">
        <f t="shared" si="0"/>
        <v>SERVICIOS TECNOLOGICOS - SERVICIO LEASING PC  $ 90,040.33 Disponible $1080484 Solicitado $88384.78 PRESUPUESTO: SI</v>
      </c>
    </row>
    <row r="42" spans="1:20" ht="30" x14ac:dyDescent="0.25">
      <c r="A42" s="6">
        <f t="shared" si="1"/>
        <v>41</v>
      </c>
      <c r="B42" s="62">
        <v>45292</v>
      </c>
      <c r="C42" s="17" t="s">
        <v>1088</v>
      </c>
      <c r="D42" s="17" t="s">
        <v>1091</v>
      </c>
      <c r="E42" s="17"/>
      <c r="F42" t="s">
        <v>1090</v>
      </c>
      <c r="G42" s="161">
        <f>MONTH(EJECUTADO[[#This Row],[FECHA]])</f>
        <v>1</v>
      </c>
      <c r="H42" s="163" t="str">
        <f>MID(EJECUTADO[[#This Row],[CUENTA]],1,4)</f>
        <v>E-07</v>
      </c>
      <c r="I42" s="163" t="str">
        <f>INDEX(CATALOGO[Descripción],MATCH(EJECUTADO[[#This Row],[APLICACIÓN]]&amp;"-00-00-00",CATALOGO[Código],0))</f>
        <v>SERVICIOS TECNOLOGICOS</v>
      </c>
      <c r="J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42" s="161" t="str">
        <f>IF((EJECUTADO[[#This Row],[MONTO DISPONIBLE ]]-EJECUTADO[[#This Row],[MONTO SOLICITADO]])&gt;=0,"PRESUPUESTO: SI","PRESUPUESTO: NO")</f>
        <v>PRESUPUESTO: SI</v>
      </c>
      <c r="L42" s="162">
        <f>SUMIF(PRESUPUESTO[CUENTA],EJECUTADO[[#This Row],[CUENTA]],PRESUPUESTO[MONTO])-SUMIF($F$1:F41,EJECUTADO[[#This Row],[CUENTA]],$M$1:M41)</f>
        <v>992099.22</v>
      </c>
      <c r="M42" s="2">
        <v>1494</v>
      </c>
      <c r="N42" s="2"/>
      <c r="O42" s="2"/>
      <c r="P42" s="162">
        <f>+EJECUTADO[[#This Row],[MONTO SOLICITADO]]-EJECUTADO[[#This Row],[RETENCION IVA]]-EJECUTADO[[#This Row],[RETENCION ISR]]</f>
        <v>1494</v>
      </c>
      <c r="Q42" s="84" t="s">
        <v>1000</v>
      </c>
      <c r="R42" s="2"/>
      <c r="S42">
        <v>32107</v>
      </c>
      <c r="T42" s="168" t="str">
        <f t="shared" si="0"/>
        <v>SERVICIOS TECNOLOGICOS - SERVICIO LEASING PC  $ 90,040.33 Disponible $992099.22 Solicitado $1494 PRESUPUESTO: SI</v>
      </c>
    </row>
    <row r="43" spans="1:20" ht="30" x14ac:dyDescent="0.25">
      <c r="A43" s="6">
        <f t="shared" si="1"/>
        <v>42</v>
      </c>
      <c r="B43" s="62">
        <v>45292</v>
      </c>
      <c r="C43" s="17" t="s">
        <v>1088</v>
      </c>
      <c r="D43" s="17" t="s">
        <v>1092</v>
      </c>
      <c r="E43" s="17"/>
      <c r="F43" t="s">
        <v>1090</v>
      </c>
      <c r="G43" s="161">
        <f>MONTH(EJECUTADO[[#This Row],[FECHA]])</f>
        <v>1</v>
      </c>
      <c r="H43" s="163" t="str">
        <f>MID(EJECUTADO[[#This Row],[CUENTA]],1,4)</f>
        <v>E-07</v>
      </c>
      <c r="I43" s="163" t="str">
        <f>INDEX(CATALOGO[Descripción],MATCH(EJECUTADO[[#This Row],[APLICACIÓN]]&amp;"-00-00-00",CATALOGO[Código],0))</f>
        <v>SERVICIOS TECNOLOGICOS</v>
      </c>
      <c r="J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43" s="161" t="str">
        <f>IF((EJECUTADO[[#This Row],[MONTO DISPONIBLE ]]-EJECUTADO[[#This Row],[MONTO SOLICITADO]])&gt;=0,"PRESUPUESTO: SI","PRESUPUESTO: NO")</f>
        <v>PRESUPUESTO: SI</v>
      </c>
      <c r="L43" s="162">
        <f>SUMIF(PRESUPUESTO[CUENTA],EJECUTADO[[#This Row],[CUENTA]],PRESUPUESTO[MONTO])-SUMIF($F$1:F42,EJECUTADO[[#This Row],[CUENTA]],$M$1:M42)</f>
        <v>990605.22</v>
      </c>
      <c r="M43" s="2">
        <v>22159</v>
      </c>
      <c r="N43" s="2"/>
      <c r="O43" s="2"/>
      <c r="P43" s="162">
        <f>+EJECUTADO[[#This Row],[MONTO SOLICITADO]]-EJECUTADO[[#This Row],[RETENCION IVA]]-EJECUTADO[[#This Row],[RETENCION ISR]]</f>
        <v>22159</v>
      </c>
      <c r="Q43" s="84" t="s">
        <v>1000</v>
      </c>
      <c r="R43" s="2"/>
      <c r="S43">
        <v>32107</v>
      </c>
      <c r="T43" s="168" t="str">
        <f t="shared" si="0"/>
        <v>SERVICIOS TECNOLOGICOS - SERVICIO LEASING PC  $ 90,040.33 Disponible $990605.22 Solicitado $22159 PRESUPUESTO: SI</v>
      </c>
    </row>
    <row r="44" spans="1:20" ht="30" x14ac:dyDescent="0.25">
      <c r="A44" s="6">
        <f t="shared" si="1"/>
        <v>43</v>
      </c>
      <c r="B44" s="62">
        <v>45292</v>
      </c>
      <c r="C44" s="17" t="s">
        <v>1088</v>
      </c>
      <c r="D44" s="17" t="s">
        <v>1093</v>
      </c>
      <c r="E44" s="17"/>
      <c r="F44" t="s">
        <v>1090</v>
      </c>
      <c r="G44" s="161">
        <f>MONTH(EJECUTADO[[#This Row],[FECHA]])</f>
        <v>1</v>
      </c>
      <c r="H44" s="163" t="str">
        <f>MID(EJECUTADO[[#This Row],[CUENTA]],1,4)</f>
        <v>E-07</v>
      </c>
      <c r="I44" s="163" t="str">
        <f>INDEX(CATALOGO[Descripción],MATCH(EJECUTADO[[#This Row],[APLICACIÓN]]&amp;"-00-00-00",CATALOGO[Código],0))</f>
        <v>SERVICIOS TECNOLOGICOS</v>
      </c>
      <c r="J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44" s="161" t="str">
        <f>IF((EJECUTADO[[#This Row],[MONTO DISPONIBLE ]]-EJECUTADO[[#This Row],[MONTO SOLICITADO]])&gt;=0,"PRESUPUESTO: SI","PRESUPUESTO: NO")</f>
        <v>PRESUPUESTO: SI</v>
      </c>
      <c r="L44" s="162">
        <f>SUMIF(PRESUPUESTO[CUENTA],EJECUTADO[[#This Row],[CUENTA]],PRESUPUESTO[MONTO])-SUMIF($F$1:F43,EJECUTADO[[#This Row],[CUENTA]],$M$1:M43)</f>
        <v>968446.22</v>
      </c>
      <c r="M44" s="2">
        <v>19237.5</v>
      </c>
      <c r="N44" s="2"/>
      <c r="O44" s="2"/>
      <c r="P44" s="162">
        <f>+EJECUTADO[[#This Row],[MONTO SOLICITADO]]-EJECUTADO[[#This Row],[RETENCION IVA]]-EJECUTADO[[#This Row],[RETENCION ISR]]</f>
        <v>19237.5</v>
      </c>
      <c r="Q44" s="84" t="s">
        <v>1000</v>
      </c>
      <c r="R44" s="2"/>
      <c r="S44">
        <v>32107</v>
      </c>
      <c r="T44" s="168" t="str">
        <f t="shared" si="0"/>
        <v>SERVICIOS TECNOLOGICOS - SERVICIO LEASING PC  $ 90,040.33 Disponible $968446.22 Solicitado $19237.5 PRESUPUESTO: SI</v>
      </c>
    </row>
    <row r="45" spans="1:20" ht="30" x14ac:dyDescent="0.25">
      <c r="A45" s="6">
        <f t="shared" si="1"/>
        <v>44</v>
      </c>
      <c r="B45" s="62">
        <v>45292</v>
      </c>
      <c r="C45" s="17" t="s">
        <v>1088</v>
      </c>
      <c r="D45" s="17" t="s">
        <v>1094</v>
      </c>
      <c r="E45" s="17"/>
      <c r="F45" t="s">
        <v>1095</v>
      </c>
      <c r="G45" s="161">
        <f>MONTH(EJECUTADO[[#This Row],[FECHA]])</f>
        <v>1</v>
      </c>
      <c r="H45" s="163" t="str">
        <f>MID(EJECUTADO[[#This Row],[CUENTA]],1,4)</f>
        <v>E-13</v>
      </c>
      <c r="I45" s="163" t="str">
        <f>INDEX(CATALOGO[Descripción],MATCH(EJECUTADO[[#This Row],[APLICACIÓN]]&amp;"-00-00-00",CATALOGO[Código],0))</f>
        <v>MAESTRIAS Y POSTGRADOS</v>
      </c>
      <c r="J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 MAESTRIAS</v>
      </c>
      <c r="K45" s="161" t="str">
        <f>IF((EJECUTADO[[#This Row],[MONTO DISPONIBLE ]]-EJECUTADO[[#This Row],[MONTO SOLICITADO]])&gt;=0,"PRESUPUESTO: SI","PRESUPUESTO: NO")</f>
        <v>PRESUPUESTO: SI</v>
      </c>
      <c r="L45" s="162">
        <f>SUMIF(PRESUPUESTO[CUENTA],EJECUTADO[[#This Row],[CUENTA]],PRESUPUESTO[MONTO])-SUMIF($F$1:F44,EJECUTADO[[#This Row],[CUENTA]],$M$1:M44)</f>
        <v>51528</v>
      </c>
      <c r="M45" s="2">
        <v>4163</v>
      </c>
      <c r="N45" s="2"/>
      <c r="O45" s="2"/>
      <c r="P45" s="162">
        <f>+EJECUTADO[[#This Row],[MONTO SOLICITADO]]-EJECUTADO[[#This Row],[RETENCION IVA]]-EJECUTADO[[#This Row],[RETENCION ISR]]</f>
        <v>4163</v>
      </c>
      <c r="Q45" s="84" t="s">
        <v>1000</v>
      </c>
      <c r="R45" s="2"/>
      <c r="S45">
        <v>32107</v>
      </c>
      <c r="T45" s="168" t="str">
        <f t="shared" si="0"/>
        <v>MAESTRIAS Y POSTGRADOS - SERVICIO LEASING  MAESTRIAS Disponible $51528 Solicitado $4163 PRESUPUESTO: SI</v>
      </c>
    </row>
    <row r="46" spans="1:20" ht="30" x14ac:dyDescent="0.25">
      <c r="A46" s="6">
        <f t="shared" si="1"/>
        <v>45</v>
      </c>
      <c r="B46" s="62">
        <v>45292</v>
      </c>
      <c r="C46" s="17" t="s">
        <v>1088</v>
      </c>
      <c r="D46" s="17" t="s">
        <v>1096</v>
      </c>
      <c r="E46" s="17"/>
      <c r="F46" t="s">
        <v>1097</v>
      </c>
      <c r="G46" s="161">
        <f>MONTH(EJECUTADO[[#This Row],[FECHA]])</f>
        <v>1</v>
      </c>
      <c r="H46" s="163" t="str">
        <f>MID(EJECUTADO[[#This Row],[CUENTA]],1,4)</f>
        <v>E-33</v>
      </c>
      <c r="I46" s="163" t="str">
        <f>INDEX(CATALOGO[Descripción],MATCH(EJECUTADO[[#This Row],[APLICACIÓN]]&amp;"-00-00-00",CATALOGO[Código],0))</f>
        <v xml:space="preserve">PROVEEDORES </v>
      </c>
      <c r="J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INVERSIONES DIDACTICAS</v>
      </c>
      <c r="K46" s="161" t="str">
        <f>IF((EJECUTADO[[#This Row],[MONTO DISPONIBLE ]]-EJECUTADO[[#This Row],[MONTO SOLICITADO]])&gt;=0,"PRESUPUESTO: SI","PRESUPUESTO: NO")</f>
        <v>PRESUPUESTO: SI</v>
      </c>
      <c r="L46" s="162">
        <f>SUMIF(PRESUPUESTO[CUENTA],EJECUTADO[[#This Row],[CUENTA]],PRESUPUESTO[MONTO])-SUMIF($F$1:F45,EJECUTADO[[#This Row],[CUENTA]],$M$1:M45)</f>
        <v>300000</v>
      </c>
      <c r="M46" s="2">
        <v>25000</v>
      </c>
      <c r="N46" s="2"/>
      <c r="O46" s="2"/>
      <c r="P46" s="162">
        <f>+EJECUTADO[[#This Row],[MONTO SOLICITADO]]-EJECUTADO[[#This Row],[RETENCION IVA]]-EJECUTADO[[#This Row],[RETENCION ISR]]</f>
        <v>25000</v>
      </c>
      <c r="Q46" s="84" t="s">
        <v>1000</v>
      </c>
      <c r="R46" s="2"/>
      <c r="S46">
        <v>32107</v>
      </c>
      <c r="T46" s="168" t="str">
        <f t="shared" si="0"/>
        <v>PROVEEDORES  - INVERSIONES DIDACTICAS Disponible $300000 Solicitado $25000 PRESUPUESTO: SI</v>
      </c>
    </row>
    <row r="47" spans="1:20" ht="45" x14ac:dyDescent="0.25">
      <c r="A47" s="6">
        <f t="shared" si="1"/>
        <v>46</v>
      </c>
      <c r="B47" s="62">
        <v>45292</v>
      </c>
      <c r="C47" s="17" t="s">
        <v>1088</v>
      </c>
      <c r="D47" s="17" t="s">
        <v>1098</v>
      </c>
      <c r="E47" s="17"/>
      <c r="F47" t="s">
        <v>1099</v>
      </c>
      <c r="G47" s="161">
        <f>MONTH(EJECUTADO[[#This Row],[FECHA]])</f>
        <v>1</v>
      </c>
      <c r="H47" s="163" t="str">
        <f>MID(EJECUTADO[[#This Row],[CUENTA]],1,4)</f>
        <v>E-01</v>
      </c>
      <c r="I47" s="163" t="str">
        <f>INDEX(CATALOGO[Descripción],MATCH(EJECUTADO[[#This Row],[APLICACIÓN]]&amp;"-00-00-00",CATALOGO[Código],0))</f>
        <v>SERVICIOS PROFESIONALES</v>
      </c>
      <c r="J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Soporte  equipo Didáctica $ 10,000.00</v>
      </c>
      <c r="K47" s="161" t="str">
        <f>IF((EJECUTADO[[#This Row],[MONTO DISPONIBLE ]]-EJECUTADO[[#This Row],[MONTO SOLICITADO]])&gt;=0,"PRESUPUESTO: SI","PRESUPUESTO: NO")</f>
        <v>PRESUPUESTO: SI</v>
      </c>
      <c r="L47" s="162">
        <f>SUMIF(PRESUPUESTO[CUENTA],EJECUTADO[[#This Row],[CUENTA]],PRESUPUESTO[MONTO])-SUMIF($F$1:F46,EJECUTADO[[#This Row],[CUENTA]],$M$1:M46)</f>
        <v>120000</v>
      </c>
      <c r="M47" s="2">
        <v>10000</v>
      </c>
      <c r="N47" s="2"/>
      <c r="O47" s="2"/>
      <c r="P47" s="162">
        <f>+EJECUTADO[[#This Row],[MONTO SOLICITADO]]-EJECUTADO[[#This Row],[RETENCION IVA]]-EJECUTADO[[#This Row],[RETENCION ISR]]</f>
        <v>10000</v>
      </c>
      <c r="Q47" s="84" t="s">
        <v>1000</v>
      </c>
      <c r="R47" s="2"/>
      <c r="S47">
        <v>1</v>
      </c>
      <c r="T47" s="168" t="str">
        <f t="shared" si="0"/>
        <v>SERVICIOS PROFESIONALES - Honorarios Soporte  equipo Didáctica $ 10,000.00 Disponible $120000 Solicitado $10000 PRESUPUESTO: SI</v>
      </c>
    </row>
    <row r="48" spans="1:20" ht="60" x14ac:dyDescent="0.25">
      <c r="A48" s="6">
        <f t="shared" si="1"/>
        <v>47</v>
      </c>
      <c r="B48" s="62">
        <v>45292</v>
      </c>
      <c r="C48" s="17" t="s">
        <v>1088</v>
      </c>
      <c r="D48" s="17" t="s">
        <v>1100</v>
      </c>
      <c r="E48" s="17"/>
      <c r="F48" t="s">
        <v>1101</v>
      </c>
      <c r="G48" s="161">
        <f>MONTH(EJECUTADO[[#This Row],[FECHA]])</f>
        <v>1</v>
      </c>
      <c r="H48" s="163" t="str">
        <f>MID(EJECUTADO[[#This Row],[CUENTA]],1,4)</f>
        <v>E-07</v>
      </c>
      <c r="I48" s="163" t="str">
        <f>INDEX(CATALOGO[Descripción],MATCH(EJECUTADO[[#This Row],[APLICACIÓN]]&amp;"-00-00-00",CATALOGO[Código],0))</f>
        <v>SERVICIOS TECNOLOGICOS</v>
      </c>
      <c r="J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Proyecto de AZURE BACKUP Y AZURE SITERECOVERY </v>
      </c>
      <c r="K48" s="161" t="str">
        <f>IF((EJECUTADO[[#This Row],[MONTO DISPONIBLE ]]-EJECUTADO[[#This Row],[MONTO SOLICITADO]])&gt;=0,"PRESUPUESTO: SI","PRESUPUESTO: NO")</f>
        <v>PRESUPUESTO: SI</v>
      </c>
      <c r="L48" s="162">
        <f>SUMIF(PRESUPUESTO[CUENTA],EJECUTADO[[#This Row],[CUENTA]],PRESUPUESTO[MONTO])-SUMIF($F$1:F47,EJECUTADO[[#This Row],[CUENTA]],$M$1:M47)</f>
        <v>103140</v>
      </c>
      <c r="M48" s="2">
        <v>8595</v>
      </c>
      <c r="N48" s="2"/>
      <c r="O48" s="2"/>
      <c r="P48" s="162">
        <f>+EJECUTADO[[#This Row],[MONTO SOLICITADO]]-EJECUTADO[[#This Row],[RETENCION IVA]]-EJECUTADO[[#This Row],[RETENCION ISR]]</f>
        <v>8595</v>
      </c>
      <c r="Q48" s="84" t="s">
        <v>1000</v>
      </c>
      <c r="R48" s="2"/>
      <c r="S48">
        <v>1</v>
      </c>
      <c r="T48" s="168" t="str">
        <f t="shared" si="0"/>
        <v>SERVICIOS TECNOLOGICOS - Proyecto de AZURE BACKUP Y AZURE SITERECOVERY  Disponible $103140 Solicitado $8595 PRESUPUESTO: SI</v>
      </c>
    </row>
    <row r="49" spans="1:20" ht="30" x14ac:dyDescent="0.25">
      <c r="A49" s="6">
        <f t="shared" si="1"/>
        <v>48</v>
      </c>
      <c r="B49" s="62">
        <v>45292</v>
      </c>
      <c r="C49" s="17" t="s">
        <v>1102</v>
      </c>
      <c r="D49" s="17" t="s">
        <v>1103</v>
      </c>
      <c r="E49" s="17"/>
      <c r="F49" t="s">
        <v>1104</v>
      </c>
      <c r="G49" s="161">
        <f>MONTH(EJECUTADO[[#This Row],[FECHA]])</f>
        <v>1</v>
      </c>
      <c r="H49" s="163" t="str">
        <f>MID(EJECUTADO[[#This Row],[CUENTA]],1,4)</f>
        <v>E-09</v>
      </c>
      <c r="I49" s="163" t="str">
        <f>INDEX(CATALOGO[Descripción],MATCH(EJECUTADO[[#This Row],[APLICACIÓN]]&amp;"-00-00-00",CATALOGO[Código],0))</f>
        <v>PRESTACIONES AL PERSONAL</v>
      </c>
      <c r="J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</v>
      </c>
      <c r="K49" s="161" t="str">
        <f>IF((EJECUTADO[[#This Row],[MONTO DISPONIBLE ]]-EJECUTADO[[#This Row],[MONTO SOLICITADO]])&gt;=0,"PRESUPUESTO: SI","PRESUPUESTO: NO")</f>
        <v>PRESUPUESTO: NO</v>
      </c>
      <c r="L49" s="162">
        <f>SUMIF(PRESUPUESTO[CUENTA],EJECUTADO[[#This Row],[CUENTA]],PRESUPUESTO[MONTO])-SUMIF($F$1:F48,EJECUTADO[[#This Row],[CUENTA]],$M$1:M48)</f>
        <v>250</v>
      </c>
      <c r="M49" s="2">
        <v>303.75</v>
      </c>
      <c r="N49" s="2"/>
      <c r="O49" s="2"/>
      <c r="P49" s="162">
        <f>+EJECUTADO[[#This Row],[MONTO SOLICITADO]]-EJECUTADO[[#This Row],[RETENCION IVA]]-EJECUTADO[[#This Row],[RETENCION ISR]]</f>
        <v>303.75</v>
      </c>
      <c r="Q49" s="84" t="s">
        <v>1000</v>
      </c>
      <c r="R49" s="2"/>
      <c r="S49">
        <v>1</v>
      </c>
      <c r="T49" s="168" t="str">
        <f t="shared" si="0"/>
        <v>PRESTACIONES AL PERSONAL - Carnet Disponible $250 Solicitado $303.75 PRESUPUESTO: NO</v>
      </c>
    </row>
    <row r="50" spans="1:20" ht="30" x14ac:dyDescent="0.25">
      <c r="A50" s="6">
        <f t="shared" si="1"/>
        <v>49</v>
      </c>
      <c r="B50" s="62">
        <v>45292</v>
      </c>
      <c r="C50" s="17" t="s">
        <v>1102</v>
      </c>
      <c r="D50" s="17" t="s">
        <v>1105</v>
      </c>
      <c r="E50" s="17"/>
      <c r="F50" t="s">
        <v>1106</v>
      </c>
      <c r="G50" s="161">
        <f>MONTH(EJECUTADO[[#This Row],[FECHA]])</f>
        <v>1</v>
      </c>
      <c r="H50" s="163" t="str">
        <f>MID(EJECUTADO[[#This Row],[CUENTA]],1,4)</f>
        <v>E-12</v>
      </c>
      <c r="I50" s="163" t="str">
        <f>INDEX(CATALOGO[Descripción],MATCH(EJECUTADO[[#This Row],[APLICACIÓN]]&amp;"-00-00-00",CATALOGO[Código],0))</f>
        <v>PROYECCION SOCIAL</v>
      </c>
      <c r="J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INCENTIVOS -Diplomas estudiantes y docentes</v>
      </c>
      <c r="K50" s="161" t="str">
        <f>IF((EJECUTADO[[#This Row],[MONTO DISPONIBLE ]]-EJECUTADO[[#This Row],[MONTO SOLICITADO]])&gt;=0,"PRESUPUESTO: SI","PRESUPUESTO: NO")</f>
        <v>PRESUPUESTO: SI</v>
      </c>
      <c r="L50" s="162">
        <f>SUMIF(PRESUPUESTO[CUENTA],EJECUTADO[[#This Row],[CUENTA]],PRESUPUESTO[MONTO])-SUMIF($F$1:F49,EJECUTADO[[#This Row],[CUENTA]],$M$1:M49)</f>
        <v>3000</v>
      </c>
      <c r="M50" s="2">
        <v>179.2</v>
      </c>
      <c r="N50" s="2"/>
      <c r="O50" s="2"/>
      <c r="P50" s="162">
        <f>+EJECUTADO[[#This Row],[MONTO SOLICITADO]]-EJECUTADO[[#This Row],[RETENCION IVA]]-EJECUTADO[[#This Row],[RETENCION ISR]]</f>
        <v>179.2</v>
      </c>
      <c r="Q50" s="84" t="s">
        <v>1000</v>
      </c>
      <c r="R50" s="2"/>
      <c r="S50">
        <v>1</v>
      </c>
      <c r="T50" s="168" t="str">
        <f t="shared" si="0"/>
        <v>PROYECCION SOCIAL - INCENTIVOS -Diplomas estudiantes y docentes Disponible $3000 Solicitado $179.2 PRESUPUESTO: SI</v>
      </c>
    </row>
    <row r="51" spans="1:20" x14ac:dyDescent="0.25">
      <c r="A51" s="6">
        <f t="shared" si="1"/>
        <v>50</v>
      </c>
      <c r="B51" s="62">
        <v>45292</v>
      </c>
      <c r="C51" s="17" t="s">
        <v>1102</v>
      </c>
      <c r="D51" s="17" t="s">
        <v>1107</v>
      </c>
      <c r="E51" s="17"/>
      <c r="F51" t="s">
        <v>1108</v>
      </c>
      <c r="G51" s="161">
        <f>MONTH(EJECUTADO[[#This Row],[FECHA]])</f>
        <v>1</v>
      </c>
      <c r="H51" s="163" t="str">
        <f>MID(EJECUTADO[[#This Row],[CUENTA]],1,4)</f>
        <v>E-16</v>
      </c>
      <c r="I51" s="163" t="str">
        <f>INDEX(CATALOGO[Descripción],MATCH(EJECUTADO[[#This Row],[APLICACIÓN]]&amp;"-00-00-00",CATALOGO[Código],0))</f>
        <v xml:space="preserve">PRE-ESPECIALIDAD </v>
      </c>
      <c r="J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51" s="161" t="str">
        <f>IF((EJECUTADO[[#This Row],[MONTO DISPONIBLE ]]-EJECUTADO[[#This Row],[MONTO SOLICITADO]])&gt;=0,"PRESUPUESTO: SI","PRESUPUESTO: NO")</f>
        <v>PRESUPUESTO: NO</v>
      </c>
      <c r="L51" s="162">
        <f>SUMIF(PRESUPUESTO[CUENTA],EJECUTADO[[#This Row],[CUENTA]],PRESUPUESTO[MONTO])-SUMIF($F$1:F50,EJECUTADO[[#This Row],[CUENTA]],$M$1:M50)</f>
        <v>0</v>
      </c>
      <c r="M51" s="2">
        <v>206.8</v>
      </c>
      <c r="N51" s="2"/>
      <c r="O51" s="2"/>
      <c r="P51" s="162">
        <f>+EJECUTADO[[#This Row],[MONTO SOLICITADO]]-EJECUTADO[[#This Row],[RETENCION IVA]]-EJECUTADO[[#This Row],[RETENCION ISR]]</f>
        <v>206.8</v>
      </c>
      <c r="Q51" s="84" t="s">
        <v>1000</v>
      </c>
      <c r="R51" s="2"/>
      <c r="S51">
        <v>1</v>
      </c>
      <c r="T51" s="168" t="str">
        <f t="shared" si="0"/>
        <v>PRE-ESPECIALIDAD  - nd Disponible $0 Solicitado $206.8 PRESUPUESTO: NO</v>
      </c>
    </row>
    <row r="52" spans="1:20" s="9" customFormat="1" x14ac:dyDescent="0.25">
      <c r="A52" s="6">
        <f t="shared" si="1"/>
        <v>51</v>
      </c>
      <c r="B52" s="62">
        <v>45292</v>
      </c>
      <c r="C52" s="17" t="s">
        <v>1102</v>
      </c>
      <c r="D52" s="17" t="s">
        <v>1109</v>
      </c>
      <c r="E52" s="17"/>
      <c r="F52" t="s">
        <v>1110</v>
      </c>
      <c r="G52" s="161">
        <f>MONTH(EJECUTADO[[#This Row],[FECHA]])</f>
        <v>1</v>
      </c>
      <c r="H52" s="163" t="str">
        <f>MID(EJECUTADO[[#This Row],[CUENTA]],1,4)</f>
        <v>E-18</v>
      </c>
      <c r="I52" s="163" t="str">
        <f>INDEX(CATALOGO[Descripción],MATCH(EJECUTADO[[#This Row],[APLICACIÓN]]&amp;"-00-00-00",CATALOGO[Código],0))</f>
        <v>COMUNICACIÓN INSTITUCIONAL</v>
      </c>
      <c r="J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Protocolo y eventos (vestuario, acrílicos, bolígrafos y agua)</v>
      </c>
      <c r="K52" s="161" t="str">
        <f>IF((EJECUTADO[[#This Row],[MONTO DISPONIBLE ]]-EJECUTADO[[#This Row],[MONTO SOLICITADO]])&gt;=0,"PRESUPUESTO: SI","PRESUPUESTO: NO")</f>
        <v>PRESUPUESTO: SI</v>
      </c>
      <c r="L52" s="162">
        <f>SUMIF(PRESUPUESTO[CUENTA],EJECUTADO[[#This Row],[CUENTA]],PRESUPUESTO[MONTO])-SUMIF($F$1:F51,EJECUTADO[[#This Row],[CUENTA]],$M$1:M51)</f>
        <v>740</v>
      </c>
      <c r="M52" s="2">
        <v>14.9</v>
      </c>
      <c r="N52" s="2"/>
      <c r="O52" s="2"/>
      <c r="P52" s="162">
        <f>+EJECUTADO[[#This Row],[MONTO SOLICITADO]]-EJECUTADO[[#This Row],[RETENCION IVA]]-EJECUTADO[[#This Row],[RETENCION ISR]]</f>
        <v>14.9</v>
      </c>
      <c r="Q52" s="84" t="s">
        <v>1000</v>
      </c>
      <c r="R52" s="2"/>
      <c r="S52">
        <v>1</v>
      </c>
      <c r="T52" s="168" t="str">
        <f t="shared" si="0"/>
        <v>COMUNICACIÓN INSTITUCIONAL - Com. Interna - Protocolo y eventos (vestuario, acrílicos, bolígrafos y agua) Disponible $740 Solicitado $14.9 PRESUPUESTO: SI</v>
      </c>
    </row>
    <row r="53" spans="1:20" x14ac:dyDescent="0.25">
      <c r="A53" s="6">
        <f t="shared" si="1"/>
        <v>52</v>
      </c>
      <c r="B53" s="62">
        <v>45292</v>
      </c>
      <c r="C53" s="17" t="s">
        <v>1102</v>
      </c>
      <c r="D53" s="17" t="s">
        <v>1111</v>
      </c>
      <c r="E53" s="17"/>
      <c r="F53" t="s">
        <v>1112</v>
      </c>
      <c r="G53" s="161">
        <f>MONTH(EJECUTADO[[#This Row],[FECHA]])</f>
        <v>1</v>
      </c>
      <c r="H53" s="163" t="str">
        <f>MID(EJECUTADO[[#This Row],[CUENTA]],1,4)</f>
        <v>E-18</v>
      </c>
      <c r="I53" s="163" t="str">
        <f>INDEX(CATALOGO[Descripción],MATCH(EJECUTADO[[#This Row],[APLICACIÓN]]&amp;"-00-00-00",CATALOGO[Código],0))</f>
        <v>COMUNICACIÓN INSTITUCIONAL</v>
      </c>
      <c r="J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Rotulación interna</v>
      </c>
      <c r="K53" s="161" t="str">
        <f>IF((EJECUTADO[[#This Row],[MONTO DISPONIBLE ]]-EJECUTADO[[#This Row],[MONTO SOLICITADO]])&gt;=0,"PRESUPUESTO: SI","PRESUPUESTO: NO")</f>
        <v>PRESUPUESTO: SI</v>
      </c>
      <c r="L53" s="162">
        <f>SUMIF(PRESUPUESTO[CUENTA],EJECUTADO[[#This Row],[CUENTA]],PRESUPUESTO[MONTO])-SUMIF($F$1:F52,EJECUTADO[[#This Row],[CUENTA]],$M$1:M52)</f>
        <v>15000</v>
      </c>
      <c r="M53" s="2">
        <v>260</v>
      </c>
      <c r="N53" s="2"/>
      <c r="O53" s="2"/>
      <c r="P53" s="162">
        <f>+EJECUTADO[[#This Row],[MONTO SOLICITADO]]-EJECUTADO[[#This Row],[RETENCION IVA]]-EJECUTADO[[#This Row],[RETENCION ISR]]</f>
        <v>260</v>
      </c>
      <c r="Q53" s="84" t="s">
        <v>1000</v>
      </c>
      <c r="R53" s="2"/>
      <c r="S53">
        <v>1</v>
      </c>
      <c r="T53" s="168" t="str">
        <f t="shared" si="0"/>
        <v>COMUNICACIÓN INSTITUCIONAL - Com. Interna - Rotulación interna Disponible $15000 Solicitado $260 PRESUPUESTO: SI</v>
      </c>
    </row>
    <row r="54" spans="1:20" ht="30" x14ac:dyDescent="0.25">
      <c r="A54" s="6">
        <f t="shared" si="1"/>
        <v>53</v>
      </c>
      <c r="B54" s="62">
        <v>45292</v>
      </c>
      <c r="C54" s="144" t="s">
        <v>1102</v>
      </c>
      <c r="D54" s="17" t="s">
        <v>1113</v>
      </c>
      <c r="E54" s="17"/>
      <c r="F54" t="s">
        <v>1114</v>
      </c>
      <c r="G54" s="161">
        <f>MONTH(EJECUTADO[[#This Row],[FECHA]])</f>
        <v>1</v>
      </c>
      <c r="H54" s="163" t="str">
        <f>MID(EJECUTADO[[#This Row],[CUENTA]],1,4)</f>
        <v>E-19</v>
      </c>
      <c r="I54" s="163" t="str">
        <f>INDEX(CATALOGO[Descripción],MATCH(EJECUTADO[[#This Row],[APLICACIÓN]]&amp;"-00-00-00",CATALOGO[Código],0))</f>
        <v>MANTENIMIENTO</v>
      </c>
      <c r="J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mantenimiento </v>
      </c>
      <c r="K54" s="161" t="str">
        <f>IF((EJECUTADO[[#This Row],[MONTO DISPONIBLE ]]-EJECUTADO[[#This Row],[MONTO SOLICITADO]])&gt;=0,"PRESUPUESTO: SI","PRESUPUESTO: NO")</f>
        <v>PRESUPUESTO: SI</v>
      </c>
      <c r="L54" s="162">
        <f>SUMIF(PRESUPUESTO[CUENTA],EJECUTADO[[#This Row],[CUENTA]],PRESUPUESTO[MONTO])-SUMIF($F$1:F53,EJECUTADO[[#This Row],[CUENTA]],$M$1:M53)</f>
        <v>8000</v>
      </c>
      <c r="M54" s="2">
        <v>562.5</v>
      </c>
      <c r="N54" s="2"/>
      <c r="O54" s="2"/>
      <c r="P54" s="162">
        <f>+EJECUTADO[[#This Row],[MONTO SOLICITADO]]-EJECUTADO[[#This Row],[RETENCION IVA]]-EJECUTADO[[#This Row],[RETENCION ISR]]</f>
        <v>562.5</v>
      </c>
      <c r="Q54" s="84" t="s">
        <v>1000</v>
      </c>
      <c r="R54" s="2"/>
      <c r="S54">
        <v>1</v>
      </c>
      <c r="T54" s="168" t="str">
        <f t="shared" si="0"/>
        <v>MANTENIMIENTO - Dir. Mantenimiento - Materiales mantenimiento  Disponible $8000 Solicitado $562.5 PRESUPUESTO: SI</v>
      </c>
    </row>
    <row r="55" spans="1:20" x14ac:dyDescent="0.25">
      <c r="A55" s="6">
        <f t="shared" si="1"/>
        <v>54</v>
      </c>
      <c r="B55" s="62">
        <v>45292</v>
      </c>
      <c r="C55" s="17" t="s">
        <v>1102</v>
      </c>
      <c r="D55" s="17" t="s">
        <v>382</v>
      </c>
      <c r="E55" s="17"/>
      <c r="F55" t="s">
        <v>1115</v>
      </c>
      <c r="G55" s="161">
        <f>MONTH(EJECUTADO[[#This Row],[FECHA]])</f>
        <v>1</v>
      </c>
      <c r="H55" s="163" t="str">
        <f>MID(EJECUTADO[[#This Row],[CUENTA]],1,4)</f>
        <v>E-24</v>
      </c>
      <c r="I55" s="163" t="str">
        <f>INDEX(CATALOGO[Descripción],MATCH(EJECUTADO[[#This Row],[APLICACIÓN]]&amp;"-00-00-00",CATALOGO[Código],0))</f>
        <v>NUEVO INGRESO</v>
      </c>
      <c r="J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Fotocopiadoras totales  $ 2,900.00 x 12</v>
      </c>
      <c r="K55" s="161" t="str">
        <f>IF((EJECUTADO[[#This Row],[MONTO DISPONIBLE ]]-EJECUTADO[[#This Row],[MONTO SOLICITADO]])&gt;=0,"PRESUPUESTO: SI","PRESUPUESTO: NO")</f>
        <v>PRESUPUESTO: SI</v>
      </c>
      <c r="L55" s="162">
        <f>SUMIF(PRESUPUESTO[CUENTA],EJECUTADO[[#This Row],[CUENTA]],PRESUPUESTO[MONTO])-SUMIF($F$1:F54,EJECUTADO[[#This Row],[CUENTA]],$M$1:M54)</f>
        <v>34800</v>
      </c>
      <c r="M55" s="2">
        <v>8.94</v>
      </c>
      <c r="N55" s="2"/>
      <c r="O55" s="2"/>
      <c r="P55" s="162">
        <f>+EJECUTADO[[#This Row],[MONTO SOLICITADO]]-EJECUTADO[[#This Row],[RETENCION IVA]]-EJECUTADO[[#This Row],[RETENCION ISR]]</f>
        <v>8.94</v>
      </c>
      <c r="Q55" s="84" t="s">
        <v>1000</v>
      </c>
      <c r="R55" s="2"/>
      <c r="S55">
        <v>1</v>
      </c>
      <c r="T55" s="168" t="str">
        <f t="shared" si="0"/>
        <v>NUEVO INGRESO - Fotocopiadoras totales  $ 2,900.00 x 12 Disponible $34800 Solicitado $8.94 PRESUPUESTO: SI</v>
      </c>
    </row>
    <row r="56" spans="1:20" x14ac:dyDescent="0.25">
      <c r="A56" s="6">
        <f t="shared" si="1"/>
        <v>55</v>
      </c>
      <c r="B56" s="62">
        <v>45292</v>
      </c>
      <c r="C56" s="17" t="s">
        <v>1102</v>
      </c>
      <c r="D56" s="17" t="s">
        <v>1116</v>
      </c>
      <c r="E56" s="17"/>
      <c r="F56" t="s">
        <v>1117</v>
      </c>
      <c r="G56" s="161">
        <f>MONTH(EJECUTADO[[#This Row],[FECHA]])</f>
        <v>1</v>
      </c>
      <c r="H56" s="163" t="str">
        <f>MID(EJECUTADO[[#This Row],[CUENTA]],1,4)</f>
        <v>E-30</v>
      </c>
      <c r="I56" s="163" t="str">
        <f>INDEX(CATALOGO[Descripción],MATCH(EJECUTADO[[#This Row],[APLICACIÓN]]&amp;"-00-00-00",CATALOGO[Código],0))</f>
        <v>MEMBRESIAS Y SUSCRIPCIONES</v>
      </c>
      <c r="J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6" s="161" t="str">
        <f>IF((EJECUTADO[[#This Row],[MONTO DISPONIBLE ]]-EJECUTADO[[#This Row],[MONTO SOLICITADO]])&gt;=0,"PRESUPUESTO: SI","PRESUPUESTO: NO")</f>
        <v>PRESUPUESTO: NO</v>
      </c>
      <c r="L56" s="162">
        <f>SUMIF(PRESUPUESTO[CUENTA],EJECUTADO[[#This Row],[CUENTA]],PRESUPUESTO[MONTO])-SUMIF($F$1:F55,EJECUTADO[[#This Row],[CUENTA]],$M$1:M55)</f>
        <v>0</v>
      </c>
      <c r="M56" s="2">
        <v>67.8</v>
      </c>
      <c r="N56" s="2"/>
      <c r="O56" s="2"/>
      <c r="P56" s="162">
        <f>+EJECUTADO[[#This Row],[MONTO SOLICITADO]]-EJECUTADO[[#This Row],[RETENCION IVA]]-EJECUTADO[[#This Row],[RETENCION ISR]]</f>
        <v>67.8</v>
      </c>
      <c r="Q56" s="84" t="s">
        <v>1000</v>
      </c>
      <c r="R56" s="2"/>
      <c r="S56">
        <v>1</v>
      </c>
      <c r="T56" s="168" t="str">
        <f t="shared" si="0"/>
        <v>MEMBRESIAS Y SUSCRIPCIONES - LA CUENTA SELECCIONADA NO PERMITE MOVIMIENTO Disponible $0 Solicitado $67.8 PRESUPUESTO: NO</v>
      </c>
    </row>
    <row r="57" spans="1:20" ht="30" x14ac:dyDescent="0.25">
      <c r="A57" s="6">
        <f t="shared" si="1"/>
        <v>56</v>
      </c>
      <c r="B57" s="62">
        <v>45292</v>
      </c>
      <c r="C57" s="17" t="s">
        <v>1102</v>
      </c>
      <c r="D57" s="17" t="s">
        <v>261</v>
      </c>
      <c r="E57" s="17"/>
      <c r="F57" t="s">
        <v>1118</v>
      </c>
      <c r="G57" s="161">
        <f>MONTH(EJECUTADO[[#This Row],[FECHA]])</f>
        <v>1</v>
      </c>
      <c r="H57" s="163" t="str">
        <f>MID(EJECUTADO[[#This Row],[CUENTA]],1,4)</f>
        <v>E-32</v>
      </c>
      <c r="I57" s="163" t="str">
        <f>INDEX(CATALOGO[Descripción],MATCH(EJECUTADO[[#This Row],[APLICACIÓN]]&amp;"-00-00-00",CATALOGO[Código],0))</f>
        <v>RELACIONES INTERNACIONALES</v>
      </c>
      <c r="J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57" s="161" t="str">
        <f>IF((EJECUTADO[[#This Row],[MONTO DISPONIBLE ]]-EJECUTADO[[#This Row],[MONTO SOLICITADO]])&gt;=0,"PRESUPUESTO: SI","PRESUPUESTO: NO")</f>
        <v>PRESUPUESTO: SI</v>
      </c>
      <c r="L57" s="162">
        <f>SUMIF(PRESUPUESTO[CUENTA],EJECUTADO[[#This Row],[CUENTA]],PRESUPUESTO[MONTO])-SUMIF($F$1:F56,EJECUTADO[[#This Row],[CUENTA]],$M$1:M56)</f>
        <v>1400</v>
      </c>
      <c r="M57" s="2">
        <v>96.05</v>
      </c>
      <c r="N57" s="2"/>
      <c r="O57" s="2"/>
      <c r="P57" s="162">
        <f>+EJECUTADO[[#This Row],[MONTO SOLICITADO]]-EJECUTADO[[#This Row],[RETENCION IVA]]-EJECUTADO[[#This Row],[RETENCION ISR]]</f>
        <v>96.05</v>
      </c>
      <c r="Q57" s="84" t="s">
        <v>1000</v>
      </c>
      <c r="R57" s="2"/>
      <c r="S57">
        <v>1</v>
      </c>
      <c r="T57" s="168" t="str">
        <f t="shared" si="0"/>
        <v>RELACIONES INTERNACIONALES - Papeleria y Utiles Disponible $1400 Solicitado $96.05 PRESUPUESTO: SI</v>
      </c>
    </row>
    <row r="58" spans="1:20" x14ac:dyDescent="0.25">
      <c r="A58" s="6">
        <f t="shared" si="1"/>
        <v>57</v>
      </c>
      <c r="B58" s="62">
        <v>45292</v>
      </c>
      <c r="C58" s="17" t="s">
        <v>1079</v>
      </c>
      <c r="D58" s="17" t="s">
        <v>1080</v>
      </c>
      <c r="E58" s="17"/>
      <c r="F58" t="s">
        <v>1081</v>
      </c>
      <c r="G58" s="161">
        <f>MONTH(EJECUTADO[[#This Row],[FECHA]])</f>
        <v>1</v>
      </c>
      <c r="H58" s="163" t="str">
        <f>MID(EJECUTADO[[#This Row],[CUENTA]],1,4)</f>
        <v>E-10</v>
      </c>
      <c r="I58" s="163" t="str">
        <f>INDEX(CATALOGO[Descripción],MATCH(EJECUTADO[[#This Row],[APLICACIÓN]]&amp;"-00-00-00",CATALOGO[Código],0))</f>
        <v>SERVICIOS PUBLICOS</v>
      </c>
      <c r="J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58" s="161" t="str">
        <f>IF((EJECUTADO[[#This Row],[MONTO DISPONIBLE ]]-EJECUTADO[[#This Row],[MONTO SOLICITADO]])&gt;=0,"PRESUPUESTO: SI","PRESUPUESTO: NO")</f>
        <v>PRESUPUESTO: SI</v>
      </c>
      <c r="L58" s="162">
        <f>SUMIF(PRESUPUESTO[CUENTA],EJECUTADO[[#This Row],[CUENTA]],PRESUPUESTO[MONTO])-SUMIF($F$1:F57,EJECUTADO[[#This Row],[CUENTA]],$M$1:M57)</f>
        <v>352596.88</v>
      </c>
      <c r="M58" s="2">
        <v>15.13</v>
      </c>
      <c r="N58" s="2"/>
      <c r="O58" s="2"/>
      <c r="P58" s="162">
        <f>+EJECUTADO[[#This Row],[MONTO SOLICITADO]]-EJECUTADO[[#This Row],[RETENCION IVA]]-EJECUTADO[[#This Row],[RETENCION ISR]]</f>
        <v>15.13</v>
      </c>
      <c r="Q58" s="84" t="s">
        <v>1000</v>
      </c>
      <c r="R58" s="2"/>
      <c r="S58">
        <v>1</v>
      </c>
      <c r="T58" s="168" t="str">
        <f t="shared" si="0"/>
        <v>SERVICIOS PUBLICOS - ENERGÍA ELÉCTRICA Disponible $352596.88 Solicitado $15.13 PRESUPUESTO: SI</v>
      </c>
    </row>
    <row r="59" spans="1:20" ht="30" x14ac:dyDescent="0.25">
      <c r="A59" s="6">
        <f t="shared" si="1"/>
        <v>58</v>
      </c>
      <c r="B59" s="62">
        <v>45292</v>
      </c>
      <c r="C59" s="17" t="s">
        <v>1079</v>
      </c>
      <c r="D59" s="17" t="s">
        <v>248</v>
      </c>
      <c r="E59" s="17"/>
      <c r="F59" t="s">
        <v>1119</v>
      </c>
      <c r="G59" s="161">
        <f>MONTH(EJECUTADO[[#This Row],[FECHA]])</f>
        <v>1</v>
      </c>
      <c r="H59" s="163" t="str">
        <f>MID(EJECUTADO[[#This Row],[CUENTA]],1,4)</f>
        <v>E-10</v>
      </c>
      <c r="I59" s="163" t="str">
        <f>INDEX(CATALOGO[Descripción],MATCH(EJECUTADO[[#This Row],[APLICACIÓN]]&amp;"-00-00-00",CATALOGO[Código],0))</f>
        <v>SERVICIOS PUBLICOS</v>
      </c>
      <c r="J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59" s="161" t="str">
        <f>IF((EJECUTADO[[#This Row],[MONTO DISPONIBLE ]]-EJECUTADO[[#This Row],[MONTO SOLICITADO]])&gt;=0,"PRESUPUESTO: SI","PRESUPUESTO: NO")</f>
        <v>PRESUPUESTO: NO</v>
      </c>
      <c r="L59" s="162">
        <f>SUMIF(PRESUPUESTO[CUENTA],EJECUTADO[[#This Row],[CUENTA]],PRESUPUESTO[MONTO])-SUMIF($F$1:F58,EJECUTADO[[#This Row],[CUENTA]],$M$1:M58)</f>
        <v>0</v>
      </c>
      <c r="M59" s="2">
        <v>10.63</v>
      </c>
      <c r="N59" s="2"/>
      <c r="O59" s="2"/>
      <c r="P59" s="162">
        <f>+EJECUTADO[[#This Row],[MONTO SOLICITADO]]-EJECUTADO[[#This Row],[RETENCION IVA]]-EJECUTADO[[#This Row],[RETENCION ISR]]</f>
        <v>10.63</v>
      </c>
      <c r="Q59" s="84" t="s">
        <v>1000</v>
      </c>
      <c r="R59" s="2"/>
      <c r="S59">
        <v>1</v>
      </c>
      <c r="T59" s="168" t="str">
        <f t="shared" si="0"/>
        <v>SERVICIOS PUBLICOS - IMPUESTOS MUNICIPALES Disponible $0 Solicitado $10.63 PRESUPUESTO: NO</v>
      </c>
    </row>
    <row r="60" spans="1:20" ht="45" x14ac:dyDescent="0.25">
      <c r="A60" s="6">
        <f t="shared" si="1"/>
        <v>59</v>
      </c>
      <c r="B60" s="62">
        <v>45292</v>
      </c>
      <c r="C60" s="17" t="s">
        <v>1120</v>
      </c>
      <c r="D60" s="17" t="s">
        <v>1121</v>
      </c>
      <c r="E60" s="17"/>
      <c r="F60" t="s">
        <v>1122</v>
      </c>
      <c r="G60" s="161">
        <f>MONTH(EJECUTADO[[#This Row],[FECHA]])</f>
        <v>1</v>
      </c>
      <c r="H60" s="163" t="str">
        <f>MID(EJECUTADO[[#This Row],[CUENTA]],1,4)</f>
        <v>E-08</v>
      </c>
      <c r="I60" s="163" t="str">
        <f>INDEX(CATALOGO[Descripción],MATCH(EJECUTADO[[#This Row],[APLICACIÓN]]&amp;"-00-00-00",CATALOGO[Código],0))</f>
        <v>INVERSIONES Y PROYECTOS ESPECIALES</v>
      </c>
      <c r="J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Beca Personal Ejecutivo Gabriela Duque FIU</v>
      </c>
      <c r="K60" s="161" t="str">
        <f>IF((EJECUTADO[[#This Row],[MONTO DISPONIBLE ]]-EJECUTADO[[#This Row],[MONTO SOLICITADO]])&gt;=0,"PRESUPUESTO: SI","PRESUPUESTO: NO")</f>
        <v>PRESUPUESTO: SI</v>
      </c>
      <c r="L60" s="162">
        <f>SUMIF(PRESUPUESTO[CUENTA],EJECUTADO[[#This Row],[CUENTA]],PRESUPUESTO[MONTO])-SUMIF($F$1:F59,EJECUTADO[[#This Row],[CUENTA]],$M$1:M59)</f>
        <v>56500</v>
      </c>
      <c r="M60" s="2">
        <v>1132.25</v>
      </c>
      <c r="N60" s="2"/>
      <c r="O60" s="2"/>
      <c r="P60" s="162">
        <f>+EJECUTADO[[#This Row],[MONTO SOLICITADO]]-EJECUTADO[[#This Row],[RETENCION IVA]]-EJECUTADO[[#This Row],[RETENCION ISR]]</f>
        <v>1132.25</v>
      </c>
      <c r="Q60" s="84" t="s">
        <v>1000</v>
      </c>
      <c r="R60" s="2"/>
      <c r="S60">
        <v>1</v>
      </c>
      <c r="T60" s="168" t="str">
        <f t="shared" si="0"/>
        <v>INVERSIONES Y PROYECTOS ESPECIALES - Beca Personal Ejecutivo Gabriela Duque FIU Disponible $56500 Solicitado $1132.25 PRESUPUESTO: SI</v>
      </c>
    </row>
    <row r="61" spans="1:20" ht="75" x14ac:dyDescent="0.25">
      <c r="A61" s="6">
        <f t="shared" si="1"/>
        <v>60</v>
      </c>
      <c r="B61" s="62">
        <v>45292</v>
      </c>
      <c r="C61" s="17" t="s">
        <v>997</v>
      </c>
      <c r="D61" s="17" t="s">
        <v>1123</v>
      </c>
      <c r="E61" s="17"/>
      <c r="F61" t="s">
        <v>999</v>
      </c>
      <c r="G61" s="161">
        <f>MONTH(EJECUTADO[[#This Row],[FECHA]])</f>
        <v>1</v>
      </c>
      <c r="H61" s="163" t="str">
        <f>MID(EJECUTADO[[#This Row],[CUENTA]],1,4)</f>
        <v>E-01</v>
      </c>
      <c r="I61" s="163" t="str">
        <f>INDEX(CATALOGO[Descripción],MATCH(EJECUTADO[[#This Row],[APLICACIÓN]]&amp;"-00-00-00",CATALOGO[Código],0))</f>
        <v>SERVICIOS PROFESIONALES</v>
      </c>
      <c r="J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Luis Federico Hernandez cuota 6 y 7/7 $ 2800.00 x 2</v>
      </c>
      <c r="K61" s="161" t="str">
        <f>IF((EJECUTADO[[#This Row],[MONTO DISPONIBLE ]]-EJECUTADO[[#This Row],[MONTO SOLICITADO]])&gt;=0,"PRESUPUESTO: SI","PRESUPUESTO: NO")</f>
        <v>PRESUPUESTO: SI</v>
      </c>
      <c r="L61" s="162">
        <f>SUMIF(PRESUPUESTO[CUENTA],EJECUTADO[[#This Row],[CUENTA]],PRESUPUESTO[MONTO])-SUMIF($F$1:F60,EJECUTADO[[#This Row],[CUENTA]],$M$1:M60)</f>
        <v>2800</v>
      </c>
      <c r="M61" s="2">
        <v>2800</v>
      </c>
      <c r="N61" s="2"/>
      <c r="O61" s="2"/>
      <c r="P61" s="162">
        <f>+EJECUTADO[[#This Row],[MONTO SOLICITADO]]-EJECUTADO[[#This Row],[RETENCION IVA]]-EJECUTADO[[#This Row],[RETENCION ISR]]</f>
        <v>2800</v>
      </c>
      <c r="Q61" s="84" t="s">
        <v>1000</v>
      </c>
      <c r="R61" s="2"/>
      <c r="S61">
        <v>1</v>
      </c>
      <c r="T61" s="168" t="str">
        <f t="shared" si="0"/>
        <v>SERVICIOS PROFESIONALES - Luis Federico Hernandez cuota 6 y 7/7 $ 2800.00 x 2 Disponible $2800 Solicitado $2800 PRESUPUESTO: SI</v>
      </c>
    </row>
    <row r="62" spans="1:20" ht="45" x14ac:dyDescent="0.25">
      <c r="A62" s="6">
        <f t="shared" si="1"/>
        <v>61</v>
      </c>
      <c r="B62" s="21">
        <v>45294</v>
      </c>
      <c r="C62" s="124" t="s">
        <v>1124</v>
      </c>
      <c r="D62" s="65" t="s">
        <v>1125</v>
      </c>
      <c r="E62" s="65"/>
      <c r="F62" t="s">
        <v>1126</v>
      </c>
      <c r="G62" s="161">
        <f>MONTH(EJECUTADO[[#This Row],[FECHA]])</f>
        <v>1</v>
      </c>
      <c r="H62" s="163" t="str">
        <f>MID(EJECUTADO[[#This Row],[CUENTA]],1,4)</f>
        <v>E-15</v>
      </c>
      <c r="I62" s="163" t="str">
        <f>INDEX(CATALOGO[Descripción],MATCH(EJECUTADO[[#This Row],[APLICACIÓN]]&amp;"-00-00-00",CATALOGO[Código],0))</f>
        <v>ALQUILERES</v>
      </c>
      <c r="J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62" s="161" t="str">
        <f>IF((EJECUTADO[[#This Row],[MONTO DISPONIBLE ]]-EJECUTADO[[#This Row],[MONTO SOLICITADO]])&gt;=0,"PRESUPUESTO: SI","PRESUPUESTO: NO")</f>
        <v>PRESUPUESTO: SI</v>
      </c>
      <c r="L62" s="162">
        <f>SUMIF(PRESUPUESTO[CUENTA],EJECUTADO[[#This Row],[CUENTA]],PRESUPUESTO[MONTO])-SUMIF($F$1:F61,EJECUTADO[[#This Row],[CUENTA]],$M$1:M61)</f>
        <v>56400</v>
      </c>
      <c r="M62" s="2">
        <v>1200</v>
      </c>
      <c r="N62" s="2"/>
      <c r="O62" s="2"/>
      <c r="P62" s="162">
        <f>+EJECUTADO[[#This Row],[MONTO SOLICITADO]]-EJECUTADO[[#This Row],[RETENCION IVA]]-EJECUTADO[[#This Row],[RETENCION ISR]]</f>
        <v>1200</v>
      </c>
      <c r="Q62" s="84" t="s">
        <v>1000</v>
      </c>
      <c r="R62" s="2"/>
      <c r="S62">
        <v>1</v>
      </c>
      <c r="T62" s="168" t="str">
        <f t="shared" si="0"/>
        <v>ALQUILERES - Alquiler de edificio Thomas Jefferson Disponible $56400 Solicitado $1200 PRESUPUESTO: SI</v>
      </c>
    </row>
    <row r="63" spans="1:20" s="9" customFormat="1" ht="45" x14ac:dyDescent="0.25">
      <c r="A63" s="6">
        <f t="shared" si="1"/>
        <v>62</v>
      </c>
      <c r="B63" s="21">
        <v>45294</v>
      </c>
      <c r="C63" s="17" t="s">
        <v>1127</v>
      </c>
      <c r="D63" s="65" t="s">
        <v>1125</v>
      </c>
      <c r="E63" s="65"/>
      <c r="F63" t="s">
        <v>1126</v>
      </c>
      <c r="G63" s="161">
        <f>MONTH(EJECUTADO[[#This Row],[FECHA]])</f>
        <v>1</v>
      </c>
      <c r="H63" s="163" t="str">
        <f>MID(EJECUTADO[[#This Row],[CUENTA]],1,4)</f>
        <v>E-15</v>
      </c>
      <c r="I63" s="163" t="str">
        <f>INDEX(CATALOGO[Descripción],MATCH(EJECUTADO[[#This Row],[APLICACIÓN]]&amp;"-00-00-00",CATALOGO[Código],0))</f>
        <v>ALQUILERES</v>
      </c>
      <c r="J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63" s="161" t="str">
        <f>IF((EJECUTADO[[#This Row],[MONTO DISPONIBLE ]]-EJECUTADO[[#This Row],[MONTO SOLICITADO]])&gt;=0,"PRESUPUESTO: SI","PRESUPUESTO: NO")</f>
        <v>PRESUPUESTO: SI</v>
      </c>
      <c r="L63" s="162">
        <f>SUMIF(PRESUPUESTO[CUENTA],EJECUTADO[[#This Row],[CUENTA]],PRESUPUESTO[MONTO])-SUMIF($F$1:F62,EJECUTADO[[#This Row],[CUENTA]],$M$1:M62)</f>
        <v>55200</v>
      </c>
      <c r="M63" s="2">
        <v>1100</v>
      </c>
      <c r="N63" s="84">
        <f>973.45*0.01</f>
        <v>9.7345000000000006</v>
      </c>
      <c r="O63" s="84">
        <f>973.45*10%</f>
        <v>97.345000000000013</v>
      </c>
      <c r="P63" s="162">
        <f>+EJECUTADO[[#This Row],[MONTO SOLICITADO]]-EJECUTADO[[#This Row],[RETENCION IVA]]-EJECUTADO[[#This Row],[RETENCION ISR]]</f>
        <v>992.92049999999995</v>
      </c>
      <c r="Q63" s="84" t="s">
        <v>1000</v>
      </c>
      <c r="R63" s="2"/>
      <c r="S63">
        <v>1</v>
      </c>
      <c r="T63" s="168" t="str">
        <f t="shared" si="0"/>
        <v>ALQUILERES - Alquiler de edificio Thomas Jefferson Disponible $55200 Solicitado $1100 PRESUPUESTO: SI</v>
      </c>
    </row>
    <row r="64" spans="1:20" ht="45" x14ac:dyDescent="0.25">
      <c r="A64" s="6">
        <f t="shared" si="1"/>
        <v>63</v>
      </c>
      <c r="B64" s="21">
        <v>45294</v>
      </c>
      <c r="C64" s="17" t="s">
        <v>1128</v>
      </c>
      <c r="D64" s="65" t="s">
        <v>1125</v>
      </c>
      <c r="E64" s="65"/>
      <c r="F64" t="s">
        <v>1126</v>
      </c>
      <c r="G64" s="161">
        <f>MONTH(EJECUTADO[[#This Row],[FECHA]])</f>
        <v>1</v>
      </c>
      <c r="H64" s="163" t="str">
        <f>MID(EJECUTADO[[#This Row],[CUENTA]],1,4)</f>
        <v>E-15</v>
      </c>
      <c r="I64" s="163" t="str">
        <f>INDEX(CATALOGO[Descripción],MATCH(EJECUTADO[[#This Row],[APLICACIÓN]]&amp;"-00-00-00",CATALOGO[Código],0))</f>
        <v>ALQUILERES</v>
      </c>
      <c r="J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64" s="161" t="str">
        <f>IF((EJECUTADO[[#This Row],[MONTO DISPONIBLE ]]-EJECUTADO[[#This Row],[MONTO SOLICITADO]])&gt;=0,"PRESUPUESTO: SI","PRESUPUESTO: NO")</f>
        <v>PRESUPUESTO: SI</v>
      </c>
      <c r="L64" s="162">
        <f>SUMIF(PRESUPUESTO[CUENTA],EJECUTADO[[#This Row],[CUENTA]],PRESUPUESTO[MONTO])-SUMIF($F$1:F63,EJECUTADO[[#This Row],[CUENTA]],$M$1:M63)</f>
        <v>54100</v>
      </c>
      <c r="M64" s="2">
        <v>1200</v>
      </c>
      <c r="N64" s="2"/>
      <c r="O64" s="2"/>
      <c r="P64" s="162">
        <f>+EJECUTADO[[#This Row],[MONTO SOLICITADO]]-EJECUTADO[[#This Row],[RETENCION IVA]]-EJECUTADO[[#This Row],[RETENCION ISR]]</f>
        <v>1200</v>
      </c>
      <c r="Q64" s="84" t="s">
        <v>1000</v>
      </c>
      <c r="R64" s="2"/>
      <c r="S64">
        <v>1</v>
      </c>
      <c r="T64" s="168" t="str">
        <f t="shared" si="0"/>
        <v>ALQUILERES - Alquiler de edificio Thomas Jefferson Disponible $54100 Solicitado $1200 PRESUPUESTO: SI</v>
      </c>
    </row>
    <row r="65" spans="1:20" s="117" customFormat="1" ht="45" x14ac:dyDescent="0.25">
      <c r="A65" s="115">
        <f t="shared" si="1"/>
        <v>64</v>
      </c>
      <c r="B65" s="118">
        <v>45294</v>
      </c>
      <c r="C65" s="160" t="s">
        <v>1129</v>
      </c>
      <c r="D65" s="116" t="s">
        <v>1125</v>
      </c>
      <c r="E65" s="116"/>
      <c r="F65" s="117" t="s">
        <v>1126</v>
      </c>
      <c r="G65" s="178">
        <f>MONTH(EJECUTADO[[#This Row],[FECHA]])</f>
        <v>1</v>
      </c>
      <c r="H65" s="179" t="str">
        <f>MID(EJECUTADO[[#This Row],[CUENTA]],1,4)</f>
        <v>E-15</v>
      </c>
      <c r="I65" s="179" t="str">
        <f>INDEX(CATALOGO[Descripción],MATCH(EJECUTADO[[#This Row],[APLICACIÓN]]&amp;"-00-00-00",CATALOGO[Código],0))</f>
        <v>ALQUILERES</v>
      </c>
      <c r="J65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65" s="178" t="str">
        <f>IF((EJECUTADO[[#This Row],[MONTO DISPONIBLE ]]-EJECUTADO[[#This Row],[MONTO SOLICITADO]])&gt;=0,"PRESUPUESTO: SI","PRESUPUESTO: NO")</f>
        <v>PRESUPUESTO: SI</v>
      </c>
      <c r="L65" s="165">
        <f>SUMIF(PRESUPUESTO[CUENTA],EJECUTADO[[#This Row],[CUENTA]],PRESUPUESTO[MONTO])-SUMIF($F$1:F64,EJECUTADO[[#This Row],[CUENTA]],$M$1:M64)</f>
        <v>52900</v>
      </c>
      <c r="M65" s="119">
        <v>1200</v>
      </c>
      <c r="N65" s="119"/>
      <c r="O65" s="119"/>
      <c r="P65" s="165">
        <f>+EJECUTADO[[#This Row],[MONTO SOLICITADO]]-EJECUTADO[[#This Row],[RETENCION IVA]]-EJECUTADO[[#This Row],[RETENCION ISR]]</f>
        <v>1200</v>
      </c>
      <c r="Q65" s="120" t="s">
        <v>1000</v>
      </c>
      <c r="R65" s="119"/>
      <c r="S65" s="117">
        <v>1</v>
      </c>
      <c r="T65" s="180" t="str">
        <f t="shared" si="0"/>
        <v>ALQUILERES - Alquiler de edificio Thomas Jefferson Disponible $52900 Solicitado $1200 PRESUPUESTO: SI</v>
      </c>
    </row>
    <row r="66" spans="1:20" ht="30" x14ac:dyDescent="0.25">
      <c r="A66" s="6">
        <f t="shared" si="1"/>
        <v>65</v>
      </c>
      <c r="B66" s="21">
        <v>45294</v>
      </c>
      <c r="C66" s="17" t="s">
        <v>1130</v>
      </c>
      <c r="D66" s="65" t="s">
        <v>1131</v>
      </c>
      <c r="E66" s="65"/>
      <c r="F66" t="s">
        <v>1132</v>
      </c>
      <c r="G66" s="161">
        <f>MONTH(EJECUTADO[[#This Row],[FECHA]])</f>
        <v>1</v>
      </c>
      <c r="H66" s="163" t="str">
        <f>MID(EJECUTADO[[#This Row],[CUENTA]],1,4)</f>
        <v>E-15</v>
      </c>
      <c r="I66" s="163" t="str">
        <f>INDEX(CATALOGO[Descripción],MATCH(EJECUTADO[[#This Row],[APLICACIÓN]]&amp;"-00-00-00",CATALOGO[Código],0))</f>
        <v>ALQUILERES</v>
      </c>
      <c r="J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66" s="161" t="str">
        <f>IF((EJECUTADO[[#This Row],[MONTO DISPONIBLE ]]-EJECUTADO[[#This Row],[MONTO SOLICITADO]])&gt;=0,"PRESUPUESTO: SI","PRESUPUESTO: NO")</f>
        <v>PRESUPUESTO: SI</v>
      </c>
      <c r="L66" s="162">
        <f>SUMIF(PRESUPUESTO[CUENTA],EJECUTADO[[#This Row],[CUENTA]],PRESUPUESTO[MONTO])-SUMIF($F$1:F65,EJECUTADO[[#This Row],[CUENTA]],$M$1:M65)</f>
        <v>13750</v>
      </c>
      <c r="M66" s="2">
        <v>1500</v>
      </c>
      <c r="N66" s="2"/>
      <c r="O66" s="2"/>
      <c r="P66" s="162">
        <f>+EJECUTADO[[#This Row],[MONTO SOLICITADO]]-EJECUTADO[[#This Row],[RETENCION IVA]]-EJECUTADO[[#This Row],[RETENCION ISR]]</f>
        <v>1500</v>
      </c>
      <c r="Q66" s="84" t="s">
        <v>1000</v>
      </c>
      <c r="R66" s="2"/>
      <c r="S66">
        <v>1</v>
      </c>
      <c r="T66" s="168" t="str">
        <f t="shared" ref="T66:T129" si="2">_xlfn.CONCAT(I66," - ",J66," Disponible $",L66," Solicitado $",M66," ",K66,)</f>
        <v>ALQUILERES - Casa  118 Edith de Molina Neira $ 2,292.28x 6 Disponible $13750 Solicitado $1500 PRESUPUESTO: SI</v>
      </c>
    </row>
    <row r="67" spans="1:20" ht="45" x14ac:dyDescent="0.25">
      <c r="A67" s="6">
        <f t="shared" si="1"/>
        <v>66</v>
      </c>
      <c r="B67" s="21">
        <v>45294</v>
      </c>
      <c r="C67" s="17" t="s">
        <v>1133</v>
      </c>
      <c r="D67" s="65" t="s">
        <v>1134</v>
      </c>
      <c r="E67" s="65"/>
      <c r="F67" t="s">
        <v>1132</v>
      </c>
      <c r="G67" s="161">
        <f>MONTH(EJECUTADO[[#This Row],[FECHA]])</f>
        <v>1</v>
      </c>
      <c r="H67" s="163" t="str">
        <f>MID(EJECUTADO[[#This Row],[CUENTA]],1,4)</f>
        <v>E-15</v>
      </c>
      <c r="I67" s="163" t="str">
        <f>INDEX(CATALOGO[Descripción],MATCH(EJECUTADO[[#This Row],[APLICACIÓN]]&amp;"-00-00-00",CATALOGO[Código],0))</f>
        <v>ALQUILERES</v>
      </c>
      <c r="J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67" s="161" t="str">
        <f>IF((EJECUTADO[[#This Row],[MONTO DISPONIBLE ]]-EJECUTADO[[#This Row],[MONTO SOLICITADO]])&gt;=0,"PRESUPUESTO: SI","PRESUPUESTO: NO")</f>
        <v>PRESUPUESTO: SI</v>
      </c>
      <c r="L67" s="162">
        <f>SUMIF(PRESUPUESTO[CUENTA],EJECUTADO[[#This Row],[CUENTA]],PRESUPUESTO[MONTO])-SUMIF($F$1:F66,EJECUTADO[[#This Row],[CUENTA]],$M$1:M66)</f>
        <v>12250</v>
      </c>
      <c r="M67" s="2">
        <v>2292.2800000000002</v>
      </c>
      <c r="N67" s="2"/>
      <c r="O67" s="2"/>
      <c r="P67" s="162">
        <f>+EJECUTADO[[#This Row],[MONTO SOLICITADO]]-EJECUTADO[[#This Row],[RETENCION IVA]]-EJECUTADO[[#This Row],[RETENCION ISR]]</f>
        <v>2292.2800000000002</v>
      </c>
      <c r="Q67" s="84" t="s">
        <v>1000</v>
      </c>
      <c r="R67" s="2"/>
      <c r="S67">
        <v>1</v>
      </c>
      <c r="T67" s="168" t="str">
        <f t="shared" si="2"/>
        <v>ALQUILERES - Casa  118 Edith de Molina Neira $ 2,292.28x 6 Disponible $12250 Solicitado $2292.28 PRESUPUESTO: SI</v>
      </c>
    </row>
    <row r="68" spans="1:20" ht="45" x14ac:dyDescent="0.25">
      <c r="A68" s="6">
        <f t="shared" ref="A68:A131" si="3">+A67+1</f>
        <v>67</v>
      </c>
      <c r="B68" s="21">
        <v>45294</v>
      </c>
      <c r="C68" s="17" t="s">
        <v>1135</v>
      </c>
      <c r="D68" s="65" t="s">
        <v>1136</v>
      </c>
      <c r="E68" s="65"/>
      <c r="F68" t="s">
        <v>1137</v>
      </c>
      <c r="G68" s="161">
        <f>MONTH(EJECUTADO[[#This Row],[FECHA]])</f>
        <v>1</v>
      </c>
      <c r="H68" s="163" t="str">
        <f>MID(EJECUTADO[[#This Row],[CUENTA]],1,4)</f>
        <v>E-01</v>
      </c>
      <c r="I68" s="163" t="str">
        <f>INDEX(CATALOGO[Descripción],MATCH(EJECUTADO[[#This Row],[APLICACIÓN]]&amp;"-00-00-00",CATALOGO[Código],0))</f>
        <v>SERVICIOS PROFESIONALES</v>
      </c>
      <c r="J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MANTENIMIENTO</v>
      </c>
      <c r="K68" s="161" t="str">
        <f>IF((EJECUTADO[[#This Row],[MONTO DISPONIBLE ]]-EJECUTADO[[#This Row],[MONTO SOLICITADO]])&gt;=0,"PRESUPUESTO: SI","PRESUPUESTO: NO")</f>
        <v>PRESUPUESTO: SI</v>
      </c>
      <c r="L68" s="162">
        <f>SUMIF(PRESUPUESTO[CUENTA],EJECUTADO[[#This Row],[CUENTA]],PRESUPUESTO[MONTO])-SUMIF($F$1:F67,EJECUTADO[[#This Row],[CUENTA]],$M$1:M67)</f>
        <v>96000</v>
      </c>
      <c r="M68" s="2">
        <v>8000</v>
      </c>
      <c r="N68" s="2"/>
      <c r="O68" s="2"/>
      <c r="P68" s="162">
        <f>+EJECUTADO[[#This Row],[MONTO SOLICITADO]]-EJECUTADO[[#This Row],[RETENCION IVA]]-EJECUTADO[[#This Row],[RETENCION ISR]]</f>
        <v>8000</v>
      </c>
      <c r="Q68" s="84" t="s">
        <v>1000</v>
      </c>
      <c r="R68" s="2"/>
      <c r="S68">
        <v>1</v>
      </c>
      <c r="T68" s="168" t="str">
        <f t="shared" si="2"/>
        <v>SERVICIOS PROFESIONALES - SERVICIOS DE MANTENIMIENTO Disponible $96000 Solicitado $8000 PRESUPUESTO: SI</v>
      </c>
    </row>
    <row r="69" spans="1:20" ht="45" x14ac:dyDescent="0.25">
      <c r="A69" s="6">
        <f t="shared" si="3"/>
        <v>68</v>
      </c>
      <c r="B69" s="21">
        <v>45294</v>
      </c>
      <c r="C69" s="122" t="s">
        <v>1138</v>
      </c>
      <c r="D69" s="65" t="s">
        <v>1139</v>
      </c>
      <c r="E69" s="65"/>
      <c r="F69" t="s">
        <v>1140</v>
      </c>
      <c r="G69" s="161">
        <f>MONTH(EJECUTADO[[#This Row],[FECHA]])</f>
        <v>1</v>
      </c>
      <c r="H69" s="163" t="str">
        <f>MID(EJECUTADO[[#This Row],[CUENTA]],1,4)</f>
        <v>E-12</v>
      </c>
      <c r="I69" s="163" t="str">
        <f>INDEX(CATALOGO[Descripción],MATCH(EJECUTADO[[#This Row],[APLICACIÓN]]&amp;"-00-00-00",CATALOGO[Código],0))</f>
        <v>PROYECCION SOCIAL</v>
      </c>
      <c r="J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SEGUIMIENTOS Y EVALUACIÓN A PROYECTOS</v>
      </c>
      <c r="K69" s="161" t="str">
        <f>IF((EJECUTADO[[#This Row],[MONTO DISPONIBLE ]]-EJECUTADO[[#This Row],[MONTO SOLICITADO]])&gt;=0,"PRESUPUESTO: SI","PRESUPUESTO: NO")</f>
        <v>PRESUPUESTO: NO</v>
      </c>
      <c r="L69" s="162">
        <f>SUMIF(PRESUPUESTO[CUENTA],EJECUTADO[[#This Row],[CUENTA]],PRESUPUESTO[MONTO])-SUMIF($F$1:F68,EJECUTADO[[#This Row],[CUENTA]],$M$1:M68)</f>
        <v>600</v>
      </c>
      <c r="M69" s="2">
        <v>2260</v>
      </c>
      <c r="N69" s="2"/>
      <c r="O69" s="2"/>
      <c r="P69" s="162">
        <f>+EJECUTADO[[#This Row],[MONTO SOLICITADO]]-EJECUTADO[[#This Row],[RETENCION IVA]]-EJECUTADO[[#This Row],[RETENCION ISR]]</f>
        <v>2260</v>
      </c>
      <c r="Q69" s="84" t="s">
        <v>1000</v>
      </c>
      <c r="R69" s="2"/>
      <c r="S69">
        <v>1</v>
      </c>
      <c r="T69" s="168" t="str">
        <f t="shared" si="2"/>
        <v>PROYECCION SOCIAL - SEGUIMIENTOS Y EVALUACIÓN A PROYECTOS Disponible $600 Solicitado $2260 PRESUPUESTO: NO</v>
      </c>
    </row>
    <row r="70" spans="1:20" ht="75" x14ac:dyDescent="0.25">
      <c r="A70" s="6">
        <f t="shared" si="3"/>
        <v>69</v>
      </c>
      <c r="B70" s="21">
        <v>45294</v>
      </c>
      <c r="C70" s="17" t="s">
        <v>1141</v>
      </c>
      <c r="D70" s="65" t="s">
        <v>1142</v>
      </c>
      <c r="E70" s="65"/>
      <c r="F70" t="s">
        <v>1143</v>
      </c>
      <c r="G70" s="161">
        <f>MONTH(EJECUTADO[[#This Row],[FECHA]])</f>
        <v>1</v>
      </c>
      <c r="H70" s="163" t="str">
        <f>MID(EJECUTADO[[#This Row],[CUENTA]],1,4)</f>
        <v>E-26</v>
      </c>
      <c r="I70" s="163" t="str">
        <f>INDEX(CATALOGO[Descripción],MATCH(EJECUTADO[[#This Row],[APLICACIÓN]]&amp;"-00-00-00",CATALOGO[Código],0))</f>
        <v>EVENTOS ACADEMICOS, CULTURALES  E INSTITUCIONALES</v>
      </c>
      <c r="J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CONGRESO DOCENTES </v>
      </c>
      <c r="K70" s="161" t="str">
        <f>IF((EJECUTADO[[#This Row],[MONTO DISPONIBLE ]]-EJECUTADO[[#This Row],[MONTO SOLICITADO]])&gt;=0,"PRESUPUESTO: SI","PRESUPUESTO: NO")</f>
        <v>PRESUPUESTO: SI</v>
      </c>
      <c r="L70" s="162">
        <f>SUMIF(PRESUPUESTO[CUENTA],EJECUTADO[[#This Row],[CUENTA]],PRESUPUESTO[MONTO])-SUMIF($F$1:F69,EJECUTADO[[#This Row],[CUENTA]],$M$1:M69)</f>
        <v>10000</v>
      </c>
      <c r="M70" s="2">
        <v>7210.13</v>
      </c>
      <c r="N70" s="2"/>
      <c r="O70" s="2"/>
      <c r="P70" s="162">
        <f>+EJECUTADO[[#This Row],[MONTO SOLICITADO]]-EJECUTADO[[#This Row],[RETENCION IVA]]-EJECUTADO[[#This Row],[RETENCION ISR]]</f>
        <v>7210.13</v>
      </c>
      <c r="Q70" s="84" t="s">
        <v>1000</v>
      </c>
      <c r="R70" s="2"/>
      <c r="S70">
        <v>1</v>
      </c>
      <c r="T70" s="168" t="str">
        <f t="shared" si="2"/>
        <v>EVENTOS ACADEMICOS, CULTURALES  E INSTITUCIONALES - CONGRESO DOCENTES  Disponible $10000 Solicitado $7210.13 PRESUPUESTO: SI</v>
      </c>
    </row>
    <row r="71" spans="1:20" ht="30" x14ac:dyDescent="0.25">
      <c r="A71" s="6">
        <f t="shared" si="3"/>
        <v>70</v>
      </c>
      <c r="B71" s="21">
        <v>45296</v>
      </c>
      <c r="C71" s="17" t="s">
        <v>1144</v>
      </c>
      <c r="D71" s="65" t="s">
        <v>1145</v>
      </c>
      <c r="E71" s="65"/>
      <c r="F71" t="s">
        <v>1146</v>
      </c>
      <c r="G71" s="161">
        <f>MONTH(EJECUTADO[[#This Row],[FECHA]])</f>
        <v>1</v>
      </c>
      <c r="H71" s="163" t="str">
        <f>MID(EJECUTADO[[#This Row],[CUENTA]],1,4)</f>
        <v>E-23</v>
      </c>
      <c r="I71" s="163" t="str">
        <f>INDEX(CATALOGO[Descripción],MATCH(EJECUTADO[[#This Row],[APLICACIÓN]]&amp;"-00-00-00",CATALOGO[Código],0))</f>
        <v>GASTOS DE VIAJE</v>
      </c>
      <c r="J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71" s="161" t="str">
        <f>IF((EJECUTADO[[#This Row],[MONTO DISPONIBLE ]]-EJECUTADO[[#This Row],[MONTO SOLICITADO]])&gt;=0,"PRESUPUESTO: SI","PRESUPUESTO: NO")</f>
        <v>PRESUPUESTO: SI</v>
      </c>
      <c r="L71" s="162">
        <f>SUMIF(PRESUPUESTO[CUENTA],EJECUTADO[[#This Row],[CUENTA]],PRESUPUESTO[MONTO])-SUMIF($F$1:F70,EJECUTADO[[#This Row],[CUENTA]],$M$1:M70)</f>
        <v>2160</v>
      </c>
      <c r="M71" s="2">
        <v>180</v>
      </c>
      <c r="N71" s="2"/>
      <c r="O71" s="2"/>
      <c r="P71" s="162">
        <f>+EJECUTADO[[#This Row],[MONTO SOLICITADO]]-EJECUTADO[[#This Row],[RETENCION IVA]]-EJECUTADO[[#This Row],[RETENCION ISR]]</f>
        <v>180</v>
      </c>
      <c r="Q71" s="84" t="s">
        <v>1000</v>
      </c>
      <c r="R71" s="2"/>
      <c r="S71">
        <v>1</v>
      </c>
      <c r="T71" s="168" t="str">
        <f t="shared" si="2"/>
        <v>GASTOS DE VIAJE - Mensajero $ 180.00  Disponible $2160 Solicitado $180 PRESUPUESTO: SI</v>
      </c>
    </row>
    <row r="72" spans="1:20" ht="45" x14ac:dyDescent="0.25">
      <c r="A72" s="6">
        <f t="shared" si="3"/>
        <v>71</v>
      </c>
      <c r="B72" s="21">
        <v>45296</v>
      </c>
      <c r="C72" s="17" t="s">
        <v>1147</v>
      </c>
      <c r="D72" s="65" t="s">
        <v>1148</v>
      </c>
      <c r="E72" s="65"/>
      <c r="F72" t="s">
        <v>1042</v>
      </c>
      <c r="G72" s="161">
        <f>MONTH(EJECUTADO[[#This Row],[FECHA]])</f>
        <v>1</v>
      </c>
      <c r="H72" s="163" t="str">
        <f>MID(EJECUTADO[[#This Row],[CUENTA]],1,4)</f>
        <v>E-23</v>
      </c>
      <c r="I72" s="163" t="str">
        <f>INDEX(CATALOGO[Descripción],MATCH(EJECUTADO[[#This Row],[APLICACIÓN]]&amp;"-00-00-00",CATALOGO[Código],0))</f>
        <v>GASTOS DE VIAJE</v>
      </c>
      <c r="J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72" s="161" t="str">
        <f>IF((EJECUTADO[[#This Row],[MONTO DISPONIBLE ]]-EJECUTADO[[#This Row],[MONTO SOLICITADO]])&gt;=0,"PRESUPUESTO: SI","PRESUPUESTO: NO")</f>
        <v>PRESUPUESTO: SI</v>
      </c>
      <c r="L72" s="162">
        <f>SUMIF(PRESUPUESTO[CUENTA],EJECUTADO[[#This Row],[CUENTA]],PRESUPUESTO[MONTO])-SUMIF($F$1:F71,EJECUTADO[[#This Row],[CUENTA]],$M$1:M71)</f>
        <v>3724</v>
      </c>
      <c r="M72" s="2">
        <v>100</v>
      </c>
      <c r="N72" s="2"/>
      <c r="O72" s="2"/>
      <c r="P72" s="162">
        <f>+EJECUTADO[[#This Row],[MONTO SOLICITADO]]-EJECUTADO[[#This Row],[RETENCION IVA]]-EJECUTADO[[#This Row],[RETENCION ISR]]</f>
        <v>100</v>
      </c>
      <c r="Q72" s="84" t="s">
        <v>1000</v>
      </c>
      <c r="R72" s="2"/>
      <c r="S72">
        <v>1</v>
      </c>
      <c r="T72" s="168" t="str">
        <f t="shared" si="2"/>
        <v>GASTOS DE VIAJE - OTROS VIATICOS AL PERSONAL Disponible $3724 Solicitado $100 PRESUPUESTO: SI</v>
      </c>
    </row>
    <row r="73" spans="1:20" ht="30" x14ac:dyDescent="0.25">
      <c r="A73" s="6">
        <f t="shared" si="3"/>
        <v>72</v>
      </c>
      <c r="B73" s="21">
        <v>45299</v>
      </c>
      <c r="C73" s="17" t="s">
        <v>1149</v>
      </c>
      <c r="D73" s="65" t="s">
        <v>1150</v>
      </c>
      <c r="E73" s="65"/>
      <c r="F73" t="s">
        <v>1151</v>
      </c>
      <c r="G73" s="161">
        <f>MONTH(EJECUTADO[[#This Row],[FECHA]])</f>
        <v>1</v>
      </c>
      <c r="H73" s="163" t="str">
        <f>MID(EJECUTADO[[#This Row],[CUENTA]],1,4)</f>
        <v>E-20</v>
      </c>
      <c r="I73" s="163" t="str">
        <f>INDEX(CATALOGO[Descripción],MATCH(EJECUTADO[[#This Row],[APLICACIÓN]]&amp;"-00-00-00",CATALOGO[Código],0))</f>
        <v>SEGUROS</v>
      </c>
      <c r="J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de Incendio- ACSA Aseguradora Agri 8 cuo</v>
      </c>
      <c r="K73" s="161" t="str">
        <f>IF((EJECUTADO[[#This Row],[MONTO DISPONIBLE ]]-EJECUTADO[[#This Row],[MONTO SOLICITADO]])&gt;=0,"PRESUPUESTO: SI","PRESUPUESTO: NO")</f>
        <v>PRESUPUESTO: SI</v>
      </c>
      <c r="L73" s="162">
        <f>SUMIF(PRESUPUESTO[CUENTA],EJECUTADO[[#This Row],[CUENTA]],PRESUPUESTO[MONTO])-SUMIF($F$1:F72,EJECUTADO[[#This Row],[CUENTA]],$M$1:M72)</f>
        <v>207229</v>
      </c>
      <c r="M73" s="2">
        <v>3032.21</v>
      </c>
      <c r="N73" s="2"/>
      <c r="O73" s="2"/>
      <c r="P73" s="162">
        <f>+EJECUTADO[[#This Row],[MONTO SOLICITADO]]-EJECUTADO[[#This Row],[RETENCION IVA]]-EJECUTADO[[#This Row],[RETENCION ISR]]</f>
        <v>3032.21</v>
      </c>
      <c r="Q73" s="84" t="s">
        <v>1000</v>
      </c>
      <c r="R73" s="2"/>
      <c r="S73">
        <v>1</v>
      </c>
      <c r="T73" s="168" t="str">
        <f t="shared" si="2"/>
        <v>SEGUROS - Seguro de Incendio- ACSA Aseguradora Agri 8 cuo Disponible $207229 Solicitado $3032.21 PRESUPUESTO: SI</v>
      </c>
    </row>
    <row r="74" spans="1:20" ht="30" x14ac:dyDescent="0.25">
      <c r="A74" s="6">
        <f t="shared" si="3"/>
        <v>73</v>
      </c>
      <c r="B74" s="21">
        <v>45301</v>
      </c>
      <c r="C74" s="17" t="s">
        <v>1152</v>
      </c>
      <c r="D74" s="65" t="s">
        <v>1153</v>
      </c>
      <c r="E74" s="65"/>
      <c r="F74" s="68" t="s">
        <v>1154</v>
      </c>
      <c r="G74" s="161">
        <f>MONTH(EJECUTADO[[#This Row],[FECHA]])</f>
        <v>1</v>
      </c>
      <c r="H74" s="163" t="str">
        <f>MID(EJECUTADO[[#This Row],[CUENTA]],1,4)</f>
        <v>E-09</v>
      </c>
      <c r="I74" s="163" t="str">
        <f>INDEX(CATALOGO[Descripción],MATCH(EJECUTADO[[#This Row],[APLICACIÓN]]&amp;"-00-00-00",CATALOGO[Código],0))</f>
        <v>PRESTACIONES AL PERSONAL</v>
      </c>
      <c r="J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74" s="161" t="str">
        <f>IF((EJECUTADO[[#This Row],[MONTO DISPONIBLE ]]-EJECUTADO[[#This Row],[MONTO SOLICITADO]])&gt;=0,"PRESUPUESTO: SI","PRESUPUESTO: NO")</f>
        <v>PRESUPUESTO: SI</v>
      </c>
      <c r="L74" s="162">
        <f>SUMIF(PRESUPUESTO[CUENTA],EJECUTADO[[#This Row],[CUENTA]],PRESUPUESTO[MONTO])-SUMIF($F$1:F73,EJECUTADO[[#This Row],[CUENTA]],$M$1:M73)</f>
        <v>200000</v>
      </c>
      <c r="M74" s="2">
        <v>1745.06</v>
      </c>
      <c r="N74" s="2"/>
      <c r="O74" s="2"/>
      <c r="P74" s="162">
        <f>+EJECUTADO[[#This Row],[MONTO SOLICITADO]]-EJECUTADO[[#This Row],[RETENCION IVA]]-EJECUTADO[[#This Row],[RETENCION ISR]]</f>
        <v>1745.06</v>
      </c>
      <c r="Q74" s="84" t="s">
        <v>1000</v>
      </c>
      <c r="R74" s="2"/>
      <c r="S74">
        <v>1</v>
      </c>
      <c r="T74" s="168" t="str">
        <f t="shared" si="2"/>
        <v>PRESTACIONES AL PERSONAL - GASTOS MÉDICOS  Disponible $200000 Solicitado $1745.06 PRESUPUESTO: SI</v>
      </c>
    </row>
    <row r="75" spans="1:20" ht="30" x14ac:dyDescent="0.25">
      <c r="A75" s="6">
        <f t="shared" si="3"/>
        <v>74</v>
      </c>
      <c r="B75" s="21">
        <v>45301</v>
      </c>
      <c r="C75" s="17" t="s">
        <v>1155</v>
      </c>
      <c r="D75" s="65" t="s">
        <v>1153</v>
      </c>
      <c r="E75" s="65"/>
      <c r="F75" s="68" t="s">
        <v>1154</v>
      </c>
      <c r="G75" s="161">
        <f>MONTH(EJECUTADO[[#This Row],[FECHA]])</f>
        <v>1</v>
      </c>
      <c r="H75" s="163" t="str">
        <f>MID(EJECUTADO[[#This Row],[CUENTA]],1,4)</f>
        <v>E-09</v>
      </c>
      <c r="I75" s="163" t="str">
        <f>INDEX(CATALOGO[Descripción],MATCH(EJECUTADO[[#This Row],[APLICACIÓN]]&amp;"-00-00-00",CATALOGO[Código],0))</f>
        <v>PRESTACIONES AL PERSONAL</v>
      </c>
      <c r="J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75" s="161" t="str">
        <f>IF((EJECUTADO[[#This Row],[MONTO DISPONIBLE ]]-EJECUTADO[[#This Row],[MONTO SOLICITADO]])&gt;=0,"PRESUPUESTO: SI","PRESUPUESTO: NO")</f>
        <v>PRESUPUESTO: SI</v>
      </c>
      <c r="L75" s="162">
        <f>SUMIF(PRESUPUESTO[CUENTA],EJECUTADO[[#This Row],[CUENTA]],PRESUPUESTO[MONTO])-SUMIF($F$1:F74,EJECUTADO[[#This Row],[CUENTA]],$M$1:M74)</f>
        <v>198254.94</v>
      </c>
      <c r="M75" s="2">
        <v>1107.01</v>
      </c>
      <c r="N75" s="2"/>
      <c r="O75" s="2"/>
      <c r="P75" s="162">
        <f>+EJECUTADO[[#This Row],[MONTO SOLICITADO]]-EJECUTADO[[#This Row],[RETENCION IVA]]-EJECUTADO[[#This Row],[RETENCION ISR]]</f>
        <v>1107.01</v>
      </c>
      <c r="Q75" s="84" t="s">
        <v>1000</v>
      </c>
      <c r="R75" s="2"/>
      <c r="S75">
        <v>1</v>
      </c>
      <c r="T75" s="168" t="str">
        <f t="shared" si="2"/>
        <v>PRESTACIONES AL PERSONAL - GASTOS MÉDICOS  Disponible $198254.94 Solicitado $1107.01 PRESUPUESTO: SI</v>
      </c>
    </row>
    <row r="76" spans="1:20" ht="30" x14ac:dyDescent="0.25">
      <c r="A76" s="6">
        <f t="shared" si="3"/>
        <v>75</v>
      </c>
      <c r="B76" s="21">
        <v>45301</v>
      </c>
      <c r="C76" s="17" t="s">
        <v>1156</v>
      </c>
      <c r="D76" s="65" t="s">
        <v>1153</v>
      </c>
      <c r="E76" s="65"/>
      <c r="F76" s="68" t="s">
        <v>1154</v>
      </c>
      <c r="G76" s="161">
        <f>MONTH(EJECUTADO[[#This Row],[FECHA]])</f>
        <v>1</v>
      </c>
      <c r="H76" s="163" t="str">
        <f>MID(EJECUTADO[[#This Row],[CUENTA]],1,4)</f>
        <v>E-09</v>
      </c>
      <c r="I76" s="163" t="str">
        <f>INDEX(CATALOGO[Descripción],MATCH(EJECUTADO[[#This Row],[APLICACIÓN]]&amp;"-00-00-00",CATALOGO[Código],0))</f>
        <v>PRESTACIONES AL PERSONAL</v>
      </c>
      <c r="J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76" s="161" t="str">
        <f>IF((EJECUTADO[[#This Row],[MONTO DISPONIBLE ]]-EJECUTADO[[#This Row],[MONTO SOLICITADO]])&gt;=0,"PRESUPUESTO: SI","PRESUPUESTO: NO")</f>
        <v>PRESUPUESTO: SI</v>
      </c>
      <c r="L76" s="162">
        <f>SUMIF(PRESUPUESTO[CUENTA],EJECUTADO[[#This Row],[CUENTA]],PRESUPUESTO[MONTO])-SUMIF($F$1:F75,EJECUTADO[[#This Row],[CUENTA]],$M$1:M75)</f>
        <v>197147.93</v>
      </c>
      <c r="M76" s="2">
        <v>1398.49</v>
      </c>
      <c r="N76" s="2"/>
      <c r="O76" s="2"/>
      <c r="P76" s="162">
        <f>+EJECUTADO[[#This Row],[MONTO SOLICITADO]]-EJECUTADO[[#This Row],[RETENCION IVA]]-EJECUTADO[[#This Row],[RETENCION ISR]]</f>
        <v>1398.49</v>
      </c>
      <c r="Q76" s="84" t="s">
        <v>1000</v>
      </c>
      <c r="R76" s="2"/>
      <c r="S76">
        <v>1</v>
      </c>
      <c r="T76" s="168" t="str">
        <f t="shared" si="2"/>
        <v>PRESTACIONES AL PERSONAL - GASTOS MÉDICOS  Disponible $197147.93 Solicitado $1398.49 PRESUPUESTO: SI</v>
      </c>
    </row>
    <row r="77" spans="1:20" x14ac:dyDescent="0.25">
      <c r="A77" s="6">
        <f t="shared" si="3"/>
        <v>76</v>
      </c>
      <c r="B77" s="21">
        <v>45301</v>
      </c>
      <c r="C77" s="17" t="s">
        <v>1157</v>
      </c>
      <c r="D77" s="65" t="s">
        <v>1158</v>
      </c>
      <c r="E77" s="65"/>
      <c r="F77" t="s">
        <v>1159</v>
      </c>
      <c r="G77" s="161">
        <f>MONTH(EJECUTADO[[#This Row],[FECHA]])</f>
        <v>1</v>
      </c>
      <c r="H77" s="163" t="str">
        <f>MID(EJECUTADO[[#This Row],[CUENTA]],1,4)</f>
        <v>E-24</v>
      </c>
      <c r="I77" s="163" t="str">
        <f>INDEX(CATALOGO[Descripción],MATCH(EJECUTADO[[#This Row],[APLICACIÓN]]&amp;"-00-00-00",CATALOGO[Código],0))</f>
        <v>NUEVO INGRESO</v>
      </c>
      <c r="J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77" s="161" t="str">
        <f>IF((EJECUTADO[[#This Row],[MONTO DISPONIBLE ]]-EJECUTADO[[#This Row],[MONTO SOLICITADO]])&gt;=0,"PRESUPUESTO: SI","PRESUPUESTO: NO")</f>
        <v>PRESUPUESTO: SI</v>
      </c>
      <c r="L77" s="162">
        <f>SUMIF(PRESUPUESTO[CUENTA],EJECUTADO[[#This Row],[CUENTA]],PRESUPUESTO[MONTO])-SUMIF($F$1:F76,EJECUTADO[[#This Row],[CUENTA]],$M$1:M76)</f>
        <v>35014</v>
      </c>
      <c r="M77" s="2">
        <v>2917.85</v>
      </c>
      <c r="N77" s="2"/>
      <c r="O77" s="2"/>
      <c r="P77" s="162">
        <f>+EJECUTADO[[#This Row],[MONTO SOLICITADO]]-EJECUTADO[[#This Row],[RETENCION IVA]]-EJECUTADO[[#This Row],[RETENCION ISR]]</f>
        <v>2917.85</v>
      </c>
      <c r="Q77" s="84" t="s">
        <v>1000</v>
      </c>
      <c r="R77" s="2"/>
      <c r="S77">
        <v>1</v>
      </c>
      <c r="T77" s="168" t="str">
        <f t="shared" si="2"/>
        <v>NUEVO INGRESO - Plaza Mundo - Renta de local $ 2,917.85 DEICE Disponible $35014 Solicitado $2917.85 PRESUPUESTO: SI</v>
      </c>
    </row>
    <row r="78" spans="1:20" ht="45" x14ac:dyDescent="0.25">
      <c r="A78" s="6">
        <f t="shared" si="3"/>
        <v>77</v>
      </c>
      <c r="B78" s="21">
        <v>45301</v>
      </c>
      <c r="C78" s="17" t="s">
        <v>1157</v>
      </c>
      <c r="D78" s="65" t="s">
        <v>1160</v>
      </c>
      <c r="E78" s="65"/>
      <c r="F78" t="s">
        <v>1161</v>
      </c>
      <c r="G78" s="161">
        <f>MONTH(EJECUTADO[[#This Row],[FECHA]])</f>
        <v>1</v>
      </c>
      <c r="H78" s="163" t="str">
        <f>MID(EJECUTADO[[#This Row],[CUENTA]],1,4)</f>
        <v>E-24</v>
      </c>
      <c r="I78" s="163" t="str">
        <f>INDEX(CATALOGO[Descripción],MATCH(EJECUTADO[[#This Row],[APLICACIÓN]]&amp;"-00-00-00",CATALOGO[Código],0))</f>
        <v>NUEVO INGRESO</v>
      </c>
      <c r="J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Mtto aire acondicionado  $ 35.00</v>
      </c>
      <c r="K78" s="161" t="str">
        <f>IF((EJECUTADO[[#This Row],[MONTO DISPONIBLE ]]-EJECUTADO[[#This Row],[MONTO SOLICITADO]])&gt;=0,"PRESUPUESTO: SI","PRESUPUESTO: NO")</f>
        <v>PRESUPUESTO: SI</v>
      </c>
      <c r="L78" s="162">
        <f>SUMIF(PRESUPUESTO[CUENTA],EJECUTADO[[#This Row],[CUENTA]],PRESUPUESTO[MONTO])-SUMIF($F$1:F77,EJECUTADO[[#This Row],[CUENTA]],$M$1:M77)</f>
        <v>420</v>
      </c>
      <c r="M78" s="2">
        <v>209.05</v>
      </c>
      <c r="N78" s="2"/>
      <c r="O78" s="2"/>
      <c r="P78" s="162">
        <f>+EJECUTADO[[#This Row],[MONTO SOLICITADO]]-EJECUTADO[[#This Row],[RETENCION IVA]]-EJECUTADO[[#This Row],[RETENCION ISR]]</f>
        <v>209.05</v>
      </c>
      <c r="Q78" s="84" t="s">
        <v>1000</v>
      </c>
      <c r="R78" s="2"/>
      <c r="S78">
        <v>1</v>
      </c>
      <c r="T78" s="168" t="str">
        <f t="shared" si="2"/>
        <v>NUEVO INGRESO - Plaza Mundo - Mtto aire acondicionado  $ 35.00 Disponible $420 Solicitado $209.05 PRESUPUESTO: SI</v>
      </c>
    </row>
    <row r="79" spans="1:20" ht="45" x14ac:dyDescent="0.25">
      <c r="A79" s="6">
        <f t="shared" si="3"/>
        <v>78</v>
      </c>
      <c r="B79" s="21">
        <v>45301</v>
      </c>
      <c r="C79" s="17" t="s">
        <v>1162</v>
      </c>
      <c r="D79" s="65" t="s">
        <v>1163</v>
      </c>
      <c r="E79" s="65"/>
      <c r="F79" t="s">
        <v>1164</v>
      </c>
      <c r="G79" s="161">
        <f>MONTH(EJECUTADO[[#This Row],[FECHA]])</f>
        <v>1</v>
      </c>
      <c r="H79" s="163" t="str">
        <f>MID(EJECUTADO[[#This Row],[CUENTA]],1,4)</f>
        <v>E-24</v>
      </c>
      <c r="I79" s="163" t="str">
        <f>INDEX(CATALOGO[Descripción],MATCH(EJECUTADO[[#This Row],[APLICACIÓN]]&amp;"-00-00-00",CATALOGO[Código],0))</f>
        <v>NUEVO INGRESO</v>
      </c>
      <c r="J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79" s="161" t="str">
        <f>IF((EJECUTADO[[#This Row],[MONTO DISPONIBLE ]]-EJECUTADO[[#This Row],[MONTO SOLICITADO]])&gt;=0,"PRESUPUESTO: SI","PRESUPUESTO: NO")</f>
        <v>PRESUPUESTO: SI</v>
      </c>
      <c r="L79" s="162">
        <f>SUMIF(PRESUPUESTO[CUENTA],EJECUTADO[[#This Row],[CUENTA]],PRESUPUESTO[MONTO])-SUMIF($F$1:F78,EJECUTADO[[#This Row],[CUENTA]],$M$1:M78)</f>
        <v>3000</v>
      </c>
      <c r="M79" s="2">
        <v>387.76</v>
      </c>
      <c r="N79" s="2"/>
      <c r="O79" s="2"/>
      <c r="P79" s="162">
        <f>+EJECUTADO[[#This Row],[MONTO SOLICITADO]]-EJECUTADO[[#This Row],[RETENCION IVA]]-EJECUTADO[[#This Row],[RETENCION ISR]]</f>
        <v>387.76</v>
      </c>
      <c r="Q79" s="84" t="s">
        <v>1000</v>
      </c>
      <c r="R79" s="2"/>
      <c r="S79">
        <v>1</v>
      </c>
      <c r="T79" s="168" t="str">
        <f t="shared" si="2"/>
        <v>NUEVO INGRESO - Plaza Mundo - Promoción centro de atención Disponible $3000 Solicitado $387.76 PRESUPUESTO: SI</v>
      </c>
    </row>
    <row r="80" spans="1:20" ht="30" x14ac:dyDescent="0.25">
      <c r="A80" s="6">
        <f t="shared" si="3"/>
        <v>79</v>
      </c>
      <c r="B80" s="21">
        <v>45301</v>
      </c>
      <c r="C80" s="17" t="s">
        <v>1165</v>
      </c>
      <c r="D80" s="65" t="s">
        <v>1166</v>
      </c>
      <c r="E80" s="65"/>
      <c r="F80" t="s">
        <v>1167</v>
      </c>
      <c r="G80" s="161">
        <f>MONTH(EJECUTADO[[#This Row],[FECHA]])</f>
        <v>1</v>
      </c>
      <c r="H80" s="163" t="str">
        <f>MID(EJECUTADO[[#This Row],[CUENTA]],1,4)</f>
        <v>E-24</v>
      </c>
      <c r="I80" s="163" t="str">
        <f>INDEX(CATALOGO[Descripción],MATCH(EJECUTADO[[#This Row],[APLICACIÓN]]&amp;"-00-00-00",CATALOGO[Código],0))</f>
        <v>NUEVO INGRESO</v>
      </c>
      <c r="J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80" s="161" t="str">
        <f>IF((EJECUTADO[[#This Row],[MONTO DISPONIBLE ]]-EJECUTADO[[#This Row],[MONTO SOLICITADO]])&gt;=0,"PRESUPUESTO: SI","PRESUPUESTO: NO")</f>
        <v>PRESUPUESTO: SI</v>
      </c>
      <c r="L80" s="162">
        <f>SUMIF(PRESUPUESTO[CUENTA],EJECUTADO[[#This Row],[CUENTA]],PRESUPUESTO[MONTO])-SUMIF($F$1:F79,EJECUTADO[[#This Row],[CUENTA]],$M$1:M79)</f>
        <v>5235</v>
      </c>
      <c r="M80" s="2">
        <v>3107.5</v>
      </c>
      <c r="N80" s="2"/>
      <c r="O80" s="2"/>
      <c r="P80" s="162">
        <f>+EJECUTADO[[#This Row],[MONTO SOLICITADO]]-EJECUTADO[[#This Row],[RETENCION IVA]]-EJECUTADO[[#This Row],[RETENCION ISR]]</f>
        <v>3107.5</v>
      </c>
      <c r="Q80" s="84" t="s">
        <v>1000</v>
      </c>
      <c r="R80" s="2"/>
      <c r="S80">
        <v>1</v>
      </c>
      <c r="T80" s="168" t="str">
        <f t="shared" si="2"/>
        <v>NUEVO INGRESO - Metrocentro - Mantenimiento de local $ 436.23 Disponible $5235 Solicitado $3107.5 PRESUPUESTO: SI</v>
      </c>
    </row>
    <row r="81" spans="1:20" x14ac:dyDescent="0.25">
      <c r="A81" s="6">
        <f t="shared" si="3"/>
        <v>80</v>
      </c>
      <c r="B81" s="21">
        <v>45301</v>
      </c>
      <c r="C81" s="17" t="s">
        <v>1165</v>
      </c>
      <c r="D81" s="65" t="s">
        <v>1168</v>
      </c>
      <c r="E81" s="65"/>
      <c r="F81" t="s">
        <v>1169</v>
      </c>
      <c r="G81" s="161">
        <f>MONTH(EJECUTADO[[#This Row],[FECHA]])</f>
        <v>1</v>
      </c>
      <c r="H81" s="163" t="str">
        <f>MID(EJECUTADO[[#This Row],[CUENTA]],1,4)</f>
        <v>E-24</v>
      </c>
      <c r="I81" s="163" t="str">
        <f>INDEX(CATALOGO[Descripción],MATCH(EJECUTADO[[#This Row],[APLICACIÓN]]&amp;"-00-00-00",CATALOGO[Código],0))</f>
        <v>NUEVO INGRESO</v>
      </c>
      <c r="J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Aromatización $ 55.00 * 12</v>
      </c>
      <c r="K81" s="161" t="str">
        <f>IF((EJECUTADO[[#This Row],[MONTO DISPONIBLE ]]-EJECUTADO[[#This Row],[MONTO SOLICITADO]])&gt;=0,"PRESUPUESTO: SI","PRESUPUESTO: NO")</f>
        <v>PRESUPUESTO: SI</v>
      </c>
      <c r="L81" s="162">
        <f>SUMIF(PRESUPUESTO[CUENTA],EJECUTADO[[#This Row],[CUENTA]],PRESUPUESTO[MONTO])-SUMIF($F$1:F80,EJECUTADO[[#This Row],[CUENTA]],$M$1:M80)</f>
        <v>660</v>
      </c>
      <c r="M81" s="2">
        <v>300.24</v>
      </c>
      <c r="N81" s="2"/>
      <c r="O81" s="2"/>
      <c r="P81" s="162">
        <f>+EJECUTADO[[#This Row],[MONTO SOLICITADO]]-EJECUTADO[[#This Row],[RETENCION IVA]]-EJECUTADO[[#This Row],[RETENCION ISR]]</f>
        <v>300.24</v>
      </c>
      <c r="Q81" s="84" t="s">
        <v>1000</v>
      </c>
      <c r="R81" s="2"/>
      <c r="S81">
        <v>1</v>
      </c>
      <c r="T81" s="168" t="str">
        <f t="shared" si="2"/>
        <v>NUEVO INGRESO - Metrocentro - Aromatización $ 55.00 * 12 Disponible $660 Solicitado $300.24 PRESUPUESTO: SI</v>
      </c>
    </row>
    <row r="82" spans="1:20" x14ac:dyDescent="0.25">
      <c r="A82" s="6">
        <f t="shared" si="3"/>
        <v>81</v>
      </c>
      <c r="B82" s="21">
        <v>45301</v>
      </c>
      <c r="C82" s="17" t="s">
        <v>1165</v>
      </c>
      <c r="D82" s="65" t="s">
        <v>1170</v>
      </c>
      <c r="E82" s="65"/>
      <c r="F82" t="s">
        <v>1171</v>
      </c>
      <c r="G82" s="161">
        <f>MONTH(EJECUTADO[[#This Row],[FECHA]])</f>
        <v>1</v>
      </c>
      <c r="H82" s="163" t="str">
        <f>MID(EJECUTADO[[#This Row],[CUENTA]],1,4)</f>
        <v>E-24</v>
      </c>
      <c r="I82" s="163" t="str">
        <f>INDEX(CATALOGO[Descripción],MATCH(EJECUTADO[[#This Row],[APLICACIÓN]]&amp;"-00-00-00",CATALOGO[Código],0))</f>
        <v>NUEVO INGRESO</v>
      </c>
      <c r="J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82" s="161" t="str">
        <f>IF((EJECUTADO[[#This Row],[MONTO DISPONIBLE ]]-EJECUTADO[[#This Row],[MONTO SOLICITADO]])&gt;=0,"PRESUPUESTO: SI","PRESUPUESTO: NO")</f>
        <v>PRESUPUESTO: SI</v>
      </c>
      <c r="L82" s="162">
        <f>SUMIF(PRESUPUESTO[CUENTA],EJECUTADO[[#This Row],[CUENTA]],PRESUPUESTO[MONTO])-SUMIF($F$1:F81,EJECUTADO[[#This Row],[CUENTA]],$M$1:M81)</f>
        <v>37297</v>
      </c>
      <c r="M82" s="2">
        <v>55.21</v>
      </c>
      <c r="N82" s="2"/>
      <c r="O82" s="2"/>
      <c r="P82" s="162">
        <f>+EJECUTADO[[#This Row],[MONTO SOLICITADO]]-EJECUTADO[[#This Row],[RETENCION IVA]]-EJECUTADO[[#This Row],[RETENCION ISR]]</f>
        <v>55.21</v>
      </c>
      <c r="Q82" s="84" t="s">
        <v>1000</v>
      </c>
      <c r="R82" s="2"/>
      <c r="S82">
        <v>1</v>
      </c>
      <c r="T82" s="168" t="str">
        <f t="shared" si="2"/>
        <v>NUEVO INGRESO - Metrocentro - Alquiler de Local $ 3108*12  Disponible $37297 Solicitado $55.21 PRESUPUESTO: SI</v>
      </c>
    </row>
    <row r="83" spans="1:20" x14ac:dyDescent="0.25">
      <c r="A83" s="6">
        <f t="shared" si="3"/>
        <v>82</v>
      </c>
      <c r="B83" s="21">
        <v>45301</v>
      </c>
      <c r="C83" s="17" t="s">
        <v>1165</v>
      </c>
      <c r="D83" s="65" t="s">
        <v>1172</v>
      </c>
      <c r="E83" s="65"/>
      <c r="F83" t="s">
        <v>1171</v>
      </c>
      <c r="G83" s="161">
        <f>MONTH(EJECUTADO[[#This Row],[FECHA]])</f>
        <v>1</v>
      </c>
      <c r="H83" s="163" t="str">
        <f>MID(EJECUTADO[[#This Row],[CUENTA]],1,4)</f>
        <v>E-24</v>
      </c>
      <c r="I83" s="163" t="str">
        <f>INDEX(CATALOGO[Descripción],MATCH(EJECUTADO[[#This Row],[APLICACIÓN]]&amp;"-00-00-00",CATALOGO[Código],0))</f>
        <v>NUEVO INGRESO</v>
      </c>
      <c r="J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83" s="161" t="str">
        <f>IF((EJECUTADO[[#This Row],[MONTO DISPONIBLE ]]-EJECUTADO[[#This Row],[MONTO SOLICITADO]])&gt;=0,"PRESUPUESTO: SI","PRESUPUESTO: NO")</f>
        <v>PRESUPUESTO: SI</v>
      </c>
      <c r="L83" s="162">
        <f>SUMIF(PRESUPUESTO[CUENTA],EJECUTADO[[#This Row],[CUENTA]],PRESUPUESTO[MONTO])-SUMIF($F$1:F82,EJECUTADO[[#This Row],[CUENTA]],$M$1:M82)</f>
        <v>37241.79</v>
      </c>
      <c r="M83" s="2">
        <v>54.52</v>
      </c>
      <c r="N83" s="2"/>
      <c r="O83" s="2"/>
      <c r="P83" s="162">
        <f>+EJECUTADO[[#This Row],[MONTO SOLICITADO]]-EJECUTADO[[#This Row],[RETENCION IVA]]-EJECUTADO[[#This Row],[RETENCION ISR]]</f>
        <v>54.52</v>
      </c>
      <c r="Q83" s="84" t="s">
        <v>1000</v>
      </c>
      <c r="R83" s="2"/>
      <c r="S83">
        <v>1</v>
      </c>
      <c r="T83" s="168" t="str">
        <f t="shared" si="2"/>
        <v>NUEVO INGRESO - Metrocentro - Alquiler de Local $ 3108*12  Disponible $37241.79 Solicitado $54.52 PRESUPUESTO: SI</v>
      </c>
    </row>
    <row r="84" spans="1:20" x14ac:dyDescent="0.25">
      <c r="A84" s="6">
        <f t="shared" si="3"/>
        <v>83</v>
      </c>
      <c r="B84" s="21">
        <v>45301</v>
      </c>
      <c r="C84" s="17" t="s">
        <v>1165</v>
      </c>
      <c r="D84" s="65" t="s">
        <v>249</v>
      </c>
      <c r="E84" s="65"/>
      <c r="F84" t="s">
        <v>1171</v>
      </c>
      <c r="G84" s="161">
        <f>MONTH(EJECUTADO[[#This Row],[FECHA]])</f>
        <v>1</v>
      </c>
      <c r="H84" s="163" t="str">
        <f>MID(EJECUTADO[[#This Row],[CUENTA]],1,4)</f>
        <v>E-24</v>
      </c>
      <c r="I84" s="163" t="str">
        <f>INDEX(CATALOGO[Descripción],MATCH(EJECUTADO[[#This Row],[APLICACIÓN]]&amp;"-00-00-00",CATALOGO[Código],0))</f>
        <v>NUEVO INGRESO</v>
      </c>
      <c r="J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84" s="161" t="str">
        <f>IF((EJECUTADO[[#This Row],[MONTO DISPONIBLE ]]-EJECUTADO[[#This Row],[MONTO SOLICITADO]])&gt;=0,"PRESUPUESTO: SI","PRESUPUESTO: NO")</f>
        <v>PRESUPUESTO: SI</v>
      </c>
      <c r="L84" s="162">
        <f>SUMIF(PRESUPUESTO[CUENTA],EJECUTADO[[#This Row],[CUENTA]],PRESUPUESTO[MONTO])-SUMIF($F$1:F83,EJECUTADO[[#This Row],[CUENTA]],$M$1:M83)</f>
        <v>37187.269999999997</v>
      </c>
      <c r="M84" s="2">
        <v>11.3</v>
      </c>
      <c r="N84" s="2"/>
      <c r="O84" s="2"/>
      <c r="P84" s="162">
        <f>+EJECUTADO[[#This Row],[MONTO SOLICITADO]]-EJECUTADO[[#This Row],[RETENCION IVA]]-EJECUTADO[[#This Row],[RETENCION ISR]]</f>
        <v>11.3</v>
      </c>
      <c r="Q84" s="84" t="s">
        <v>1000</v>
      </c>
      <c r="R84" s="2"/>
      <c r="S84">
        <v>1</v>
      </c>
      <c r="T84" s="168" t="str">
        <f t="shared" si="2"/>
        <v>NUEVO INGRESO - Metrocentro - Alquiler de Local $ 3108*12  Disponible $37187.27 Solicitado $11.3 PRESUPUESTO: SI</v>
      </c>
    </row>
    <row r="85" spans="1:20" x14ac:dyDescent="0.25">
      <c r="A85" s="6">
        <f t="shared" si="3"/>
        <v>84</v>
      </c>
      <c r="B85" s="21">
        <v>45301</v>
      </c>
      <c r="C85" s="17" t="s">
        <v>1173</v>
      </c>
      <c r="D85" s="65" t="s">
        <v>1174</v>
      </c>
      <c r="E85" s="65"/>
      <c r="F85" t="s">
        <v>1175</v>
      </c>
      <c r="G85" s="161">
        <f>MONTH(EJECUTADO[[#This Row],[FECHA]])</f>
        <v>1</v>
      </c>
      <c r="H85" s="163" t="str">
        <f>MID(EJECUTADO[[#This Row],[CUENTA]],1,4)</f>
        <v>E-24</v>
      </c>
      <c r="I85" s="163" t="str">
        <f>INDEX(CATALOGO[Descripción],MATCH(EJECUTADO[[#This Row],[APLICACIÓN]]&amp;"-00-00-00",CATALOGO[Código],0))</f>
        <v>NUEVO INGRESO</v>
      </c>
      <c r="J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Parqueo vehículos del personal $ 40</v>
      </c>
      <c r="K85" s="161" t="str">
        <f>IF((EJECUTADO[[#This Row],[MONTO DISPONIBLE ]]-EJECUTADO[[#This Row],[MONTO SOLICITADO]])&gt;=0,"PRESUPUESTO: SI","PRESUPUESTO: NO")</f>
        <v>PRESUPUESTO: SI</v>
      </c>
      <c r="L85" s="162">
        <f>SUMIF(PRESUPUESTO[CUENTA],EJECUTADO[[#This Row],[CUENTA]],PRESUPUESTO[MONTO])-SUMIF($F$1:F84,EJECUTADO[[#This Row],[CUENTA]],$M$1:M84)</f>
        <v>480</v>
      </c>
      <c r="M85" s="2">
        <v>50</v>
      </c>
      <c r="N85" s="2"/>
      <c r="O85" s="2"/>
      <c r="P85" s="162">
        <f>+EJECUTADO[[#This Row],[MONTO SOLICITADO]]-EJECUTADO[[#This Row],[RETENCION IVA]]-EJECUTADO[[#This Row],[RETENCION ISR]]</f>
        <v>50</v>
      </c>
      <c r="Q85" s="84" t="s">
        <v>1000</v>
      </c>
      <c r="R85" s="2"/>
      <c r="S85">
        <v>1</v>
      </c>
      <c r="T85" s="168" t="str">
        <f t="shared" si="2"/>
        <v>NUEVO INGRESO - Metrocentro - Parqueo vehículos del personal $ 40 Disponible $480 Solicitado $50 PRESUPUESTO: SI</v>
      </c>
    </row>
    <row r="86" spans="1:20" ht="45" x14ac:dyDescent="0.25">
      <c r="A86" s="6">
        <f t="shared" si="3"/>
        <v>85</v>
      </c>
      <c r="B86" s="21">
        <v>45301</v>
      </c>
      <c r="C86" s="17" t="s">
        <v>1176</v>
      </c>
      <c r="D86" s="65" t="s">
        <v>1177</v>
      </c>
      <c r="E86" s="65"/>
      <c r="F86" t="s">
        <v>1178</v>
      </c>
      <c r="G86" s="161">
        <f>MONTH(EJECUTADO[[#This Row],[FECHA]])</f>
        <v>1</v>
      </c>
      <c r="H86" s="163" t="str">
        <f>MID(EJECUTADO[[#This Row],[CUENTA]],1,4)</f>
        <v>E-22</v>
      </c>
      <c r="I86" s="163" t="str">
        <f>INDEX(CATALOGO[Descripción],MATCH(EJECUTADO[[#This Row],[APLICACIÓN]]&amp;"-00-00-00",CATALOGO[Código],0))</f>
        <v>CAPACITACIÓN AL PERSONAL</v>
      </c>
      <c r="J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Doctorado en Educaión, Lic. Aldo Maldonado</v>
      </c>
      <c r="K86" s="161" t="str">
        <f>IF((EJECUTADO[[#This Row],[MONTO DISPONIBLE ]]-EJECUTADO[[#This Row],[MONTO SOLICITADO]])&gt;=0,"PRESUPUESTO: SI","PRESUPUESTO: NO")</f>
        <v>PRESUPUESTO: SI</v>
      </c>
      <c r="L86" s="162">
        <f>SUMIF(PRESUPUESTO[CUENTA],EJECUTADO[[#This Row],[CUENTA]],PRESUPUESTO[MONTO])-SUMIF($F$1:F85,EJECUTADO[[#This Row],[CUENTA]],$M$1:M85)</f>
        <v>2520</v>
      </c>
      <c r="M86" s="2">
        <v>222.47</v>
      </c>
      <c r="N86" s="2"/>
      <c r="O86" s="2"/>
      <c r="P86" s="162">
        <f>+EJECUTADO[[#This Row],[MONTO SOLICITADO]]-EJECUTADO[[#This Row],[RETENCION IVA]]-EJECUTADO[[#This Row],[RETENCION ISR]]</f>
        <v>222.47</v>
      </c>
      <c r="Q86" s="84" t="s">
        <v>1000</v>
      </c>
      <c r="R86" s="2"/>
      <c r="S86">
        <v>1</v>
      </c>
      <c r="T86" s="168" t="str">
        <f t="shared" si="2"/>
        <v>CAPACITACIÓN AL PERSONAL - FCCS - Doctorado en Educaión, Lic. Aldo Maldonado Disponible $2520 Solicitado $222.47 PRESUPUESTO: SI</v>
      </c>
    </row>
    <row r="87" spans="1:20" ht="75" x14ac:dyDescent="0.25">
      <c r="A87" s="6">
        <f t="shared" si="3"/>
        <v>86</v>
      </c>
      <c r="B87" s="21">
        <v>45301</v>
      </c>
      <c r="C87" s="17" t="s">
        <v>1176</v>
      </c>
      <c r="D87" s="63" t="s">
        <v>1179</v>
      </c>
      <c r="E87" s="63"/>
      <c r="F87" t="s">
        <v>1180</v>
      </c>
      <c r="G87" s="161">
        <f>MONTH(EJECUTADO[[#This Row],[FECHA]])</f>
        <v>1</v>
      </c>
      <c r="H87" s="163" t="str">
        <f>MID(EJECUTADO[[#This Row],[CUENTA]],1,4)</f>
        <v>E-08</v>
      </c>
      <c r="I87" s="163" t="str">
        <f>INDEX(CATALOGO[Descripción],MATCH(EJECUTADO[[#This Row],[APLICACIÓN]]&amp;"-00-00-00",CATALOGO[Código],0))</f>
        <v>INVERSIONES Y PROYECTOS ESPECIALES</v>
      </c>
      <c r="J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87" s="161" t="str">
        <f>IF((EJECUTADO[[#This Row],[MONTO DISPONIBLE ]]-EJECUTADO[[#This Row],[MONTO SOLICITADO]])&gt;=0,"PRESUPUESTO: SI","PRESUPUESTO: NO")</f>
        <v>PRESUPUESTO: NO</v>
      </c>
      <c r="L87" s="162">
        <f>SUMIF(PRESUPUESTO[CUENTA],EJECUTADO[[#This Row],[CUENTA]],PRESUPUESTO[MONTO])-SUMIF($F$1:F86,EJECUTADO[[#This Row],[CUENTA]],$M$1:M86)</f>
        <v>0</v>
      </c>
      <c r="M87" s="19">
        <v>74.16</v>
      </c>
      <c r="N87" s="19"/>
      <c r="O87" s="19"/>
      <c r="P87" s="162">
        <f>+EJECUTADO[[#This Row],[MONTO SOLICITADO]]-EJECUTADO[[#This Row],[RETENCION IVA]]-EJECUTADO[[#This Row],[RETENCION ISR]]</f>
        <v>74.16</v>
      </c>
      <c r="Q87" s="84" t="s">
        <v>1000</v>
      </c>
      <c r="R87" s="19"/>
      <c r="S87">
        <v>1</v>
      </c>
      <c r="T87" s="168" t="str">
        <f t="shared" si="2"/>
        <v>INVERSIONES Y PROYECTOS ESPECIALES - LA CUENTA SELECCIONADA NO PERMITE MOVIMIENTO Disponible $0 Solicitado $74.16 PRESUPUESTO: NO</v>
      </c>
    </row>
    <row r="88" spans="1:20" ht="30" x14ac:dyDescent="0.25">
      <c r="A88" s="6">
        <f t="shared" si="3"/>
        <v>87</v>
      </c>
      <c r="B88" s="21">
        <v>45301</v>
      </c>
      <c r="C88" s="17" t="s">
        <v>1181</v>
      </c>
      <c r="D88" s="65" t="s">
        <v>1182</v>
      </c>
      <c r="E88" s="65"/>
      <c r="F88" t="s">
        <v>1183</v>
      </c>
      <c r="G88" s="161">
        <f>MONTH(EJECUTADO[[#This Row],[FECHA]])</f>
        <v>1</v>
      </c>
      <c r="H88" s="163" t="str">
        <f>MID(EJECUTADO[[#This Row],[CUENTA]],1,4)</f>
        <v>E-22</v>
      </c>
      <c r="I88" s="163" t="str">
        <f>INDEX(CATALOGO[Descripción],MATCH(EJECUTADO[[#This Row],[APLICACIÓN]]&amp;"-00-00-00",CATALOGO[Código],0))</f>
        <v>CAPACITACIÓN AL PERSONAL</v>
      </c>
      <c r="J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88" s="161" t="str">
        <f>IF((EJECUTADO[[#This Row],[MONTO DISPONIBLE ]]-EJECUTADO[[#This Row],[MONTO SOLICITADO]])&gt;=0,"PRESUPUESTO: SI","PRESUPUESTO: NO")</f>
        <v>PRESUPUESTO: SI</v>
      </c>
      <c r="L88" s="162">
        <f>SUMIF(PRESUPUESTO[CUENTA],EJECUTADO[[#This Row],[CUENTA]],PRESUPUESTO[MONTO])-SUMIF($F$1:F87,EJECUTADO[[#This Row],[CUENTA]],$M$1:M87)</f>
        <v>12000</v>
      </c>
      <c r="M88" s="2">
        <v>336</v>
      </c>
      <c r="N88" s="2"/>
      <c r="O88" s="2"/>
      <c r="P88" s="162">
        <f>+EJECUTADO[[#This Row],[MONTO SOLICITADO]]-EJECUTADO[[#This Row],[RETENCION IVA]]-EJECUTADO[[#This Row],[RETENCION ISR]]</f>
        <v>336</v>
      </c>
      <c r="Q88" s="84" t="s">
        <v>1000</v>
      </c>
      <c r="R88" s="2"/>
      <c r="S88">
        <v>1</v>
      </c>
      <c r="T88" s="168" t="str">
        <f t="shared" si="2"/>
        <v>CAPACITACIÓN AL PERSONAL - Otras capacitaciones Disponible $12000 Solicitado $336 PRESUPUESTO: SI</v>
      </c>
    </row>
    <row r="89" spans="1:20" ht="30" x14ac:dyDescent="0.25">
      <c r="A89" s="6">
        <f t="shared" si="3"/>
        <v>88</v>
      </c>
      <c r="B89" s="21">
        <v>45301</v>
      </c>
      <c r="C89" s="17" t="s">
        <v>1181</v>
      </c>
      <c r="D89" s="65" t="s">
        <v>683</v>
      </c>
      <c r="E89" s="65"/>
      <c r="F89" t="s">
        <v>1184</v>
      </c>
      <c r="G89" s="161">
        <f>MONTH(EJECUTADO[[#This Row],[FECHA]])</f>
        <v>1</v>
      </c>
      <c r="H89" s="163" t="str">
        <f>MID(EJECUTADO[[#This Row],[CUENTA]],1,4)</f>
        <v>E-22</v>
      </c>
      <c r="I89" s="163" t="str">
        <f>INDEX(CATALOGO[Descripción],MATCH(EJECUTADO[[#This Row],[APLICACIÓN]]&amp;"-00-00-00",CATALOGO[Código],0))</f>
        <v>CAPACITACIÓN AL PERSONAL</v>
      </c>
      <c r="J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varias</v>
      </c>
      <c r="K89" s="161" t="str">
        <f>IF((EJECUTADO[[#This Row],[MONTO DISPONIBLE ]]-EJECUTADO[[#This Row],[MONTO SOLICITADO]])&gt;=0,"PRESUPUESTO: SI","PRESUPUESTO: NO")</f>
        <v>PRESUPUESTO: SI</v>
      </c>
      <c r="L89" s="162">
        <f>SUMIF(PRESUPUESTO[CUENTA],EJECUTADO[[#This Row],[CUENTA]],PRESUPUESTO[MONTO])-SUMIF($F$1:F88,EJECUTADO[[#This Row],[CUENTA]],$M$1:M88)</f>
        <v>6000</v>
      </c>
      <c r="M89" s="2">
        <v>112</v>
      </c>
      <c r="N89" s="2"/>
      <c r="O89" s="2"/>
      <c r="P89" s="162">
        <f>+EJECUTADO[[#This Row],[MONTO SOLICITADO]]-EJECUTADO[[#This Row],[RETENCION IVA]]-EJECUTADO[[#This Row],[RETENCION ISR]]</f>
        <v>112</v>
      </c>
      <c r="Q89" s="84" t="s">
        <v>1000</v>
      </c>
      <c r="R89" s="2"/>
      <c r="S89">
        <v>1</v>
      </c>
      <c r="T89" s="168" t="str">
        <f t="shared" si="2"/>
        <v>CAPACITACIÓN AL PERSONAL - Capacitaciones varias Disponible $6000 Solicitado $112 PRESUPUESTO: SI</v>
      </c>
    </row>
    <row r="90" spans="1:20" ht="30" x14ac:dyDescent="0.25">
      <c r="A90" s="6">
        <f t="shared" si="3"/>
        <v>89</v>
      </c>
      <c r="B90" s="21">
        <v>45301</v>
      </c>
      <c r="C90" s="17" t="s">
        <v>1185</v>
      </c>
      <c r="D90" s="65" t="s">
        <v>1186</v>
      </c>
      <c r="E90" s="65"/>
      <c r="F90" t="s">
        <v>1187</v>
      </c>
      <c r="G90" s="161">
        <f>MONTH(EJECUTADO[[#This Row],[FECHA]])</f>
        <v>1</v>
      </c>
      <c r="H90" s="163" t="str">
        <f>MID(EJECUTADO[[#This Row],[CUENTA]],1,4)</f>
        <v>E-26</v>
      </c>
      <c r="I90" s="163" t="str">
        <f>INDEX(CATALOGO[Descripción],MATCH(EJECUTADO[[#This Row],[APLICACIÓN]]&amp;"-00-00-00",CATALOGO[Código],0))</f>
        <v>EVENTOS ACADEMICOS, CULTURALES  E INSTITUCIONALES</v>
      </c>
      <c r="J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ATENCION FLORAL  Y ESQUELAS POR DEFUNSIONES</v>
      </c>
      <c r="K90" s="161" t="str">
        <f>IF((EJECUTADO[[#This Row],[MONTO DISPONIBLE ]]-EJECUTADO[[#This Row],[MONTO SOLICITADO]])&gt;=0,"PRESUPUESTO: SI","PRESUPUESTO: NO")</f>
        <v>PRESUPUESTO: SI</v>
      </c>
      <c r="L90" s="162">
        <f>SUMIF(PRESUPUESTO[CUENTA],EJECUTADO[[#This Row],[CUENTA]],PRESUPUESTO[MONTO])-SUMIF($F$1:F89,EJECUTADO[[#This Row],[CUENTA]],$M$1:M89)</f>
        <v>8333.35</v>
      </c>
      <c r="M90" s="2">
        <v>50</v>
      </c>
      <c r="N90" s="2"/>
      <c r="O90" s="2"/>
      <c r="P90" s="162">
        <f>+EJECUTADO[[#This Row],[MONTO SOLICITADO]]-EJECUTADO[[#This Row],[RETENCION IVA]]-EJECUTADO[[#This Row],[RETENCION ISR]]</f>
        <v>50</v>
      </c>
      <c r="Q90" s="84" t="s">
        <v>1000</v>
      </c>
      <c r="R90" s="2"/>
      <c r="S90">
        <v>1</v>
      </c>
      <c r="T90" s="168" t="str">
        <f t="shared" si="2"/>
        <v>EVENTOS ACADEMICOS, CULTURALES  E INSTITUCIONALES - ATENCION FLORAL  Y ESQUELAS POR DEFUNSIONES Disponible $8333.35 Solicitado $50 PRESUPUESTO: SI</v>
      </c>
    </row>
    <row r="91" spans="1:20" ht="45" x14ac:dyDescent="0.25">
      <c r="A91" s="6">
        <f t="shared" si="3"/>
        <v>90</v>
      </c>
      <c r="B91" s="21">
        <v>45301</v>
      </c>
      <c r="C91" s="17" t="s">
        <v>1188</v>
      </c>
      <c r="D91" s="65" t="s">
        <v>1189</v>
      </c>
      <c r="E91" s="65"/>
      <c r="F91" s="68" t="s">
        <v>1190</v>
      </c>
      <c r="G91" s="161">
        <f>MONTH(EJECUTADO[[#This Row],[FECHA]])</f>
        <v>1</v>
      </c>
      <c r="H91" s="163" t="str">
        <f>MID(EJECUTADO[[#This Row],[CUENTA]],1,4)</f>
        <v>E-25</v>
      </c>
      <c r="I91" s="163" t="str">
        <f>INDEX(CATALOGO[Descripción],MATCH(EJECUTADO[[#This Row],[APLICACIÓN]]&amp;"-00-00-00",CATALOGO[Código],0))</f>
        <v>DECANATO DE ESTUDIANTES</v>
      </c>
      <c r="J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Inscripciones de torneos universitarios</v>
      </c>
      <c r="K91" s="161" t="str">
        <f>IF((EJECUTADO[[#This Row],[MONTO DISPONIBLE ]]-EJECUTADO[[#This Row],[MONTO SOLICITADO]])&gt;=0,"PRESUPUESTO: SI","PRESUPUESTO: NO")</f>
        <v>PRESUPUESTO: SI</v>
      </c>
      <c r="L91" s="162">
        <f>SUMIF(PRESUPUESTO[CUENTA],EJECUTADO[[#This Row],[CUENTA]],PRESUPUESTO[MONTO])-SUMIF($F$1:F90,EJECUTADO[[#This Row],[CUENTA]],$M$1:M90)</f>
        <v>3000</v>
      </c>
      <c r="M91" s="2">
        <v>1000</v>
      </c>
      <c r="N91" s="2"/>
      <c r="O91" s="2"/>
      <c r="P91" s="162">
        <f>+EJECUTADO[[#This Row],[MONTO SOLICITADO]]-EJECUTADO[[#This Row],[RETENCION IVA]]-EJECUTADO[[#This Row],[RETENCION ISR]]</f>
        <v>1000</v>
      </c>
      <c r="Q91" s="84" t="s">
        <v>1000</v>
      </c>
      <c r="R91" s="2"/>
      <c r="S91">
        <v>1</v>
      </c>
      <c r="T91" s="168" t="str">
        <f t="shared" si="2"/>
        <v>DECANATO DE ESTUDIANTES - U. recreación y deportes - Inscripciones de torneos universitarios Disponible $3000 Solicitado $1000 PRESUPUESTO: SI</v>
      </c>
    </row>
    <row r="92" spans="1:20" ht="30" x14ac:dyDescent="0.25">
      <c r="A92" s="6">
        <f t="shared" si="3"/>
        <v>91</v>
      </c>
      <c r="B92" s="21">
        <v>45306</v>
      </c>
      <c r="C92" s="17" t="s">
        <v>1191</v>
      </c>
      <c r="D92" s="65" t="s">
        <v>1192</v>
      </c>
      <c r="E92" s="65"/>
      <c r="F92" t="s">
        <v>1074</v>
      </c>
      <c r="G92" s="161">
        <f>MONTH(EJECUTADO[[#This Row],[FECHA]])</f>
        <v>1</v>
      </c>
      <c r="H92" s="163" t="str">
        <f>MID(EJECUTADO[[#This Row],[CUENTA]],1,4)</f>
        <v>E-15</v>
      </c>
      <c r="I92" s="163" t="str">
        <f>INDEX(CATALOGO[Descripción],MATCH(EJECUTADO[[#This Row],[APLICACIÓN]]&amp;"-00-00-00",CATALOGO[Código],0))</f>
        <v>ALQUILERES</v>
      </c>
      <c r="J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Parqueo de estudiantes Calleja 12   $ 11,136.33</v>
      </c>
      <c r="K92" s="161" t="str">
        <f>IF((EJECUTADO[[#This Row],[MONTO DISPONIBLE ]]-EJECUTADO[[#This Row],[MONTO SOLICITADO]])&gt;=0,"PRESUPUESTO: SI","PRESUPUESTO: NO")</f>
        <v>PRESUPUESTO: SI</v>
      </c>
      <c r="L92" s="162">
        <f>SUMIF(PRESUPUESTO[CUENTA],EJECUTADO[[#This Row],[CUENTA]],PRESUPUESTO[MONTO])-SUMIF($F$1:F91,EJECUTADO[[#This Row],[CUENTA]],$M$1:M91)</f>
        <v>132321.9</v>
      </c>
      <c r="M92" s="2">
        <v>11136.33</v>
      </c>
      <c r="N92" s="2"/>
      <c r="O92" s="2"/>
      <c r="P92" s="162">
        <f>+EJECUTADO[[#This Row],[MONTO SOLICITADO]]-EJECUTADO[[#This Row],[RETENCION IVA]]-EJECUTADO[[#This Row],[RETENCION ISR]]</f>
        <v>11136.33</v>
      </c>
      <c r="Q92" s="84" t="s">
        <v>1000</v>
      </c>
      <c r="R92" s="2"/>
      <c r="S92">
        <v>1875472</v>
      </c>
      <c r="T92" s="168" t="str">
        <f t="shared" si="2"/>
        <v>ALQUILERES - Parqueo de estudiantes Calleja 12   $ 11,136.33 Disponible $132321.9 Solicitado $11136.33 PRESUPUESTO: SI</v>
      </c>
    </row>
    <row r="93" spans="1:20" ht="45" x14ac:dyDescent="0.25">
      <c r="A93" s="6">
        <f t="shared" si="3"/>
        <v>92</v>
      </c>
      <c r="B93" s="21">
        <v>45306</v>
      </c>
      <c r="C93" s="17" t="s">
        <v>1193</v>
      </c>
      <c r="D93" s="65" t="s">
        <v>1194</v>
      </c>
      <c r="E93" s="65"/>
      <c r="F93" t="s">
        <v>1195</v>
      </c>
      <c r="G93" s="161">
        <f>MONTH(EJECUTADO[[#This Row],[FECHA]])</f>
        <v>1</v>
      </c>
      <c r="H93" s="163" t="str">
        <f>MID(EJECUTADO[[#This Row],[CUENTA]],1,4)</f>
        <v>E-15</v>
      </c>
      <c r="I93" s="163" t="str">
        <f>INDEX(CATALOGO[Descripción],MATCH(EJECUTADO[[#This Row],[APLICACIÓN]]&amp;"-00-00-00",CATALOGO[Código],0))</f>
        <v>ALQUILERES</v>
      </c>
      <c r="J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Terrenos El Volcan y El Pimental Evlqz $ 1,130.00 X 2</v>
      </c>
      <c r="K93" s="161" t="str">
        <f>IF((EJECUTADO[[#This Row],[MONTO DISPONIBLE ]]-EJECUTADO[[#This Row],[MONTO SOLICITADO]])&gt;=0,"PRESUPUESTO: SI","PRESUPUESTO: NO")</f>
        <v>PRESUPUESTO: SI</v>
      </c>
      <c r="L93" s="162">
        <f>SUMIF(PRESUPUESTO[CUENTA],EJECUTADO[[#This Row],[CUENTA]],PRESUPUESTO[MONTO])-SUMIF($F$1:F92,EJECUTADO[[#This Row],[CUENTA]],$M$1:M92)</f>
        <v>2260</v>
      </c>
      <c r="M93" s="2">
        <v>1130</v>
      </c>
      <c r="N93" s="2"/>
      <c r="O93" s="2"/>
      <c r="P93" s="162">
        <f>+EJECUTADO[[#This Row],[MONTO SOLICITADO]]-EJECUTADO[[#This Row],[RETENCION IVA]]-EJECUTADO[[#This Row],[RETENCION ISR]]</f>
        <v>1130</v>
      </c>
      <c r="Q93" s="84" t="s">
        <v>1000</v>
      </c>
      <c r="R93" s="2"/>
      <c r="S93">
        <v>1</v>
      </c>
      <c r="T93" s="168" t="str">
        <f t="shared" si="2"/>
        <v>ALQUILERES - Terrenos El Volcan y El Pimental Evlqz $ 1,130.00 X 2 Disponible $2260 Solicitado $1130 PRESUPUESTO: SI</v>
      </c>
    </row>
    <row r="94" spans="1:20" ht="30" x14ac:dyDescent="0.25">
      <c r="A94" s="6">
        <f t="shared" si="3"/>
        <v>93</v>
      </c>
      <c r="B94" s="21">
        <v>45306</v>
      </c>
      <c r="C94" s="17" t="s">
        <v>1196</v>
      </c>
      <c r="D94" s="65" t="s">
        <v>1197</v>
      </c>
      <c r="E94" s="65"/>
      <c r="F94" t="s">
        <v>1198</v>
      </c>
      <c r="G94" s="161">
        <f>MONTH(EJECUTADO[[#This Row],[FECHA]])</f>
        <v>1</v>
      </c>
      <c r="H94" s="163" t="str">
        <f>MID(EJECUTADO[[#This Row],[CUENTA]],1,4)</f>
        <v>E-01</v>
      </c>
      <c r="I94" s="163" t="str">
        <f>INDEX(CATALOGO[Descripción],MATCH(EJECUTADO[[#This Row],[APLICACIÓN]]&amp;"-00-00-00",CATALOGO[Código],0))</f>
        <v>SERVICIOS PROFESIONALES</v>
      </c>
      <c r="J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LIMPIEZA</v>
      </c>
      <c r="K94" s="161" t="str">
        <f>IF((EJECUTADO[[#This Row],[MONTO DISPONIBLE ]]-EJECUTADO[[#This Row],[MONTO SOLICITADO]])&gt;=0,"PRESUPUESTO: SI","PRESUPUESTO: NO")</f>
        <v>PRESUPUESTO: SI</v>
      </c>
      <c r="L94" s="162">
        <f>SUMIF(PRESUPUESTO[CUENTA],EJECUTADO[[#This Row],[CUENTA]],PRESUPUESTO[MONTO])-SUMIF($F$1:F93,EJECUTADO[[#This Row],[CUENTA]],$M$1:M93)</f>
        <v>1331000</v>
      </c>
      <c r="M94" s="2">
        <v>119250</v>
      </c>
      <c r="N94" s="2"/>
      <c r="O94" s="2"/>
      <c r="P94" s="162">
        <f>+EJECUTADO[[#This Row],[MONTO SOLICITADO]]-EJECUTADO[[#This Row],[RETENCION IVA]]-EJECUTADO[[#This Row],[RETENCION ISR]]</f>
        <v>119250</v>
      </c>
      <c r="Q94" s="84" t="s">
        <v>1000</v>
      </c>
      <c r="R94" s="2"/>
      <c r="S94">
        <v>1</v>
      </c>
      <c r="T94" s="168" t="str">
        <f t="shared" si="2"/>
        <v>SERVICIOS PROFESIONALES - SERVICIOS DE LIMPIEZA Disponible $1331000 Solicitado $119250 PRESUPUESTO: SI</v>
      </c>
    </row>
    <row r="95" spans="1:20" ht="30" x14ac:dyDescent="0.25">
      <c r="A95" s="6">
        <f t="shared" si="3"/>
        <v>94</v>
      </c>
      <c r="B95" s="21">
        <v>45306</v>
      </c>
      <c r="C95" s="17" t="s">
        <v>1196</v>
      </c>
      <c r="D95" s="65" t="s">
        <v>1197</v>
      </c>
      <c r="E95" s="65"/>
      <c r="F95" t="s">
        <v>1199</v>
      </c>
      <c r="G95" s="161">
        <f>MONTH(EJECUTADO[[#This Row],[FECHA]])</f>
        <v>1</v>
      </c>
      <c r="H95" s="163" t="str">
        <f>MID(EJECUTADO[[#This Row],[CUENTA]],1,4)</f>
        <v>E-13</v>
      </c>
      <c r="I95" s="163" t="str">
        <f>INDEX(CATALOGO[Descripción],MATCH(EJECUTADO[[#This Row],[APLICACIÓN]]&amp;"-00-00-00",CATALOGO[Código],0))</f>
        <v>MAESTRIAS Y POSTGRADOS</v>
      </c>
      <c r="J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LIMPIEZA Y JARDINERIA</v>
      </c>
      <c r="K95" s="161" t="str">
        <f>IF((EJECUTADO[[#This Row],[MONTO DISPONIBLE ]]-EJECUTADO[[#This Row],[MONTO SOLICITADO]])&gt;=0,"PRESUPUESTO: SI","PRESUPUESTO: NO")</f>
        <v>PRESUPUESTO: SI</v>
      </c>
      <c r="L95" s="162">
        <f>SUMIF(PRESUPUESTO[CUENTA],EJECUTADO[[#This Row],[CUENTA]],PRESUPUESTO[MONTO])-SUMIF($F$1:F94,EJECUTADO[[#This Row],[CUENTA]],$M$1:M94)</f>
        <v>44616</v>
      </c>
      <c r="M95" s="2">
        <v>3350</v>
      </c>
      <c r="N95" s="2"/>
      <c r="O95" s="2"/>
      <c r="P95" s="162">
        <f>+EJECUTADO[[#This Row],[MONTO SOLICITADO]]-EJECUTADO[[#This Row],[RETENCION IVA]]-EJECUTADO[[#This Row],[RETENCION ISR]]</f>
        <v>3350</v>
      </c>
      <c r="Q95" s="84" t="s">
        <v>1000</v>
      </c>
      <c r="R95" s="2"/>
      <c r="S95">
        <v>1</v>
      </c>
      <c r="T95" s="168" t="str">
        <f t="shared" si="2"/>
        <v>MAESTRIAS Y POSTGRADOS - SERVICIO DE LIMPIEZA Y JARDINERIA Disponible $44616 Solicitado $3350 PRESUPUESTO: SI</v>
      </c>
    </row>
    <row r="96" spans="1:20" ht="30" x14ac:dyDescent="0.25">
      <c r="A96" s="6">
        <f t="shared" si="3"/>
        <v>95</v>
      </c>
      <c r="B96" s="21">
        <v>45306</v>
      </c>
      <c r="C96" s="17" t="s">
        <v>1200</v>
      </c>
      <c r="D96" s="65" t="s">
        <v>1201</v>
      </c>
      <c r="E96" s="65"/>
      <c r="F96" t="s">
        <v>1202</v>
      </c>
      <c r="G96" s="161">
        <f>MONTH(EJECUTADO[[#This Row],[FECHA]])</f>
        <v>1</v>
      </c>
      <c r="H96" s="163" t="str">
        <f>MID(EJECUTADO[[#This Row],[CUENTA]],1,4)</f>
        <v>E-01</v>
      </c>
      <c r="I96" s="163" t="str">
        <f>INDEX(CATALOGO[Descripción],MATCH(EJECUTADO[[#This Row],[APLICACIÓN]]&amp;"-00-00-00",CATALOGO[Código],0))</f>
        <v>SERVICIOS PROFESIONALES</v>
      </c>
      <c r="J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VIGILANCIA</v>
      </c>
      <c r="K96" s="161" t="str">
        <f>IF((EJECUTADO[[#This Row],[MONTO DISPONIBLE ]]-EJECUTADO[[#This Row],[MONTO SOLICITADO]])&gt;=0,"PRESUPUESTO: SI","PRESUPUESTO: NO")</f>
        <v>PRESUPUESTO: SI</v>
      </c>
      <c r="L96" s="162">
        <f>SUMIF(PRESUPUESTO[CUENTA],EJECUTADO[[#This Row],[CUENTA]],PRESUPUESTO[MONTO])-SUMIF($F$1:F95,EJECUTADO[[#This Row],[CUENTA]],$M$1:M95)</f>
        <v>770520</v>
      </c>
      <c r="M96" s="2">
        <v>64210</v>
      </c>
      <c r="N96" s="2"/>
      <c r="O96" s="2"/>
      <c r="P96" s="162">
        <f>+EJECUTADO[[#This Row],[MONTO SOLICITADO]]-EJECUTADO[[#This Row],[RETENCION IVA]]-EJECUTADO[[#This Row],[RETENCION ISR]]</f>
        <v>64210</v>
      </c>
      <c r="Q96" s="84" t="s">
        <v>1000</v>
      </c>
      <c r="R96" s="2"/>
      <c r="S96">
        <v>1</v>
      </c>
      <c r="T96" s="168" t="str">
        <f t="shared" si="2"/>
        <v>SERVICIOS PROFESIONALES - SERVICIOS DE VIGILANCIA Disponible $770520 Solicitado $64210 PRESUPUESTO: SI</v>
      </c>
    </row>
    <row r="97" spans="1:20" ht="30" x14ac:dyDescent="0.25">
      <c r="A97" s="6">
        <f t="shared" si="3"/>
        <v>96</v>
      </c>
      <c r="B97" s="21">
        <v>45306</v>
      </c>
      <c r="C97" s="17" t="s">
        <v>1200</v>
      </c>
      <c r="D97" s="65" t="s">
        <v>1201</v>
      </c>
      <c r="E97" s="65"/>
      <c r="F97" t="s">
        <v>1203</v>
      </c>
      <c r="G97" s="161">
        <f>MONTH(EJECUTADO[[#This Row],[FECHA]])</f>
        <v>1</v>
      </c>
      <c r="H97" s="163" t="str">
        <f>MID(EJECUTADO[[#This Row],[CUENTA]],1,4)</f>
        <v>E-13</v>
      </c>
      <c r="I97" s="163" t="str">
        <f>INDEX(CATALOGO[Descripción],MATCH(EJECUTADO[[#This Row],[APLICACIÓN]]&amp;"-00-00-00",CATALOGO[Código],0))</f>
        <v>MAESTRIAS Y POSTGRADOS</v>
      </c>
      <c r="J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DE SEGURIDAD </v>
      </c>
      <c r="K97" s="161" t="str">
        <f>IF((EJECUTADO[[#This Row],[MONTO DISPONIBLE ]]-EJECUTADO[[#This Row],[MONTO SOLICITADO]])&gt;=0,"PRESUPUESTO: SI","PRESUPUESTO: NO")</f>
        <v>PRESUPUESTO: SI</v>
      </c>
      <c r="L97" s="162">
        <f>SUMIF(PRESUPUESTO[CUENTA],EJECUTADO[[#This Row],[CUENTA]],PRESUPUESTO[MONTO])-SUMIF($F$1:F96,EJECUTADO[[#This Row],[CUENTA]],$M$1:M96)</f>
        <v>121200</v>
      </c>
      <c r="M97" s="2">
        <v>3590</v>
      </c>
      <c r="N97" s="2"/>
      <c r="O97" s="2"/>
      <c r="P97" s="162">
        <f>+EJECUTADO[[#This Row],[MONTO SOLICITADO]]-EJECUTADO[[#This Row],[RETENCION IVA]]-EJECUTADO[[#This Row],[RETENCION ISR]]</f>
        <v>3590</v>
      </c>
      <c r="Q97" s="84" t="s">
        <v>1000</v>
      </c>
      <c r="R97" s="2"/>
      <c r="S97">
        <v>1</v>
      </c>
      <c r="T97" s="168" t="str">
        <f t="shared" si="2"/>
        <v>MAESTRIAS Y POSTGRADOS - SERVICIOS DE SEGURIDAD  Disponible $121200 Solicitado $3590 PRESUPUESTO: SI</v>
      </c>
    </row>
    <row r="98" spans="1:20" ht="30" x14ac:dyDescent="0.25">
      <c r="A98" s="6">
        <f t="shared" si="3"/>
        <v>97</v>
      </c>
      <c r="B98" s="21">
        <v>45306</v>
      </c>
      <c r="C98" s="17" t="s">
        <v>1204</v>
      </c>
      <c r="D98" s="65" t="s">
        <v>1205</v>
      </c>
      <c r="E98" s="65"/>
      <c r="F98" t="s">
        <v>1206</v>
      </c>
      <c r="G98" s="161">
        <f>MONTH(EJECUTADO[[#This Row],[FECHA]])</f>
        <v>1</v>
      </c>
      <c r="H98" s="163" t="str">
        <f>MID(EJECUTADO[[#This Row],[CUENTA]],1,4)</f>
        <v>E-11</v>
      </c>
      <c r="I98" s="163" t="str">
        <f>INDEX(CATALOGO[Descripción],MATCH(EJECUTADO[[#This Row],[APLICACIÓN]]&amp;"-00-00-00",CATALOGO[Código],0))</f>
        <v>INVESTIGACIONES</v>
      </c>
      <c r="J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98" s="161" t="str">
        <f>IF((EJECUTADO[[#This Row],[MONTO DISPONIBLE ]]-EJECUTADO[[#This Row],[MONTO SOLICITADO]])&gt;=0,"PRESUPUESTO: SI","PRESUPUESTO: NO")</f>
        <v>PRESUPUESTO: SI</v>
      </c>
      <c r="L98" s="162">
        <f>SUMIF(PRESUPUESTO[CUENTA],EJECUTADO[[#This Row],[CUENTA]],PRESUPUESTO[MONTO])-SUMIF($F$1:F97,EJECUTADO[[#This Row],[CUENTA]],$M$1:M97)</f>
        <v>1017000</v>
      </c>
      <c r="M98" s="2">
        <v>84750</v>
      </c>
      <c r="N98" s="2"/>
      <c r="O98" s="2"/>
      <c r="P98" s="162">
        <f>+EJECUTADO[[#This Row],[MONTO SOLICITADO]]-EJECUTADO[[#This Row],[RETENCION IVA]]-EJECUTADO[[#This Row],[RETENCION ISR]]</f>
        <v>84750</v>
      </c>
      <c r="Q98" s="84" t="s">
        <v>1000</v>
      </c>
      <c r="R98" s="2"/>
      <c r="S98">
        <v>1</v>
      </c>
      <c r="T98" s="168" t="str">
        <f t="shared" si="2"/>
        <v>INVESTIGACIONES - Asesoria Montealban $ 84, 750.x12 Disponible $1017000 Solicitado $84750 PRESUPUESTO: SI</v>
      </c>
    </row>
    <row r="99" spans="1:20" ht="45" x14ac:dyDescent="0.25">
      <c r="A99" s="6">
        <f t="shared" si="3"/>
        <v>98</v>
      </c>
      <c r="B99" s="21">
        <v>45306</v>
      </c>
      <c r="C99" s="17" t="s">
        <v>1204</v>
      </c>
      <c r="D99" s="65" t="s">
        <v>1207</v>
      </c>
      <c r="E99" s="65"/>
      <c r="F99" t="s">
        <v>1208</v>
      </c>
      <c r="G99" s="161">
        <f>MONTH(EJECUTADO[[#This Row],[FECHA]])</f>
        <v>1</v>
      </c>
      <c r="H99" s="163" t="str">
        <f>MID(EJECUTADO[[#This Row],[CUENTA]],1,4)</f>
        <v>E-15</v>
      </c>
      <c r="I99" s="163" t="str">
        <f>INDEX(CATALOGO[Descripción],MATCH(EJECUTADO[[#This Row],[APLICACIÓN]]&amp;"-00-00-00",CATALOGO[Código],0))</f>
        <v>ALQUILERES</v>
      </c>
      <c r="J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99" s="161" t="str">
        <f>IF((EJECUTADO[[#This Row],[MONTO DISPONIBLE ]]-EJECUTADO[[#This Row],[MONTO SOLICITADO]])&gt;=0,"PRESUPUESTO: SI","PRESUPUESTO: NO")</f>
        <v>PRESUPUESTO: SI</v>
      </c>
      <c r="L99" s="162">
        <f>SUMIF(PRESUPUESTO[CUENTA],EJECUTADO[[#This Row],[CUENTA]],PRESUPUESTO[MONTO])-SUMIF($F$1:F98,EJECUTADO[[#This Row],[CUENTA]],$M$1:M98)</f>
        <v>360550</v>
      </c>
      <c r="M99" s="2">
        <v>28250</v>
      </c>
      <c r="N99" s="2"/>
      <c r="O99" s="2"/>
      <c r="P99" s="162">
        <f>+EJECUTADO[[#This Row],[MONTO SOLICITADO]]-EJECUTADO[[#This Row],[RETENCION IVA]]-EJECUTADO[[#This Row],[RETENCION ISR]]</f>
        <v>28250</v>
      </c>
      <c r="Q99" s="84" t="s">
        <v>1000</v>
      </c>
      <c r="R99" s="2"/>
      <c r="S99">
        <v>1</v>
      </c>
      <c r="T99" s="168" t="str">
        <f t="shared" si="2"/>
        <v>ALQUILERES - Alquiler de Casa Adolfo Araujo Montealban $ 30,045.00 x 12   Disponible $360550 Solicitado $28250 PRESUPUESTO: SI</v>
      </c>
    </row>
    <row r="100" spans="1:20" ht="45" x14ac:dyDescent="0.25">
      <c r="A100" s="6">
        <f t="shared" si="3"/>
        <v>99</v>
      </c>
      <c r="B100" s="21">
        <v>45306</v>
      </c>
      <c r="C100" s="17" t="s">
        <v>1204</v>
      </c>
      <c r="D100" s="65" t="s">
        <v>1209</v>
      </c>
      <c r="E100" s="65"/>
      <c r="F100" t="s">
        <v>1208</v>
      </c>
      <c r="G100" s="161">
        <f>MONTH(EJECUTADO[[#This Row],[FECHA]])</f>
        <v>1</v>
      </c>
      <c r="H100" s="163" t="str">
        <f>MID(EJECUTADO[[#This Row],[CUENTA]],1,4)</f>
        <v>E-15</v>
      </c>
      <c r="I100" s="163" t="str">
        <f>INDEX(CATALOGO[Descripción],MATCH(EJECUTADO[[#This Row],[APLICACIÓN]]&amp;"-00-00-00",CATALOGO[Código],0))</f>
        <v>ALQUILERES</v>
      </c>
      <c r="J1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100" s="161" t="str">
        <f>IF((EJECUTADO[[#This Row],[MONTO DISPONIBLE ]]-EJECUTADO[[#This Row],[MONTO SOLICITADO]])&gt;=0,"PRESUPUESTO: SI","PRESUPUESTO: NO")</f>
        <v>PRESUPUESTO: SI</v>
      </c>
      <c r="L100" s="162">
        <f>SUMIF(PRESUPUESTO[CUENTA],EJECUTADO[[#This Row],[CUENTA]],PRESUPUESTO[MONTO])-SUMIF($F$1:F99,EJECUTADO[[#This Row],[CUENTA]],$M$1:M99)</f>
        <v>332300</v>
      </c>
      <c r="M100" s="2">
        <v>30045.19</v>
      </c>
      <c r="N100" s="2"/>
      <c r="O100" s="2"/>
      <c r="P100" s="162">
        <f>+EJECUTADO[[#This Row],[MONTO SOLICITADO]]-EJECUTADO[[#This Row],[RETENCION IVA]]-EJECUTADO[[#This Row],[RETENCION ISR]]</f>
        <v>30045.19</v>
      </c>
      <c r="Q100" s="84" t="s">
        <v>1000</v>
      </c>
      <c r="R100" s="2"/>
      <c r="S100">
        <v>1</v>
      </c>
      <c r="T100" s="168" t="str">
        <f t="shared" si="2"/>
        <v>ALQUILERES - Alquiler de Casa Adolfo Araujo Montealban $ 30,045.00 x 12   Disponible $332300 Solicitado $30045.19 PRESUPUESTO: SI</v>
      </c>
    </row>
    <row r="101" spans="1:20" ht="30" x14ac:dyDescent="0.25">
      <c r="A101" s="6">
        <f t="shared" si="3"/>
        <v>100</v>
      </c>
      <c r="B101" s="21">
        <v>45306</v>
      </c>
      <c r="C101" s="17" t="s">
        <v>1083</v>
      </c>
      <c r="D101" s="65" t="s">
        <v>1210</v>
      </c>
      <c r="E101" s="65"/>
      <c r="F101" t="s">
        <v>1084</v>
      </c>
      <c r="G101" s="161">
        <f>MONTH(EJECUTADO[[#This Row],[FECHA]])</f>
        <v>1</v>
      </c>
      <c r="H101" s="163" t="str">
        <f>MID(EJECUTADO[[#This Row],[CUENTA]],1,4)</f>
        <v>E-10</v>
      </c>
      <c r="I101" s="163" t="str">
        <f>INDEX(CATALOGO[Descripción],MATCH(EJECUTADO[[#This Row],[APLICACIÓN]]&amp;"-00-00-00",CATALOGO[Código],0))</f>
        <v>SERVICIOS PUBLICOS</v>
      </c>
      <c r="J1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101" s="161" t="str">
        <f>IF((EJECUTADO[[#This Row],[MONTO DISPONIBLE ]]-EJECUTADO[[#This Row],[MONTO SOLICITADO]])&gt;=0,"PRESUPUESTO: SI","PRESUPUESTO: NO")</f>
        <v>PRESUPUESTO: SI</v>
      </c>
      <c r="L101" s="162">
        <f>SUMIF(PRESUPUESTO[CUENTA],EJECUTADO[[#This Row],[CUENTA]],PRESUPUESTO[MONTO])-SUMIF($F$1:F100,EJECUTADO[[#This Row],[CUENTA]],$M$1:M100)</f>
        <v>85891.98</v>
      </c>
      <c r="M101" s="2">
        <v>708.52</v>
      </c>
      <c r="N101" s="2"/>
      <c r="O101" s="2"/>
      <c r="P101" s="162">
        <f>+EJECUTADO[[#This Row],[MONTO SOLICITADO]]-EJECUTADO[[#This Row],[RETENCION IVA]]-EJECUTADO[[#This Row],[RETENCION ISR]]</f>
        <v>708.52</v>
      </c>
      <c r="Q101" s="84" t="s">
        <v>1000</v>
      </c>
      <c r="R101" s="2"/>
      <c r="S101">
        <v>1</v>
      </c>
      <c r="T101" s="168" t="str">
        <f t="shared" si="2"/>
        <v>SERVICIOS PUBLICOS - SERVICIO DE AGUA Disponible $85891.98 Solicitado $708.52 PRESUPUESTO: SI</v>
      </c>
    </row>
    <row r="102" spans="1:20" x14ac:dyDescent="0.25">
      <c r="A102" s="6">
        <f t="shared" si="3"/>
        <v>101</v>
      </c>
      <c r="B102" s="21">
        <v>45306</v>
      </c>
      <c r="C102" s="17" t="s">
        <v>1079</v>
      </c>
      <c r="D102" s="65" t="s">
        <v>1080</v>
      </c>
      <c r="E102" s="65"/>
      <c r="F102" t="s">
        <v>1211</v>
      </c>
      <c r="G102" s="161">
        <f>MONTH(EJECUTADO[[#This Row],[FECHA]])</f>
        <v>1</v>
      </c>
      <c r="H102" s="163" t="str">
        <f>MID(EJECUTADO[[#This Row],[CUENTA]],1,4)</f>
        <v>E-24</v>
      </c>
      <c r="I102" s="163" t="str">
        <f>INDEX(CATALOGO[Descripción],MATCH(EJECUTADO[[#This Row],[APLICACIÓN]]&amp;"-00-00-00",CATALOGO[Código],0))</f>
        <v>NUEVO INGRESO</v>
      </c>
      <c r="J1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Energia Eléctrica  $ 300 X 12</v>
      </c>
      <c r="K102" s="161" t="str">
        <f>IF((EJECUTADO[[#This Row],[MONTO DISPONIBLE ]]-EJECUTADO[[#This Row],[MONTO SOLICITADO]])&gt;=0,"PRESUPUESTO: SI","PRESUPUESTO: NO")</f>
        <v>PRESUPUESTO: SI</v>
      </c>
      <c r="L102" s="162">
        <f>SUMIF(PRESUPUESTO[CUENTA],EJECUTADO[[#This Row],[CUENTA]],PRESUPUESTO[MONTO])-SUMIF($F$1:F101,EJECUTADO[[#This Row],[CUENTA]],$M$1:M101)</f>
        <v>3600</v>
      </c>
      <c r="M102" s="2">
        <v>304.39</v>
      </c>
      <c r="N102" s="2"/>
      <c r="O102" s="2"/>
      <c r="P102" s="162">
        <f>+EJECUTADO[[#This Row],[MONTO SOLICITADO]]-EJECUTADO[[#This Row],[RETENCION IVA]]-EJECUTADO[[#This Row],[RETENCION ISR]]</f>
        <v>304.39</v>
      </c>
      <c r="Q102" s="84" t="s">
        <v>1000</v>
      </c>
      <c r="R102" s="2"/>
      <c r="S102">
        <v>1</v>
      </c>
      <c r="T102" s="168" t="str">
        <f t="shared" si="2"/>
        <v>NUEVO INGRESO - Metrocentro - Servicio Energia Eléctrica  $ 300 X 12 Disponible $3600 Solicitado $304.39 PRESUPUESTO: SI</v>
      </c>
    </row>
    <row r="103" spans="1:20" ht="60" x14ac:dyDescent="0.25">
      <c r="A103" s="6">
        <f t="shared" si="3"/>
        <v>102</v>
      </c>
      <c r="B103" s="21">
        <v>45306</v>
      </c>
      <c r="C103" s="17" t="s">
        <v>1212</v>
      </c>
      <c r="D103" s="65" t="s">
        <v>1213</v>
      </c>
      <c r="E103" s="65"/>
      <c r="F103" t="s">
        <v>1214</v>
      </c>
      <c r="G103" s="161">
        <f>MONTH(EJECUTADO[[#This Row],[FECHA]])</f>
        <v>1</v>
      </c>
      <c r="H103" s="163" t="str">
        <f>MID(EJECUTADO[[#This Row],[CUENTA]],1,4)</f>
        <v>E-19</v>
      </c>
      <c r="I103" s="163" t="str">
        <f>INDEX(CATALOGO[Descripción],MATCH(EJECUTADO[[#This Row],[APLICACIÓN]]&amp;"-00-00-00",CATALOGO[Código],0))</f>
        <v>MANTENIMIENTO</v>
      </c>
      <c r="J1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103" s="161" t="str">
        <f>IF((EJECUTADO[[#This Row],[MONTO DISPONIBLE ]]-EJECUTADO[[#This Row],[MONTO SOLICITADO]])&gt;=0,"PRESUPUESTO: SI","PRESUPUESTO: NO")</f>
        <v>PRESUPUESTO: SI</v>
      </c>
      <c r="L103" s="162">
        <f>SUMIF(PRESUPUESTO[CUENTA],EJECUTADO[[#This Row],[CUENTA]],PRESUPUESTO[MONTO])-SUMIF($F$1:F102,EJECUTADO[[#This Row],[CUENTA]],$M$1:M102)</f>
        <v>38000</v>
      </c>
      <c r="M103" s="2">
        <v>211.64</v>
      </c>
      <c r="N103" s="2"/>
      <c r="O103" s="2"/>
      <c r="P103" s="162">
        <f>+EJECUTADO[[#This Row],[MONTO SOLICITADO]]-EJECUTADO[[#This Row],[RETENCION IVA]]-EJECUTADO[[#This Row],[RETENCION ISR]]</f>
        <v>211.64</v>
      </c>
      <c r="Q103" s="84" t="s">
        <v>1000</v>
      </c>
      <c r="R103" s="2"/>
      <c r="S103">
        <v>1</v>
      </c>
      <c r="T103" s="168" t="str">
        <f t="shared" si="2"/>
        <v>MANTENIMIENTO - Mantenimiento en talleres (Vehiculos) Disponible $38000 Solicitado $211.64 PRESUPUESTO: SI</v>
      </c>
    </row>
    <row r="104" spans="1:20" ht="45" x14ac:dyDescent="0.25">
      <c r="A104" s="6">
        <f t="shared" si="3"/>
        <v>103</v>
      </c>
      <c r="B104" s="21">
        <v>45306</v>
      </c>
      <c r="C104" s="17" t="s">
        <v>1212</v>
      </c>
      <c r="D104" s="65" t="s">
        <v>1215</v>
      </c>
      <c r="E104" s="65"/>
      <c r="F104" t="s">
        <v>1214</v>
      </c>
      <c r="G104" s="161">
        <f>MONTH(EJECUTADO[[#This Row],[FECHA]])</f>
        <v>1</v>
      </c>
      <c r="H104" s="163" t="str">
        <f>MID(EJECUTADO[[#This Row],[CUENTA]],1,4)</f>
        <v>E-19</v>
      </c>
      <c r="I104" s="163" t="str">
        <f>INDEX(CATALOGO[Descripción],MATCH(EJECUTADO[[#This Row],[APLICACIÓN]]&amp;"-00-00-00",CATALOGO[Código],0))</f>
        <v>MANTENIMIENTO</v>
      </c>
      <c r="J1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104" s="161" t="str">
        <f>IF((EJECUTADO[[#This Row],[MONTO DISPONIBLE ]]-EJECUTADO[[#This Row],[MONTO SOLICITADO]])&gt;=0,"PRESUPUESTO: SI","PRESUPUESTO: NO")</f>
        <v>PRESUPUESTO: SI</v>
      </c>
      <c r="L104" s="162">
        <f>SUMIF(PRESUPUESTO[CUENTA],EJECUTADO[[#This Row],[CUENTA]],PRESUPUESTO[MONTO])-SUMIF($F$1:F103,EJECUTADO[[#This Row],[CUENTA]],$M$1:M103)</f>
        <v>37788.36</v>
      </c>
      <c r="M104" s="2">
        <v>240.73</v>
      </c>
      <c r="N104" s="2"/>
      <c r="O104" s="2"/>
      <c r="P104" s="162">
        <f>+EJECUTADO[[#This Row],[MONTO SOLICITADO]]-EJECUTADO[[#This Row],[RETENCION IVA]]-EJECUTADO[[#This Row],[RETENCION ISR]]</f>
        <v>240.73</v>
      </c>
      <c r="Q104" s="84" t="s">
        <v>1000</v>
      </c>
      <c r="R104" s="2"/>
      <c r="S104">
        <v>1</v>
      </c>
      <c r="T104" s="168" t="str">
        <f t="shared" si="2"/>
        <v>MANTENIMIENTO - Mantenimiento en talleres (Vehiculos) Disponible $37788.36 Solicitado $240.73 PRESUPUESTO: SI</v>
      </c>
    </row>
    <row r="105" spans="1:20" ht="75" x14ac:dyDescent="0.25">
      <c r="A105" s="6">
        <f t="shared" si="3"/>
        <v>104</v>
      </c>
      <c r="B105" s="21">
        <v>45306</v>
      </c>
      <c r="C105" s="17" t="s">
        <v>1212</v>
      </c>
      <c r="D105" s="65" t="s">
        <v>1216</v>
      </c>
      <c r="E105" s="65"/>
      <c r="F105" t="s">
        <v>1214</v>
      </c>
      <c r="G105" s="161">
        <f>MONTH(EJECUTADO[[#This Row],[FECHA]])</f>
        <v>1</v>
      </c>
      <c r="H105" s="163" t="str">
        <f>MID(EJECUTADO[[#This Row],[CUENTA]],1,4)</f>
        <v>E-19</v>
      </c>
      <c r="I105" s="163" t="str">
        <f>INDEX(CATALOGO[Descripción],MATCH(EJECUTADO[[#This Row],[APLICACIÓN]]&amp;"-00-00-00",CATALOGO[Código],0))</f>
        <v>MANTENIMIENTO</v>
      </c>
      <c r="J1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105" s="161" t="str">
        <f>IF((EJECUTADO[[#This Row],[MONTO DISPONIBLE ]]-EJECUTADO[[#This Row],[MONTO SOLICITADO]])&gt;=0,"PRESUPUESTO: SI","PRESUPUESTO: NO")</f>
        <v>PRESUPUESTO: SI</v>
      </c>
      <c r="L105" s="162">
        <f>SUMIF(PRESUPUESTO[CUENTA],EJECUTADO[[#This Row],[CUENTA]],PRESUPUESTO[MONTO])-SUMIF($F$1:F104,EJECUTADO[[#This Row],[CUENTA]],$M$1:M104)</f>
        <v>37547.629999999997</v>
      </c>
      <c r="M105" s="2">
        <v>95.77</v>
      </c>
      <c r="N105" s="2"/>
      <c r="O105" s="2"/>
      <c r="P105" s="162">
        <f>+EJECUTADO[[#This Row],[MONTO SOLICITADO]]-EJECUTADO[[#This Row],[RETENCION IVA]]-EJECUTADO[[#This Row],[RETENCION ISR]]</f>
        <v>95.77</v>
      </c>
      <c r="Q105" s="84" t="s">
        <v>1000</v>
      </c>
      <c r="R105" s="2"/>
      <c r="S105">
        <v>1</v>
      </c>
      <c r="T105" s="168" t="str">
        <f t="shared" si="2"/>
        <v>MANTENIMIENTO - Mantenimiento en talleres (Vehiculos) Disponible $37547.63 Solicitado $95.77 PRESUPUESTO: SI</v>
      </c>
    </row>
    <row r="106" spans="1:20" ht="75" x14ac:dyDescent="0.25">
      <c r="A106" s="6">
        <f t="shared" si="3"/>
        <v>105</v>
      </c>
      <c r="B106" s="21">
        <v>45306</v>
      </c>
      <c r="C106" s="17" t="s">
        <v>1217</v>
      </c>
      <c r="D106" s="65" t="s">
        <v>1218</v>
      </c>
      <c r="E106" s="65"/>
      <c r="F106" t="s">
        <v>1219</v>
      </c>
      <c r="G106" s="161">
        <f>MONTH(EJECUTADO[[#This Row],[FECHA]])</f>
        <v>1</v>
      </c>
      <c r="H106" s="163" t="str">
        <f>MID(EJECUTADO[[#This Row],[CUENTA]],1,4)</f>
        <v>E-33</v>
      </c>
      <c r="I106" s="163" t="str">
        <f>INDEX(CATALOGO[Descripción],MATCH(EJECUTADO[[#This Row],[APLICACIÓN]]&amp;"-00-00-00",CATALOGO[Código],0))</f>
        <v xml:space="preserve">PROVEEDORES </v>
      </c>
      <c r="J1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06" s="161" t="str">
        <f>IF((EJECUTADO[[#This Row],[MONTO DISPONIBLE ]]-EJECUTADO[[#This Row],[MONTO SOLICITADO]])&gt;=0,"PRESUPUESTO: SI","PRESUPUESTO: NO")</f>
        <v>PRESUPUESTO: SI</v>
      </c>
      <c r="L106" s="162">
        <f>SUMIF(PRESUPUESTO[CUENTA],EJECUTADO[[#This Row],[CUENTA]],PRESUPUESTO[MONTO])-SUMIF($F$1:F105,EJECUTADO[[#This Row],[CUENTA]],$M$1:M105)</f>
        <v>100000</v>
      </c>
      <c r="M106" s="2">
        <v>62.15</v>
      </c>
      <c r="N106" s="2"/>
      <c r="O106" s="2"/>
      <c r="P106" s="162">
        <f>+EJECUTADO[[#This Row],[MONTO SOLICITADO]]-EJECUTADO[[#This Row],[RETENCION IVA]]-EJECUTADO[[#This Row],[RETENCION ISR]]</f>
        <v>62.15</v>
      </c>
      <c r="Q106" s="84" t="s">
        <v>1000</v>
      </c>
      <c r="R106" s="2"/>
      <c r="S106">
        <v>1</v>
      </c>
      <c r="T106" s="168" t="str">
        <f t="shared" si="2"/>
        <v>PROVEEDORES  - OTROS Disponible $100000 Solicitado $62.15 PRESUPUESTO: SI</v>
      </c>
    </row>
    <row r="107" spans="1:20" s="9" customFormat="1" ht="75" x14ac:dyDescent="0.25">
      <c r="A107" s="6">
        <f t="shared" si="3"/>
        <v>106</v>
      </c>
      <c r="B107" s="21">
        <v>45306</v>
      </c>
      <c r="C107" s="17" t="s">
        <v>1220</v>
      </c>
      <c r="D107" s="65" t="s">
        <v>1221</v>
      </c>
      <c r="E107" s="65"/>
      <c r="F107" t="s">
        <v>1011</v>
      </c>
      <c r="G107" s="161">
        <f>MONTH(EJECUTADO[[#This Row],[FECHA]])</f>
        <v>1</v>
      </c>
      <c r="H107" s="163" t="str">
        <f>MID(EJECUTADO[[#This Row],[CUENTA]],1,4)</f>
        <v>E-19</v>
      </c>
      <c r="I107" s="163" t="str">
        <f>INDEX(CATALOGO[Descripción],MATCH(EJECUTADO[[#This Row],[APLICACIÓN]]&amp;"-00-00-00",CATALOGO[Código],0))</f>
        <v>MANTENIMIENTO</v>
      </c>
      <c r="J1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Combustible</v>
      </c>
      <c r="K107" s="161" t="str">
        <f>IF((EJECUTADO[[#This Row],[MONTO DISPONIBLE ]]-EJECUTADO[[#This Row],[MONTO SOLICITADO]])&gt;=0,"PRESUPUESTO: SI","PRESUPUESTO: NO")</f>
        <v>PRESUPUESTO: SI</v>
      </c>
      <c r="L107" s="162">
        <f>SUMIF(PRESUPUESTO[CUENTA],EJECUTADO[[#This Row],[CUENTA]],PRESUPUESTO[MONTO])-SUMIF($F$1:F106,EJECUTADO[[#This Row],[CUENTA]],$M$1:M106)</f>
        <v>17600</v>
      </c>
      <c r="M107" s="2">
        <v>1800.8</v>
      </c>
      <c r="N107" s="2"/>
      <c r="O107" s="2"/>
      <c r="P107" s="162">
        <f>+EJECUTADO[[#This Row],[MONTO SOLICITADO]]-EJECUTADO[[#This Row],[RETENCION IVA]]-EJECUTADO[[#This Row],[RETENCION ISR]]</f>
        <v>1800.8</v>
      </c>
      <c r="Q107" s="84" t="s">
        <v>1000</v>
      </c>
      <c r="R107" s="2"/>
      <c r="S107">
        <v>1</v>
      </c>
      <c r="T107" s="168" t="str">
        <f t="shared" si="2"/>
        <v>MANTENIMIENTO - Combustible Disponible $17600 Solicitado $1800.8 PRESUPUESTO: SI</v>
      </c>
    </row>
    <row r="108" spans="1:20" ht="30" x14ac:dyDescent="0.25">
      <c r="A108" s="6">
        <f t="shared" si="3"/>
        <v>107</v>
      </c>
      <c r="B108" s="21">
        <v>45306</v>
      </c>
      <c r="C108" s="123" t="s">
        <v>1222</v>
      </c>
      <c r="D108" s="63" t="s">
        <v>1223</v>
      </c>
      <c r="E108" s="63"/>
      <c r="F108" t="s">
        <v>1020</v>
      </c>
      <c r="G108" s="161">
        <f>MONTH(EJECUTADO[[#This Row],[FECHA]])</f>
        <v>1</v>
      </c>
      <c r="H108" s="163" t="str">
        <f>MID(EJECUTADO[[#This Row],[CUENTA]],1,4)</f>
        <v>E-31</v>
      </c>
      <c r="I108" s="163" t="str">
        <f>INDEX(CATALOGO[Descripción],MATCH(EJECUTADO[[#This Row],[APLICACIÓN]]&amp;"-00-00-00",CATALOGO[Código],0))</f>
        <v>DONACIONES</v>
      </c>
      <c r="J1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Asociacion Padre Vito Guarato $ 114.00 x 12</v>
      </c>
      <c r="K108" s="161" t="str">
        <f>IF((EJECUTADO[[#This Row],[MONTO DISPONIBLE ]]-EJECUTADO[[#This Row],[MONTO SOLICITADO]])&gt;=0,"PRESUPUESTO: SI","PRESUPUESTO: NO")</f>
        <v>PRESUPUESTO: SI</v>
      </c>
      <c r="L108" s="162">
        <f>SUMIF(PRESUPUESTO[CUENTA],EJECUTADO[[#This Row],[CUENTA]],PRESUPUESTO[MONTO])-SUMIF($F$1:F107,EJECUTADO[[#This Row],[CUENTA]],$M$1:M107)</f>
        <v>1139.42</v>
      </c>
      <c r="M108" s="19">
        <v>114.29</v>
      </c>
      <c r="N108" s="19"/>
      <c r="O108" s="19"/>
      <c r="P108" s="162">
        <f>+EJECUTADO[[#This Row],[MONTO SOLICITADO]]-EJECUTADO[[#This Row],[RETENCION IVA]]-EJECUTADO[[#This Row],[RETENCION ISR]]</f>
        <v>114.29</v>
      </c>
      <c r="Q108" s="84" t="s">
        <v>1000</v>
      </c>
      <c r="R108" s="19"/>
      <c r="S108">
        <v>1</v>
      </c>
      <c r="T108" s="168" t="str">
        <f t="shared" si="2"/>
        <v>DONACIONES - Asociacion Padre Vito Guarato $ 114.00 x 12 Disponible $1139.42 Solicitado $114.29 PRESUPUESTO: SI</v>
      </c>
    </row>
    <row r="109" spans="1:20" ht="60" x14ac:dyDescent="0.25">
      <c r="A109" s="6">
        <f t="shared" si="3"/>
        <v>108</v>
      </c>
      <c r="B109" s="21">
        <v>45306</v>
      </c>
      <c r="C109" s="17" t="s">
        <v>1224</v>
      </c>
      <c r="D109" s="65" t="s">
        <v>1225</v>
      </c>
      <c r="E109" s="65"/>
      <c r="F109" t="s">
        <v>1226</v>
      </c>
      <c r="G109" s="161">
        <f>MONTH(EJECUTADO[[#This Row],[FECHA]])</f>
        <v>1</v>
      </c>
      <c r="H109" s="163" t="str">
        <f>MID(EJECUTADO[[#This Row],[CUENTA]],1,4)</f>
        <v>E-19</v>
      </c>
      <c r="I109" s="163" t="str">
        <f>INDEX(CATALOGO[Descripción],MATCH(EJECUTADO[[#This Row],[APLICACIÓN]]&amp;"-00-00-00",CATALOGO[Código],0))</f>
        <v>MANTENIMIENTO</v>
      </c>
      <c r="J1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Asensores </v>
      </c>
      <c r="K109" s="161" t="str">
        <f>IF((EJECUTADO[[#This Row],[MONTO DISPONIBLE ]]-EJECUTADO[[#This Row],[MONTO SOLICITADO]])&gt;=0,"PRESUPUESTO: SI","PRESUPUESTO: NO")</f>
        <v>PRESUPUESTO: SI</v>
      </c>
      <c r="L109" s="162">
        <f>SUMIF(PRESUPUESTO[CUENTA],EJECUTADO[[#This Row],[CUENTA]],PRESUPUESTO[MONTO])-SUMIF($F$1:F108,EJECUTADO[[#This Row],[CUENTA]],$M$1:M108)</f>
        <v>5000</v>
      </c>
      <c r="M109" s="2">
        <v>200</v>
      </c>
      <c r="N109" s="2"/>
      <c r="O109" s="2"/>
      <c r="P109" s="162">
        <f>+EJECUTADO[[#This Row],[MONTO SOLICITADO]]-EJECUTADO[[#This Row],[RETENCION IVA]]-EJECUTADO[[#This Row],[RETENCION ISR]]</f>
        <v>200</v>
      </c>
      <c r="Q109" s="84" t="s">
        <v>1000</v>
      </c>
      <c r="R109" s="2"/>
      <c r="S109">
        <v>1</v>
      </c>
      <c r="T109" s="168" t="str">
        <f t="shared" si="2"/>
        <v>MANTENIMIENTO - Dir. Mantenimiento - Mantenimiento Asensores  Disponible $5000 Solicitado $200 PRESUPUESTO: SI</v>
      </c>
    </row>
    <row r="110" spans="1:20" ht="45" x14ac:dyDescent="0.25">
      <c r="A110" s="6">
        <f t="shared" si="3"/>
        <v>109</v>
      </c>
      <c r="B110" s="21">
        <v>45306</v>
      </c>
      <c r="C110" s="17" t="s">
        <v>1227</v>
      </c>
      <c r="D110" s="65" t="s">
        <v>1228</v>
      </c>
      <c r="E110" s="65"/>
      <c r="F110" t="s">
        <v>1229</v>
      </c>
      <c r="G110" s="161">
        <f>MONTH(EJECUTADO[[#This Row],[FECHA]])</f>
        <v>1</v>
      </c>
      <c r="H110" s="163" t="str">
        <f>MID(EJECUTADO[[#This Row],[CUENTA]],1,4)</f>
        <v>E-03</v>
      </c>
      <c r="I110" s="163" t="str">
        <f>INDEX(CATALOGO[Descripción],MATCH(EJECUTADO[[#This Row],[APLICACIÓN]]&amp;"-00-00-00",CATALOGO[Código],0))</f>
        <v>SUELDOS ADMINISTRATIVOS</v>
      </c>
      <c r="J1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110" s="161" t="str">
        <f>IF((EJECUTADO[[#This Row],[MONTO DISPONIBLE ]]-EJECUTADO[[#This Row],[MONTO SOLICITADO]])&gt;=0,"PRESUPUESTO: SI","PRESUPUESTO: NO")</f>
        <v>PRESUPUESTO: SI</v>
      </c>
      <c r="L110" s="162">
        <f>SUMIF(PRESUPUESTO[CUENTA],EJECUTADO[[#This Row],[CUENTA]],PRESUPUESTO[MONTO])-SUMIF($F$1:F109,EJECUTADO[[#This Row],[CUENTA]],$M$1:M109)</f>
        <v>135000</v>
      </c>
      <c r="M110" s="2">
        <v>350</v>
      </c>
      <c r="N110" s="2"/>
      <c r="O110" s="2">
        <v>35</v>
      </c>
      <c r="P110" s="162">
        <f>+EJECUTADO[[#This Row],[MONTO SOLICITADO]]-EJECUTADO[[#This Row],[RETENCION IVA]]-EJECUTADO[[#This Row],[RETENCION ISR]]</f>
        <v>315</v>
      </c>
      <c r="Q110" s="84" t="s">
        <v>1000</v>
      </c>
      <c r="R110" s="2"/>
      <c r="S110">
        <v>1</v>
      </c>
      <c r="T110" s="168" t="str">
        <f t="shared" si="2"/>
        <v>SUELDOS ADMINISTRATIVOS - SUELDOS Y SALARIOS DIRECCIÓN DE COMUNICACIONES Disponible $135000 Solicitado $350 PRESUPUESTO: SI</v>
      </c>
    </row>
    <row r="111" spans="1:20" ht="30" x14ac:dyDescent="0.25">
      <c r="A111" s="6">
        <f t="shared" si="3"/>
        <v>110</v>
      </c>
      <c r="B111" s="21">
        <v>45306</v>
      </c>
      <c r="C111" s="17" t="s">
        <v>1230</v>
      </c>
      <c r="D111" s="65" t="s">
        <v>1231</v>
      </c>
      <c r="E111" s="65"/>
      <c r="F111" t="s">
        <v>1232</v>
      </c>
      <c r="G111" s="161">
        <f>MONTH(EJECUTADO[[#This Row],[FECHA]])</f>
        <v>1</v>
      </c>
      <c r="H111" s="163" t="str">
        <f>MID(EJECUTADO[[#This Row],[CUENTA]],1,4)</f>
        <v>E-11</v>
      </c>
      <c r="I111" s="163" t="str">
        <f>INDEX(CATALOGO[Descripción],MATCH(EJECUTADO[[#This Row],[APLICACIÓN]]&amp;"-00-00-00",CATALOGO[Código],0))</f>
        <v>INVESTIGACIONES</v>
      </c>
      <c r="J1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111" s="161" t="str">
        <f>IF((EJECUTADO[[#This Row],[MONTO DISPONIBLE ]]-EJECUTADO[[#This Row],[MONTO SOLICITADO]])&gt;=0,"PRESUPUESTO: SI","PRESUPUESTO: NO")</f>
        <v>PRESUPUESTO: SI</v>
      </c>
      <c r="L111" s="162">
        <f>SUMIF(PRESUPUESTO[CUENTA],EJECUTADO[[#This Row],[CUENTA]],PRESUPUESTO[MONTO])-SUMIF($F$1:F110,EJECUTADO[[#This Row],[CUENTA]],$M$1:M110)</f>
        <v>7000</v>
      </c>
      <c r="M111" s="2">
        <v>500</v>
      </c>
      <c r="N111" s="2"/>
      <c r="O111" s="2"/>
      <c r="P111" s="162">
        <f>+EJECUTADO[[#This Row],[MONTO SOLICITADO]]-EJECUTADO[[#This Row],[RETENCION IVA]]-EJECUTADO[[#This Row],[RETENCION ISR]]</f>
        <v>500</v>
      </c>
      <c r="Q111" s="84" t="s">
        <v>1000</v>
      </c>
      <c r="R111" s="2"/>
      <c r="S111">
        <v>1</v>
      </c>
      <c r="T111" s="168" t="str">
        <f t="shared" si="2"/>
        <v>INVESTIGACIONES - INSUMOS DE OFICINA Disponible $7000 Solicitado $500 PRESUPUESTO: SI</v>
      </c>
    </row>
    <row r="112" spans="1:20" ht="30" x14ac:dyDescent="0.25">
      <c r="A112" s="6">
        <f t="shared" si="3"/>
        <v>111</v>
      </c>
      <c r="B112" s="21">
        <v>45306</v>
      </c>
      <c r="C112" s="17" t="s">
        <v>1230</v>
      </c>
      <c r="D112" s="65" t="s">
        <v>1231</v>
      </c>
      <c r="E112" s="65"/>
      <c r="F112" t="s">
        <v>1233</v>
      </c>
      <c r="G112" s="161">
        <f>MONTH(EJECUTADO[[#This Row],[FECHA]])</f>
        <v>1</v>
      </c>
      <c r="H112" s="163" t="str">
        <f>MID(EJECUTADO[[#This Row],[CUENTA]],1,4)</f>
        <v>E-12</v>
      </c>
      <c r="I112" s="163" t="str">
        <f>INDEX(CATALOGO[Descripción],MATCH(EJECUTADO[[#This Row],[APLICACIÓN]]&amp;"-00-00-00",CATALOGO[Código],0))</f>
        <v>PROYECCION SOCIAL</v>
      </c>
      <c r="J1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Papelería y útiles</v>
      </c>
      <c r="K112" s="161" t="str">
        <f>IF((EJECUTADO[[#This Row],[MONTO DISPONIBLE ]]-EJECUTADO[[#This Row],[MONTO SOLICITADO]])&gt;=0,"PRESUPUESTO: SI","PRESUPUESTO: NO")</f>
        <v>PRESUPUESTO: SI</v>
      </c>
      <c r="L112" s="162">
        <f>SUMIF(PRESUPUESTO[CUENTA],EJECUTADO[[#This Row],[CUENTA]],PRESUPUESTO[MONTO])-SUMIF($F$1:F111,EJECUTADO[[#This Row],[CUENTA]],$M$1:M111)</f>
        <v>800</v>
      </c>
      <c r="M112" s="2">
        <v>500</v>
      </c>
      <c r="N112" s="2"/>
      <c r="O112" s="2"/>
      <c r="P112" s="162">
        <f>+EJECUTADO[[#This Row],[MONTO SOLICITADO]]-EJECUTADO[[#This Row],[RETENCION IVA]]-EJECUTADO[[#This Row],[RETENCION ISR]]</f>
        <v>500</v>
      </c>
      <c r="Q112" s="84" t="s">
        <v>1000</v>
      </c>
      <c r="R112" s="2"/>
      <c r="S112">
        <v>1</v>
      </c>
      <c r="T112" s="168" t="str">
        <f t="shared" si="2"/>
        <v>PROYECCION SOCIAL - Papelería y útiles Disponible $800 Solicitado $500 PRESUPUESTO: SI</v>
      </c>
    </row>
    <row r="113" spans="1:20" ht="30" x14ac:dyDescent="0.25">
      <c r="A113" s="6">
        <f t="shared" si="3"/>
        <v>112</v>
      </c>
      <c r="B113" s="21">
        <v>45306</v>
      </c>
      <c r="C113" s="123" t="s">
        <v>1230</v>
      </c>
      <c r="D113" s="63" t="s">
        <v>1231</v>
      </c>
      <c r="E113" s="63"/>
      <c r="F113" s="145" t="s">
        <v>1234</v>
      </c>
      <c r="G113" s="161">
        <f>MONTH(EJECUTADO[[#This Row],[FECHA]])</f>
        <v>1</v>
      </c>
      <c r="H113" s="163" t="str">
        <f>MID(EJECUTADO[[#This Row],[CUENTA]],1,4)</f>
        <v>E-13</v>
      </c>
      <c r="I113" s="163" t="str">
        <f>INDEX(CATALOGO[Descripción],MATCH(EJECUTADO[[#This Row],[APLICACIÓN]]&amp;"-00-00-00",CATALOGO[Código],0))</f>
        <v>MAESTRIAS Y POSTGRADOS</v>
      </c>
      <c r="J1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Impresiones$ 2400.00 X 12</v>
      </c>
      <c r="K113" s="161" t="str">
        <f>IF((EJECUTADO[[#This Row],[MONTO DISPONIBLE ]]-EJECUTADO[[#This Row],[MONTO SOLICITADO]])&gt;=0,"PRESUPUESTO: SI","PRESUPUESTO: NO")</f>
        <v>PRESUPUESTO: SI</v>
      </c>
      <c r="L113" s="162">
        <f>SUMIF(PRESUPUESTO[CUENTA],EJECUTADO[[#This Row],[CUENTA]],PRESUPUESTO[MONTO])-SUMIF($F$1:F112,EJECUTADO[[#This Row],[CUENTA]],$M$1:M112)</f>
        <v>28800</v>
      </c>
      <c r="M113" s="19">
        <v>2400</v>
      </c>
      <c r="N113" s="19"/>
      <c r="O113" s="19"/>
      <c r="P113" s="162">
        <f>+EJECUTADO[[#This Row],[MONTO SOLICITADO]]-EJECUTADO[[#This Row],[RETENCION IVA]]-EJECUTADO[[#This Row],[RETENCION ISR]]</f>
        <v>2400</v>
      </c>
      <c r="Q113" s="84" t="s">
        <v>1000</v>
      </c>
      <c r="R113" s="19"/>
      <c r="S113">
        <v>1</v>
      </c>
      <c r="T113" s="168" t="str">
        <f t="shared" si="2"/>
        <v>MAESTRIAS Y POSTGRADOS - Impresiones$ 2400.00 X 12 Disponible $28800 Solicitado $2400 PRESUPUESTO: SI</v>
      </c>
    </row>
    <row r="114" spans="1:20" ht="30" x14ac:dyDescent="0.25">
      <c r="A114" s="6">
        <f t="shared" si="3"/>
        <v>113</v>
      </c>
      <c r="B114" s="21">
        <v>45306</v>
      </c>
      <c r="C114" s="17" t="s">
        <v>1230</v>
      </c>
      <c r="D114" s="65" t="s">
        <v>1231</v>
      </c>
      <c r="E114" s="65"/>
      <c r="F114" t="s">
        <v>1235</v>
      </c>
      <c r="G114" s="161">
        <f>MONTH(EJECUTADO[[#This Row],[FECHA]])</f>
        <v>1</v>
      </c>
      <c r="H114" s="163" t="str">
        <f>MID(EJECUTADO[[#This Row],[CUENTA]],1,4)</f>
        <v>E-14</v>
      </c>
      <c r="I114" s="163" t="str">
        <f>INDEX(CATALOGO[Descripción],MATCH(EJECUTADO[[#This Row],[APLICACIÓN]]&amp;"-00-00-00",CATALOGO[Código],0))</f>
        <v>MATERIAL DIDÁCTICO</v>
      </c>
      <c r="J1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- FACULTAD DE CIENCIAS EMPRESARIALES  </v>
      </c>
      <c r="K114" s="161" t="str">
        <f>IF((EJECUTADO[[#This Row],[MONTO DISPONIBLE ]]-EJECUTADO[[#This Row],[MONTO SOLICITADO]])&gt;=0,"PRESUPUESTO: SI","PRESUPUESTO: NO")</f>
        <v>PRESUPUESTO: SI</v>
      </c>
      <c r="L114" s="162">
        <f>SUMIF(PRESUPUESTO[CUENTA],EJECUTADO[[#This Row],[CUENTA]],PRESUPUESTO[MONTO])-SUMIF($F$1:F113,EJECUTADO[[#This Row],[CUENTA]],$M$1:M113)</f>
        <v>41475</v>
      </c>
      <c r="M114" s="2">
        <v>3300</v>
      </c>
      <c r="N114" s="2"/>
      <c r="O114" s="2"/>
      <c r="P114" s="162">
        <f>+EJECUTADO[[#This Row],[MONTO SOLICITADO]]-EJECUTADO[[#This Row],[RETENCION IVA]]-EJECUTADO[[#This Row],[RETENCION ISR]]</f>
        <v>3300</v>
      </c>
      <c r="Q114" s="84" t="s">
        <v>1000</v>
      </c>
      <c r="R114" s="2"/>
      <c r="S114">
        <v>1</v>
      </c>
      <c r="T114" s="168" t="str">
        <f t="shared" si="2"/>
        <v>MATERIAL DIDÁCTICO - PAPELERIA Y UTILES - FACULTAD DE CIENCIAS EMPRESARIALES   Disponible $41475 Solicitado $3300 PRESUPUESTO: SI</v>
      </c>
    </row>
    <row r="115" spans="1:20" ht="30" x14ac:dyDescent="0.25">
      <c r="A115" s="6">
        <f t="shared" si="3"/>
        <v>114</v>
      </c>
      <c r="B115" s="21">
        <v>45306</v>
      </c>
      <c r="C115" s="17" t="s">
        <v>1230</v>
      </c>
      <c r="D115" s="65" t="s">
        <v>1231</v>
      </c>
      <c r="E115" s="65"/>
      <c r="F115" t="s">
        <v>1236</v>
      </c>
      <c r="G115" s="161">
        <f>MONTH(EJECUTADO[[#This Row],[FECHA]])</f>
        <v>1</v>
      </c>
      <c r="H115" s="163" t="str">
        <f>MID(EJECUTADO[[#This Row],[CUENTA]],1,4)</f>
        <v>E-14</v>
      </c>
      <c r="I115" s="163" t="str">
        <f>INDEX(CATALOGO[Descripción],MATCH(EJECUTADO[[#This Row],[APLICACIÓN]]&amp;"-00-00-00",CATALOGO[Código],0))</f>
        <v>MATERIAL DIDÁCTICO</v>
      </c>
      <c r="J1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INFORMATICA Y CC APLICADAS</v>
      </c>
      <c r="K115" s="161" t="str">
        <f>IF((EJECUTADO[[#This Row],[MONTO DISPONIBLE ]]-EJECUTADO[[#This Row],[MONTO SOLICITADO]])&gt;=0,"PRESUPUESTO: SI","PRESUPUESTO: NO")</f>
        <v>PRESUPUESTO: SI</v>
      </c>
      <c r="L115" s="162">
        <f>SUMIF(PRESUPUESTO[CUENTA],EJECUTADO[[#This Row],[CUENTA]],PRESUPUESTO[MONTO])-SUMIF($F$1:F114,EJECUTADO[[#This Row],[CUENTA]],$M$1:M114)</f>
        <v>89100</v>
      </c>
      <c r="M115" s="2">
        <v>7300</v>
      </c>
      <c r="N115" s="2"/>
      <c r="O115" s="2"/>
      <c r="P115" s="162">
        <f>+EJECUTADO[[#This Row],[MONTO SOLICITADO]]-EJECUTADO[[#This Row],[RETENCION IVA]]-EJECUTADO[[#This Row],[RETENCION ISR]]</f>
        <v>7300</v>
      </c>
      <c r="Q115" s="84" t="s">
        <v>1000</v>
      </c>
      <c r="R115" s="2"/>
      <c r="S115">
        <v>1</v>
      </c>
      <c r="T115" s="168" t="str">
        <f t="shared" si="2"/>
        <v>MATERIAL DIDÁCTICO - PAPELERIA Y UTILES - FACULTAD DE INFORMATICA Y CC APLICADAS Disponible $89100 Solicitado $7300 PRESUPUESTO: SI</v>
      </c>
    </row>
    <row r="116" spans="1:20" ht="30" x14ac:dyDescent="0.25">
      <c r="A116" s="6">
        <f t="shared" si="3"/>
        <v>115</v>
      </c>
      <c r="B116" s="21">
        <v>45306</v>
      </c>
      <c r="C116" s="17" t="s">
        <v>1230</v>
      </c>
      <c r="D116" s="65" t="s">
        <v>1231</v>
      </c>
      <c r="E116" s="65"/>
      <c r="F116" t="s">
        <v>1237</v>
      </c>
      <c r="G116" s="161">
        <f>MONTH(EJECUTADO[[#This Row],[FECHA]])</f>
        <v>1</v>
      </c>
      <c r="H116" s="163" t="str">
        <f>MID(EJECUTADO[[#This Row],[CUENTA]],1,4)</f>
        <v>E-14</v>
      </c>
      <c r="I116" s="163" t="str">
        <f>INDEX(CATALOGO[Descripción],MATCH(EJECUTADO[[#This Row],[APLICACIÓN]]&amp;"-00-00-00",CATALOGO[Código],0))</f>
        <v>MATERIAL DIDÁCTICO</v>
      </c>
      <c r="J1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SOCIALES</v>
      </c>
      <c r="K116" s="161" t="str">
        <f>IF((EJECUTADO[[#This Row],[MONTO DISPONIBLE ]]-EJECUTADO[[#This Row],[MONTO SOLICITADO]])&gt;=0,"PRESUPUESTO: SI","PRESUPUESTO: NO")</f>
        <v>PRESUPUESTO: SI</v>
      </c>
      <c r="L116" s="162">
        <f>SUMIF(PRESUPUESTO[CUENTA],EJECUTADO[[#This Row],[CUENTA]],PRESUPUESTO[MONTO])-SUMIF($F$1:F115,EJECUTADO[[#This Row],[CUENTA]],$M$1:M115)</f>
        <v>70800</v>
      </c>
      <c r="M116" s="2">
        <v>5800</v>
      </c>
      <c r="N116" s="2"/>
      <c r="O116" s="2"/>
      <c r="P116" s="162">
        <f>+EJECUTADO[[#This Row],[MONTO SOLICITADO]]-EJECUTADO[[#This Row],[RETENCION IVA]]-EJECUTADO[[#This Row],[RETENCION ISR]]</f>
        <v>5800</v>
      </c>
      <c r="Q116" s="84" t="s">
        <v>1000</v>
      </c>
      <c r="R116" s="2"/>
      <c r="S116">
        <v>1</v>
      </c>
      <c r="T116" s="168" t="str">
        <f t="shared" si="2"/>
        <v>MATERIAL DIDÁCTICO - PAPELERIA Y UTILES - FACULTAD DE CIENCIAS SOCIALES Disponible $70800 Solicitado $5800 PRESUPUESTO: SI</v>
      </c>
    </row>
    <row r="117" spans="1:20" ht="30" x14ac:dyDescent="0.25">
      <c r="A117" s="6">
        <f t="shared" si="3"/>
        <v>116</v>
      </c>
      <c r="B117" s="21">
        <v>45306</v>
      </c>
      <c r="C117" s="17" t="s">
        <v>1230</v>
      </c>
      <c r="D117" s="65" t="s">
        <v>1231</v>
      </c>
      <c r="E117" s="65"/>
      <c r="F117" t="s">
        <v>1238</v>
      </c>
      <c r="G117" s="161">
        <f>MONTH(EJECUTADO[[#This Row],[FECHA]])</f>
        <v>1</v>
      </c>
      <c r="H117" s="163" t="str">
        <f>MID(EJECUTADO[[#This Row],[CUENTA]],1,4)</f>
        <v>E-14</v>
      </c>
      <c r="I117" s="163" t="str">
        <f>INDEX(CATALOGO[Descripción],MATCH(EJECUTADO[[#This Row],[APLICACIÓN]]&amp;"-00-00-00",CATALOGO[Código],0))</f>
        <v>MATERIAL DIDÁCTICO</v>
      </c>
      <c r="J1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JURIDICAS</v>
      </c>
      <c r="K117" s="161" t="str">
        <f>IF((EJECUTADO[[#This Row],[MONTO DISPONIBLE ]]-EJECUTADO[[#This Row],[MONTO SOLICITADO]])&gt;=0,"PRESUPUESTO: SI","PRESUPUESTO: NO")</f>
        <v>PRESUPUESTO: SI</v>
      </c>
      <c r="L117" s="162">
        <f>SUMIF(PRESUPUESTO[CUENTA],EJECUTADO[[#This Row],[CUENTA]],PRESUPUESTO[MONTO])-SUMIF($F$1:F116,EJECUTADO[[#This Row],[CUENTA]],$M$1:M116)</f>
        <v>23350</v>
      </c>
      <c r="M117" s="2">
        <v>1900</v>
      </c>
      <c r="N117" s="2"/>
      <c r="O117" s="2"/>
      <c r="P117" s="162">
        <f>+EJECUTADO[[#This Row],[MONTO SOLICITADO]]-EJECUTADO[[#This Row],[RETENCION IVA]]-EJECUTADO[[#This Row],[RETENCION ISR]]</f>
        <v>1900</v>
      </c>
      <c r="Q117" s="84" t="s">
        <v>1000</v>
      </c>
      <c r="R117" s="2"/>
      <c r="S117">
        <v>1</v>
      </c>
      <c r="T117" s="168" t="str">
        <f t="shared" si="2"/>
        <v>MATERIAL DIDÁCTICO - PAPELERIA Y UTILES - FACULTAD DE CIENCIAS JURIDICAS Disponible $23350 Solicitado $1900 PRESUPUESTO: SI</v>
      </c>
    </row>
    <row r="118" spans="1:20" ht="30" x14ac:dyDescent="0.25">
      <c r="A118" s="6">
        <f t="shared" si="3"/>
        <v>117</v>
      </c>
      <c r="B118" s="21">
        <v>45306</v>
      </c>
      <c r="C118" s="17" t="s">
        <v>1230</v>
      </c>
      <c r="D118" s="65" t="s">
        <v>1231</v>
      </c>
      <c r="E118" s="65"/>
      <c r="F118" t="s">
        <v>1239</v>
      </c>
      <c r="G118" s="161">
        <f>MONTH(EJECUTADO[[#This Row],[FECHA]])</f>
        <v>1</v>
      </c>
      <c r="H118" s="163" t="str">
        <f>MID(EJECUTADO[[#This Row],[CUENTA]],1,4)</f>
        <v>E-14</v>
      </c>
      <c r="I118" s="163" t="str">
        <f>INDEX(CATALOGO[Descripción],MATCH(EJECUTADO[[#This Row],[APLICACIÓN]]&amp;"-00-00-00",CATALOGO[Código],0))</f>
        <v>MATERIAL DIDÁCTICO</v>
      </c>
      <c r="J1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OTRAS UNIDADES ACADEMICAS</v>
      </c>
      <c r="K118" s="161" t="str">
        <f>IF((EJECUTADO[[#This Row],[MONTO DISPONIBLE ]]-EJECUTADO[[#This Row],[MONTO SOLICITADO]])&gt;=0,"PRESUPUESTO: SI","PRESUPUESTO: NO")</f>
        <v>PRESUPUESTO: SI</v>
      </c>
      <c r="L118" s="162">
        <f>SUMIF(PRESUPUESTO[CUENTA],EJECUTADO[[#This Row],[CUENTA]],PRESUPUESTO[MONTO])-SUMIF($F$1:F117,EJECUTADO[[#This Row],[CUENTA]],$M$1:M117)</f>
        <v>86400</v>
      </c>
      <c r="M118" s="2">
        <v>7200</v>
      </c>
      <c r="N118" s="2"/>
      <c r="O118" s="2"/>
      <c r="P118" s="162">
        <f>+EJECUTADO[[#This Row],[MONTO SOLICITADO]]-EJECUTADO[[#This Row],[RETENCION IVA]]-EJECUTADO[[#This Row],[RETENCION ISR]]</f>
        <v>7200</v>
      </c>
      <c r="Q118" s="84" t="s">
        <v>1000</v>
      </c>
      <c r="R118" s="2"/>
      <c r="S118">
        <v>1</v>
      </c>
      <c r="T118" s="168" t="str">
        <f t="shared" si="2"/>
        <v>MATERIAL DIDÁCTICO - PAPELERIA Y UTILES - OTRAS UNIDADES ACADEMICAS Disponible $86400 Solicitado $7200 PRESUPUESTO: SI</v>
      </c>
    </row>
    <row r="119" spans="1:20" ht="30" x14ac:dyDescent="0.25">
      <c r="A119" s="6">
        <f t="shared" si="3"/>
        <v>118</v>
      </c>
      <c r="B119" s="21">
        <v>45306</v>
      </c>
      <c r="C119" s="17" t="s">
        <v>1230</v>
      </c>
      <c r="D119" s="65" t="s">
        <v>1231</v>
      </c>
      <c r="E119" s="65"/>
      <c r="F119" t="s">
        <v>1240</v>
      </c>
      <c r="G119" s="161">
        <f>MONTH(EJECUTADO[[#This Row],[FECHA]])</f>
        <v>1</v>
      </c>
      <c r="H119" s="163" t="str">
        <f>MID(EJECUTADO[[#This Row],[CUENTA]],1,4)</f>
        <v>E-16</v>
      </c>
      <c r="I119" s="163" t="str">
        <f>INDEX(CATALOGO[Descripción],MATCH(EJECUTADO[[#This Row],[APLICACIÓN]]&amp;"-00-00-00",CATALOGO[Código],0))</f>
        <v xml:space="preserve">PRE-ESPECIALIDAD </v>
      </c>
      <c r="J1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Papelería y Utiles </v>
      </c>
      <c r="K119" s="161" t="str">
        <f>IF((EJECUTADO[[#This Row],[MONTO DISPONIBLE ]]-EJECUTADO[[#This Row],[MONTO SOLICITADO]])&gt;=0,"PRESUPUESTO: SI","PRESUPUESTO: NO")</f>
        <v>PRESUPUESTO: SI</v>
      </c>
      <c r="L119" s="162">
        <f>SUMIF(PRESUPUESTO[CUENTA],EJECUTADO[[#This Row],[CUENTA]],PRESUPUESTO[MONTO])-SUMIF($F$1:F118,EJECUTADO[[#This Row],[CUENTA]],$M$1:M118)</f>
        <v>5000</v>
      </c>
      <c r="M119" s="2">
        <v>900</v>
      </c>
      <c r="N119" s="2"/>
      <c r="O119" s="2"/>
      <c r="P119" s="162">
        <f>+EJECUTADO[[#This Row],[MONTO SOLICITADO]]-EJECUTADO[[#This Row],[RETENCION IVA]]-EJECUTADO[[#This Row],[RETENCION ISR]]</f>
        <v>900</v>
      </c>
      <c r="Q119" s="84" t="s">
        <v>1000</v>
      </c>
      <c r="R119" s="2"/>
      <c r="S119">
        <v>1</v>
      </c>
      <c r="T119" s="168" t="str">
        <f t="shared" si="2"/>
        <v>PRE-ESPECIALIDAD  - Papelería y Utiles  Disponible $5000 Solicitado $900 PRESUPUESTO: SI</v>
      </c>
    </row>
    <row r="120" spans="1:20" ht="30" x14ac:dyDescent="0.25">
      <c r="A120" s="6">
        <f t="shared" si="3"/>
        <v>119</v>
      </c>
      <c r="B120" s="21">
        <v>45306</v>
      </c>
      <c r="C120" s="17" t="s">
        <v>1230</v>
      </c>
      <c r="D120" s="65" t="s">
        <v>1231</v>
      </c>
      <c r="E120" s="65"/>
      <c r="F120" t="s">
        <v>1241</v>
      </c>
      <c r="G120" s="161">
        <f>MONTH(EJECUTADO[[#This Row],[FECHA]])</f>
        <v>1</v>
      </c>
      <c r="H120" s="163" t="str">
        <f>MID(EJECUTADO[[#This Row],[CUENTA]],1,4)</f>
        <v>E-21</v>
      </c>
      <c r="I120" s="163" t="str">
        <f>INDEX(CATALOGO[Descripción],MATCH(EJECUTADO[[#This Row],[APLICACIÓN]]&amp;"-00-00-00",CATALOGO[Código],0))</f>
        <v>CENTRO DE FORMACION PROFESIONAL y EXT U</v>
      </c>
      <c r="J1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Impresiones$ 1500.00 x 12</v>
      </c>
      <c r="K120" s="161" t="str">
        <f>IF((EJECUTADO[[#This Row],[MONTO DISPONIBLE ]]-EJECUTADO[[#This Row],[MONTO SOLICITADO]])&gt;=0,"PRESUPUESTO: SI","PRESUPUESTO: NO")</f>
        <v>PRESUPUESTO: SI</v>
      </c>
      <c r="L120" s="162">
        <f>SUMIF(PRESUPUESTO[CUENTA],EJECUTADO[[#This Row],[CUENTA]],PRESUPUESTO[MONTO])-SUMIF($F$1:F119,EJECUTADO[[#This Row],[CUENTA]],$M$1:M119)</f>
        <v>18000</v>
      </c>
      <c r="M120" s="2">
        <v>1500</v>
      </c>
      <c r="N120" s="2"/>
      <c r="O120" s="2"/>
      <c r="P120" s="162">
        <f>+EJECUTADO[[#This Row],[MONTO SOLICITADO]]-EJECUTADO[[#This Row],[RETENCION IVA]]-EJECUTADO[[#This Row],[RETENCION ISR]]</f>
        <v>1500</v>
      </c>
      <c r="Q120" s="84" t="s">
        <v>1000</v>
      </c>
      <c r="R120" s="2"/>
      <c r="S120">
        <v>1</v>
      </c>
      <c r="T120" s="168" t="str">
        <f t="shared" si="2"/>
        <v>CENTRO DE FORMACION PROFESIONAL y EXT U - Impresiones$ 1500.00 x 12 Disponible $18000 Solicitado $1500 PRESUPUESTO: SI</v>
      </c>
    </row>
    <row r="121" spans="1:20" ht="30" x14ac:dyDescent="0.25">
      <c r="A121" s="6">
        <f t="shared" si="3"/>
        <v>120</v>
      </c>
      <c r="B121" s="21">
        <v>45306</v>
      </c>
      <c r="C121" s="17" t="s">
        <v>1230</v>
      </c>
      <c r="D121" s="65" t="s">
        <v>1231</v>
      </c>
      <c r="E121" s="65"/>
      <c r="F121" t="s">
        <v>1115</v>
      </c>
      <c r="G121" s="161">
        <f>MONTH(EJECUTADO[[#This Row],[FECHA]])</f>
        <v>1</v>
      </c>
      <c r="H121" s="163" t="str">
        <f>MID(EJECUTADO[[#This Row],[CUENTA]],1,4)</f>
        <v>E-24</v>
      </c>
      <c r="I121" s="163" t="str">
        <f>INDEX(CATALOGO[Descripción],MATCH(EJECUTADO[[#This Row],[APLICACIÓN]]&amp;"-00-00-00",CATALOGO[Código],0))</f>
        <v>NUEVO INGRESO</v>
      </c>
      <c r="J1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Fotocopiadoras totales  $ 2,900.00 x 12</v>
      </c>
      <c r="K121" s="161" t="str">
        <f>IF((EJECUTADO[[#This Row],[MONTO DISPONIBLE ]]-EJECUTADO[[#This Row],[MONTO SOLICITADO]])&gt;=0,"PRESUPUESTO: SI","PRESUPUESTO: NO")</f>
        <v>PRESUPUESTO: SI</v>
      </c>
      <c r="L121" s="162">
        <f>SUMIF(PRESUPUESTO[CUENTA],EJECUTADO[[#This Row],[CUENTA]],PRESUPUESTO[MONTO])-SUMIF($F$1:F120,EJECUTADO[[#This Row],[CUENTA]],$M$1:M120)</f>
        <v>34791.06</v>
      </c>
      <c r="M121" s="2">
        <v>2900</v>
      </c>
      <c r="N121" s="2"/>
      <c r="O121" s="2"/>
      <c r="P121" s="162">
        <f>+EJECUTADO[[#This Row],[MONTO SOLICITADO]]-EJECUTADO[[#This Row],[RETENCION IVA]]-EJECUTADO[[#This Row],[RETENCION ISR]]</f>
        <v>2900</v>
      </c>
      <c r="Q121" s="84" t="s">
        <v>1000</v>
      </c>
      <c r="R121" s="2"/>
      <c r="S121">
        <v>1</v>
      </c>
      <c r="T121" s="168" t="str">
        <f t="shared" si="2"/>
        <v>NUEVO INGRESO - Fotocopiadoras totales  $ 2,900.00 x 12 Disponible $34791.06 Solicitado $2900 PRESUPUESTO: SI</v>
      </c>
    </row>
    <row r="122" spans="1:20" ht="30" x14ac:dyDescent="0.25">
      <c r="A122" s="6">
        <f t="shared" si="3"/>
        <v>121</v>
      </c>
      <c r="B122" s="21">
        <v>45306</v>
      </c>
      <c r="C122" s="17" t="s">
        <v>1230</v>
      </c>
      <c r="D122" s="65" t="s">
        <v>1231</v>
      </c>
      <c r="E122" s="65"/>
      <c r="F122" t="s">
        <v>1242</v>
      </c>
      <c r="G122" s="161">
        <f>MONTH(EJECUTADO[[#This Row],[FECHA]])</f>
        <v>1</v>
      </c>
      <c r="H122" s="163" t="str">
        <f>MID(EJECUTADO[[#This Row],[CUENTA]],1,4)</f>
        <v>E-24</v>
      </c>
      <c r="I122" s="163" t="str">
        <f>INDEX(CATALOGO[Descripción],MATCH(EJECUTADO[[#This Row],[APLICACIÓN]]&amp;"-00-00-00",CATALOGO[Código],0))</f>
        <v>NUEVO INGRESO</v>
      </c>
      <c r="J1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Útiles de Escritorio y otros</v>
      </c>
      <c r="K122" s="161" t="str">
        <f>IF((EJECUTADO[[#This Row],[MONTO DISPONIBLE ]]-EJECUTADO[[#This Row],[MONTO SOLICITADO]])&gt;=0,"PRESUPUESTO: SI","PRESUPUESTO: NO")</f>
        <v>PRESUPUESTO: SI</v>
      </c>
      <c r="L122" s="162">
        <f>SUMIF(PRESUPUESTO[CUENTA],EJECUTADO[[#This Row],[CUENTA]],PRESUPUESTO[MONTO])-SUMIF($F$1:F121,EJECUTADO[[#This Row],[CUENTA]],$M$1:M121)</f>
        <v>3000</v>
      </c>
      <c r="M122" s="2">
        <v>600</v>
      </c>
      <c r="N122" s="2"/>
      <c r="O122" s="2"/>
      <c r="P122" s="162">
        <f>+EJECUTADO[[#This Row],[MONTO SOLICITADO]]-EJECUTADO[[#This Row],[RETENCION IVA]]-EJECUTADO[[#This Row],[RETENCION ISR]]</f>
        <v>600</v>
      </c>
      <c r="Q122" s="84" t="s">
        <v>1000</v>
      </c>
      <c r="R122" s="2"/>
      <c r="S122">
        <v>1</v>
      </c>
      <c r="T122" s="168" t="str">
        <f t="shared" si="2"/>
        <v>NUEVO INGRESO - Metrocentro - Útiles de Escritorio y otros Disponible $3000 Solicitado $600 PRESUPUESTO: SI</v>
      </c>
    </row>
    <row r="123" spans="1:20" ht="30" x14ac:dyDescent="0.25">
      <c r="A123" s="6">
        <f t="shared" si="3"/>
        <v>122</v>
      </c>
      <c r="B123" s="21">
        <v>45306</v>
      </c>
      <c r="C123" s="17" t="s">
        <v>1230</v>
      </c>
      <c r="D123" s="65" t="s">
        <v>1231</v>
      </c>
      <c r="E123" s="65"/>
      <c r="F123" t="s">
        <v>1243</v>
      </c>
      <c r="G123" s="161">
        <f>MONTH(EJECUTADO[[#This Row],[FECHA]])</f>
        <v>1</v>
      </c>
      <c r="H123" s="163" t="str">
        <f>MID(EJECUTADO[[#This Row],[CUENTA]],1,4)</f>
        <v>E-24</v>
      </c>
      <c r="I123" s="163" t="str">
        <f>INDEX(CATALOGO[Descripción],MATCH(EJECUTADO[[#This Row],[APLICACIÓN]]&amp;"-00-00-00",CATALOGO[Código],0))</f>
        <v>NUEVO INGRESO</v>
      </c>
      <c r="J1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Plaza Mundo - Insumos de oficina- agua cristal $ 44.00 </v>
      </c>
      <c r="K123" s="161" t="str">
        <f>IF((EJECUTADO[[#This Row],[MONTO DISPONIBLE ]]-EJECUTADO[[#This Row],[MONTO SOLICITADO]])&gt;=0,"PRESUPUESTO: SI","PRESUPUESTO: NO")</f>
        <v>PRESUPUESTO: NO</v>
      </c>
      <c r="L123" s="162">
        <f>SUMIF(PRESUPUESTO[CUENTA],EJECUTADO[[#This Row],[CUENTA]],PRESUPUESTO[MONTO])-SUMIF($F$1:F122,EJECUTADO[[#This Row],[CUENTA]],$M$1:M122)</f>
        <v>100</v>
      </c>
      <c r="M123" s="2">
        <v>600</v>
      </c>
      <c r="N123" s="2"/>
      <c r="O123" s="2"/>
      <c r="P123" s="162">
        <f>+EJECUTADO[[#This Row],[MONTO SOLICITADO]]-EJECUTADO[[#This Row],[RETENCION IVA]]-EJECUTADO[[#This Row],[RETENCION ISR]]</f>
        <v>600</v>
      </c>
      <c r="Q123" s="84" t="s">
        <v>1000</v>
      </c>
      <c r="R123" s="2"/>
      <c r="S123">
        <v>1</v>
      </c>
      <c r="T123" s="168" t="str">
        <f t="shared" si="2"/>
        <v>NUEVO INGRESO - Plaza Mundo - Insumos de oficina- agua cristal $ 44.00  Disponible $100 Solicitado $600 PRESUPUESTO: NO</v>
      </c>
    </row>
    <row r="124" spans="1:20" ht="30" x14ac:dyDescent="0.25">
      <c r="A124" s="6">
        <f t="shared" si="3"/>
        <v>123</v>
      </c>
      <c r="B124" s="21">
        <v>45306</v>
      </c>
      <c r="C124" s="17" t="s">
        <v>1230</v>
      </c>
      <c r="D124" s="65" t="s">
        <v>1231</v>
      </c>
      <c r="E124" s="65"/>
      <c r="F124" s="68" t="s">
        <v>1244</v>
      </c>
      <c r="G124" s="161">
        <f>MONTH(EJECUTADO[[#This Row],[FECHA]])</f>
        <v>1</v>
      </c>
      <c r="H124" s="163" t="str">
        <f>MID(EJECUTADO[[#This Row],[CUENTA]],1,4)</f>
        <v>E-25</v>
      </c>
      <c r="I124" s="163" t="str">
        <f>INDEX(CATALOGO[Descripción],MATCH(EJECUTADO[[#This Row],[APLICACIÓN]]&amp;"-00-00-00",CATALOGO[Código],0))</f>
        <v>DECANATO DE ESTUDIANTES</v>
      </c>
      <c r="J1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</v>
      </c>
      <c r="K124" s="161" t="str">
        <f>IF((EJECUTADO[[#This Row],[MONTO DISPONIBLE ]]-EJECUTADO[[#This Row],[MONTO SOLICITADO]])&gt;=0,"PRESUPUESTO: SI","PRESUPUESTO: NO")</f>
        <v>PRESUPUESTO: NO</v>
      </c>
      <c r="L124" s="162">
        <f>SUMIF(PRESUPUESTO[CUENTA],EJECUTADO[[#This Row],[CUENTA]],PRESUPUESTO[MONTO])-SUMIF($F$1:F123,EJECUTADO[[#This Row],[CUENTA]],$M$1:M123)</f>
        <v>500</v>
      </c>
      <c r="M124" s="2">
        <v>2400</v>
      </c>
      <c r="N124" s="2"/>
      <c r="O124" s="2"/>
      <c r="P124" s="162">
        <f>+EJECUTADO[[#This Row],[MONTO SOLICITADO]]-EJECUTADO[[#This Row],[RETENCION IVA]]-EJECUTADO[[#This Row],[RETENCION ISR]]</f>
        <v>2400</v>
      </c>
      <c r="Q124" s="84" t="s">
        <v>1000</v>
      </c>
      <c r="R124" s="2"/>
      <c r="S124">
        <v>1</v>
      </c>
      <c r="T124" s="168" t="str">
        <f t="shared" si="2"/>
        <v>DECANATO DE ESTUDIANTES - PAPELERIA Y UTILES  Disponible $500 Solicitado $2400 PRESUPUESTO: NO</v>
      </c>
    </row>
    <row r="125" spans="1:20" ht="30" x14ac:dyDescent="0.25">
      <c r="A125" s="6">
        <f t="shared" si="3"/>
        <v>124</v>
      </c>
      <c r="B125" s="21">
        <v>45306</v>
      </c>
      <c r="C125" s="17" t="s">
        <v>1230</v>
      </c>
      <c r="D125" s="65" t="s">
        <v>1231</v>
      </c>
      <c r="E125" s="65"/>
      <c r="F125" t="s">
        <v>1245</v>
      </c>
      <c r="G125" s="161">
        <f>MONTH(EJECUTADO[[#This Row],[FECHA]])</f>
        <v>1</v>
      </c>
      <c r="H125" s="163" t="str">
        <f>MID(EJECUTADO[[#This Row],[CUENTA]],1,4)</f>
        <v>E-27</v>
      </c>
      <c r="I125" s="163" t="str">
        <f>INDEX(CATALOGO[Descripción],MATCH(EJECUTADO[[#This Row],[APLICACIÓN]]&amp;"-00-00-00",CATALOGO[Código],0))</f>
        <v>INSUMOS DE OFICINA</v>
      </c>
      <c r="J1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125" s="161" t="str">
        <f>IF((EJECUTADO[[#This Row],[MONTO DISPONIBLE ]]-EJECUTADO[[#This Row],[MONTO SOLICITADO]])&gt;=0,"PRESUPUESTO: SI","PRESUPUESTO: NO")</f>
        <v>PRESUPUESTO: SI</v>
      </c>
      <c r="L125" s="162">
        <f>SUMIF(PRESUPUESTO[CUENTA],EJECUTADO[[#This Row],[CUENTA]],PRESUPUESTO[MONTO])-SUMIF($F$1:F124,EJECUTADO[[#This Row],[CUENTA]],$M$1:M124)</f>
        <v>70800</v>
      </c>
      <c r="M125" s="2">
        <v>5880</v>
      </c>
      <c r="N125" s="2"/>
      <c r="O125" s="2"/>
      <c r="P125" s="162">
        <f>+EJECUTADO[[#This Row],[MONTO SOLICITADO]]-EJECUTADO[[#This Row],[RETENCION IVA]]-EJECUTADO[[#This Row],[RETENCION ISR]]</f>
        <v>5880</v>
      </c>
      <c r="Q125" s="84" t="s">
        <v>1000</v>
      </c>
      <c r="R125" s="2"/>
      <c r="S125">
        <v>1</v>
      </c>
      <c r="T125" s="168" t="str">
        <f t="shared" si="2"/>
        <v>INSUMOS DE OFICINA - IMPRESIONES ADMINISTRATIVAS Disponible $70800 Solicitado $5880 PRESUPUESTO: SI</v>
      </c>
    </row>
    <row r="126" spans="1:20" ht="30" x14ac:dyDescent="0.25">
      <c r="A126" s="6">
        <f t="shared" si="3"/>
        <v>125</v>
      </c>
      <c r="B126" s="21">
        <v>45306</v>
      </c>
      <c r="C126" s="17" t="s">
        <v>1230</v>
      </c>
      <c r="D126" s="65" t="s">
        <v>1231</v>
      </c>
      <c r="E126" s="65"/>
      <c r="F126" t="s">
        <v>1246</v>
      </c>
      <c r="G126" s="161">
        <f>MONTH(EJECUTADO[[#This Row],[FECHA]])</f>
        <v>1</v>
      </c>
      <c r="H126" s="163" t="str">
        <f>MID(EJECUTADO[[#This Row],[CUENTA]],1,4)</f>
        <v>E-29</v>
      </c>
      <c r="I126" s="163" t="str">
        <f>INDEX(CATALOGO[Descripción],MATCH(EJECUTADO[[#This Row],[APLICACIÓN]]&amp;"-00-00-00",CATALOGO[Código],0))</f>
        <v xml:space="preserve">BIBLIOTECA </v>
      </c>
      <c r="J1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Papelería y utiles</v>
      </c>
      <c r="K126" s="161" t="str">
        <f>IF((EJECUTADO[[#This Row],[MONTO DISPONIBLE ]]-EJECUTADO[[#This Row],[MONTO SOLICITADO]])&gt;=0,"PRESUPUESTO: SI","PRESUPUESTO: NO")</f>
        <v>PRESUPUESTO: SI</v>
      </c>
      <c r="L126" s="162">
        <f>SUMIF(PRESUPUESTO[CUENTA],EJECUTADO[[#This Row],[CUENTA]],PRESUPUESTO[MONTO])-SUMIF($F$1:F125,EJECUTADO[[#This Row],[CUENTA]],$M$1:M125)</f>
        <v>2000</v>
      </c>
      <c r="M126" s="2">
        <v>1020</v>
      </c>
      <c r="N126" s="2"/>
      <c r="O126" s="2"/>
      <c r="P126" s="162">
        <f>+EJECUTADO[[#This Row],[MONTO SOLICITADO]]-EJECUTADO[[#This Row],[RETENCION IVA]]-EJECUTADO[[#This Row],[RETENCION ISR]]</f>
        <v>1020</v>
      </c>
      <c r="Q126" s="84" t="s">
        <v>1000</v>
      </c>
      <c r="R126" s="2"/>
      <c r="S126">
        <v>1</v>
      </c>
      <c r="T126" s="168" t="str">
        <f t="shared" si="2"/>
        <v>BIBLIOTECA  - Papelería y utiles Disponible $2000 Solicitado $1020 PRESUPUESTO: SI</v>
      </c>
    </row>
    <row r="127" spans="1:20" ht="30" x14ac:dyDescent="0.25">
      <c r="A127" s="6">
        <f t="shared" si="3"/>
        <v>126</v>
      </c>
      <c r="B127" s="21">
        <v>45306</v>
      </c>
      <c r="C127" s="17" t="s">
        <v>1230</v>
      </c>
      <c r="D127" s="65" t="s">
        <v>1231</v>
      </c>
      <c r="E127" s="65"/>
      <c r="F127" t="s">
        <v>1247</v>
      </c>
      <c r="G127" s="161">
        <f>MONTH(EJECUTADO[[#This Row],[FECHA]])</f>
        <v>1</v>
      </c>
      <c r="H127" s="163" t="str">
        <f>MID(EJECUTADO[[#This Row],[CUENTA]],1,4)</f>
        <v>E-32</v>
      </c>
      <c r="I127" s="163" t="str">
        <f>INDEX(CATALOGO[Descripción],MATCH(EJECUTADO[[#This Row],[APLICACIÓN]]&amp;"-00-00-00",CATALOGO[Código],0))</f>
        <v>RELACIONES INTERNACIONALES</v>
      </c>
      <c r="J1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$500.0</v>
      </c>
      <c r="K127" s="161" t="str">
        <f>IF((EJECUTADO[[#This Row],[MONTO DISPONIBLE ]]-EJECUTADO[[#This Row],[MONTO SOLICITADO]])&gt;=0,"PRESUPUESTO: SI","PRESUPUESTO: NO")</f>
        <v>PRESUPUESTO: SI</v>
      </c>
      <c r="L127" s="162">
        <f>SUMIF(PRESUPUESTO[CUENTA],EJECUTADO[[#This Row],[CUENTA]],PRESUPUESTO[MONTO])-SUMIF($F$1:F126,EJECUTADO[[#This Row],[CUENTA]],$M$1:M126)</f>
        <v>6000</v>
      </c>
      <c r="M127" s="2">
        <v>500</v>
      </c>
      <c r="N127" s="2"/>
      <c r="O127" s="2"/>
      <c r="P127" s="162">
        <f>+EJECUTADO[[#This Row],[MONTO SOLICITADO]]-EJECUTADO[[#This Row],[RETENCION IVA]]-EJECUTADO[[#This Row],[RETENCION ISR]]</f>
        <v>500</v>
      </c>
      <c r="Q127" s="84" t="s">
        <v>1000</v>
      </c>
      <c r="R127" s="2"/>
      <c r="S127">
        <v>1</v>
      </c>
      <c r="T127" s="168" t="str">
        <f t="shared" si="2"/>
        <v>RELACIONES INTERNACIONALES - Impresiones $500.0 Disponible $6000 Solicitado $500 PRESUPUESTO: SI</v>
      </c>
    </row>
    <row r="128" spans="1:20" ht="30" x14ac:dyDescent="0.25">
      <c r="A128" s="6">
        <f t="shared" si="3"/>
        <v>127</v>
      </c>
      <c r="B128" s="21">
        <v>45306</v>
      </c>
      <c r="C128" s="17" t="s">
        <v>1248</v>
      </c>
      <c r="D128" s="65" t="s">
        <v>1223</v>
      </c>
      <c r="E128" s="65"/>
      <c r="F128" s="37" t="s">
        <v>1249</v>
      </c>
      <c r="G128" s="161">
        <f>MONTH(EJECUTADO[[#This Row],[FECHA]])</f>
        <v>1</v>
      </c>
      <c r="H128" s="163" t="str">
        <f>MID(EJECUTADO[[#This Row],[CUENTA]],1,4)</f>
        <v>E-01</v>
      </c>
      <c r="I128" s="163" t="str">
        <f>INDEX(CATALOGO[Descripción],MATCH(EJECUTADO[[#This Row],[APLICACIÓN]]&amp;"-00-00-00",CATALOGO[Código],0))</f>
        <v>SERVICIOS PROFESIONALES</v>
      </c>
      <c r="J1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Sra. Lilian de Burgos $ 4500 x 12</v>
      </c>
      <c r="K128" s="161" t="str">
        <f>IF((EJECUTADO[[#This Row],[MONTO DISPONIBLE ]]-EJECUTADO[[#This Row],[MONTO SOLICITADO]])&gt;=0,"PRESUPUESTO: SI","PRESUPUESTO: NO")</f>
        <v>PRESUPUESTO: SI</v>
      </c>
      <c r="L128" s="162">
        <f>SUMIF(PRESUPUESTO[CUENTA],EJECUTADO[[#This Row],[CUENTA]],PRESUPUESTO[MONTO])-SUMIF($F$1:F127,EJECUTADO[[#This Row],[CUENTA]],$M$1:M127)</f>
        <v>54000</v>
      </c>
      <c r="M128" s="2">
        <v>4500</v>
      </c>
      <c r="N128" s="2"/>
      <c r="O128" s="2"/>
      <c r="P128" s="162">
        <f>+EJECUTADO[[#This Row],[MONTO SOLICITADO]]-EJECUTADO[[#This Row],[RETENCION IVA]]-EJECUTADO[[#This Row],[RETENCION ISR]]</f>
        <v>4500</v>
      </c>
      <c r="Q128" s="84" t="s">
        <v>1000</v>
      </c>
      <c r="R128" s="2"/>
      <c r="S128">
        <v>1</v>
      </c>
      <c r="T128" s="168" t="str">
        <f t="shared" si="2"/>
        <v>SERVICIOS PROFESIONALES - Honorarios Sra. Lilian de Burgos $ 4500 x 12 Disponible $54000 Solicitado $4500 PRESUPUESTO: SI</v>
      </c>
    </row>
    <row r="129" spans="1:20" ht="30" x14ac:dyDescent="0.25">
      <c r="A129" s="6">
        <f t="shared" si="3"/>
        <v>128</v>
      </c>
      <c r="B129" s="21">
        <v>45306</v>
      </c>
      <c r="C129" s="17" t="s">
        <v>1250</v>
      </c>
      <c r="D129" s="65" t="s">
        <v>1223</v>
      </c>
      <c r="E129" s="65"/>
      <c r="F129" t="s">
        <v>1251</v>
      </c>
      <c r="G129" s="161">
        <f>MONTH(EJECUTADO[[#This Row],[FECHA]])</f>
        <v>1</v>
      </c>
      <c r="H129" s="163" t="str">
        <f>MID(EJECUTADO[[#This Row],[CUENTA]],1,4)</f>
        <v>E-01</v>
      </c>
      <c r="I129" s="163" t="str">
        <f>INDEX(CATALOGO[Descripción],MATCH(EJECUTADO[[#This Row],[APLICACIÓN]]&amp;"-00-00-00",CATALOGO[Código],0))</f>
        <v>SERVICIOS PROFESIONALES</v>
      </c>
      <c r="J1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Lic. Rita de Araujo $ 4,500.00 X12</v>
      </c>
      <c r="K129" s="161" t="str">
        <f>IF((EJECUTADO[[#This Row],[MONTO DISPONIBLE ]]-EJECUTADO[[#This Row],[MONTO SOLICITADO]])&gt;=0,"PRESUPUESTO: SI","PRESUPUESTO: NO")</f>
        <v>PRESUPUESTO: SI</v>
      </c>
      <c r="L129" s="162">
        <f>SUMIF(PRESUPUESTO[CUENTA],EJECUTADO[[#This Row],[CUENTA]],PRESUPUESTO[MONTO])-SUMIF($F$1:F128,EJECUTADO[[#This Row],[CUENTA]],$M$1:M128)</f>
        <v>54000</v>
      </c>
      <c r="M129" s="2">
        <v>4500</v>
      </c>
      <c r="N129" s="2"/>
      <c r="O129" s="2"/>
      <c r="P129" s="162">
        <f>+EJECUTADO[[#This Row],[MONTO SOLICITADO]]-EJECUTADO[[#This Row],[RETENCION IVA]]-EJECUTADO[[#This Row],[RETENCION ISR]]</f>
        <v>4500</v>
      </c>
      <c r="Q129" s="84" t="s">
        <v>1000</v>
      </c>
      <c r="R129" s="2"/>
      <c r="S129">
        <v>1</v>
      </c>
      <c r="T129" s="168" t="str">
        <f t="shared" si="2"/>
        <v>SERVICIOS PROFESIONALES - Honorarios Lic. Rita de Araujo $ 4,500.00 X12 Disponible $54000 Solicitado $4500 PRESUPUESTO: SI</v>
      </c>
    </row>
    <row r="130" spans="1:20" x14ac:dyDescent="0.25">
      <c r="A130" s="6">
        <f t="shared" si="3"/>
        <v>129</v>
      </c>
      <c r="B130" s="21">
        <v>45306</v>
      </c>
      <c r="C130" s="17" t="s">
        <v>1252</v>
      </c>
      <c r="D130" s="65" t="s">
        <v>1223</v>
      </c>
      <c r="E130" s="65"/>
      <c r="F130" t="s">
        <v>1253</v>
      </c>
      <c r="G130" s="161">
        <f>MONTH(EJECUTADO[[#This Row],[FECHA]])</f>
        <v>1</v>
      </c>
      <c r="H130" s="163" t="str">
        <f>MID(EJECUTADO[[#This Row],[CUENTA]],1,4)</f>
        <v>E-04</v>
      </c>
      <c r="I130" s="163" t="str">
        <f>INDEX(CATALOGO[Descripción],MATCH(EJECUTADO[[#This Row],[APLICACIÓN]]&amp;"-00-00-00",CATALOGO[Código],0))</f>
        <v>SUELDOS ACADÉMICOS</v>
      </c>
      <c r="J1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130" s="161" t="str">
        <f>IF((EJECUTADO[[#This Row],[MONTO DISPONIBLE ]]-EJECUTADO[[#This Row],[MONTO SOLICITADO]])&gt;=0,"PRESUPUESTO: SI","PRESUPUESTO: NO")</f>
        <v>PRESUPUESTO: SI</v>
      </c>
      <c r="L130" s="162">
        <f>SUMIF(PRESUPUESTO[CUENTA],EJECUTADO[[#This Row],[CUENTA]],PRESUPUESTO[MONTO])-SUMIF($F$1:F129,EJECUTADO[[#This Row],[CUENTA]],$M$1:M129)</f>
        <v>131300</v>
      </c>
      <c r="M130" s="2">
        <v>300</v>
      </c>
      <c r="N130" s="2"/>
      <c r="O130" s="2"/>
      <c r="P130" s="162">
        <f>+EJECUTADO[[#This Row],[MONTO SOLICITADO]]-EJECUTADO[[#This Row],[RETENCION IVA]]-EJECUTADO[[#This Row],[RETENCION ISR]]</f>
        <v>300</v>
      </c>
      <c r="Q130" s="84" t="s">
        <v>1000</v>
      </c>
      <c r="R130" s="2"/>
      <c r="S130">
        <v>1</v>
      </c>
      <c r="T130" s="168" t="str">
        <f t="shared" ref="T130:T193" si="4">_xlfn.CONCAT(I130," - ",J130," Disponible $",L130," Solicitado $",M130," ",K130,)</f>
        <v>SUELDOS ACADÉMICOS - SUELDOS Y SALARIOS VR ACADÉMICA Disponible $131300 Solicitado $300 PRESUPUESTO: SI</v>
      </c>
    </row>
    <row r="131" spans="1:20" ht="30" x14ac:dyDescent="0.25">
      <c r="A131" s="6">
        <f t="shared" si="3"/>
        <v>130</v>
      </c>
      <c r="B131" s="21">
        <v>45308</v>
      </c>
      <c r="C131" s="17" t="s">
        <v>1165</v>
      </c>
      <c r="D131" s="65" t="s">
        <v>1254</v>
      </c>
      <c r="E131" s="65"/>
      <c r="F131" t="s">
        <v>1167</v>
      </c>
      <c r="G131" s="161">
        <f>MONTH(EJECUTADO[[#This Row],[FECHA]])</f>
        <v>1</v>
      </c>
      <c r="H131" s="163" t="str">
        <f>MID(EJECUTADO[[#This Row],[CUENTA]],1,4)</f>
        <v>E-24</v>
      </c>
      <c r="I131" s="163" t="str">
        <f>INDEX(CATALOGO[Descripción],MATCH(EJECUTADO[[#This Row],[APLICACIÓN]]&amp;"-00-00-00",CATALOGO[Código],0))</f>
        <v>NUEVO INGRESO</v>
      </c>
      <c r="J1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131" s="161" t="str">
        <f>IF((EJECUTADO[[#This Row],[MONTO DISPONIBLE ]]-EJECUTADO[[#This Row],[MONTO SOLICITADO]])&gt;=0,"PRESUPUESTO: SI","PRESUPUESTO: NO")</f>
        <v>PRESUPUESTO: NO</v>
      </c>
      <c r="L131" s="162">
        <f>SUMIF(PRESUPUESTO[CUENTA],EJECUTADO[[#This Row],[CUENTA]],PRESUPUESTO[MONTO])-SUMIF($F$1:F130,EJECUTADO[[#This Row],[CUENTA]],$M$1:M130)</f>
        <v>2127.5</v>
      </c>
      <c r="M131" s="2">
        <v>3107.5</v>
      </c>
      <c r="N131" s="2"/>
      <c r="O131" s="2"/>
      <c r="P131" s="162">
        <f>+EJECUTADO[[#This Row],[MONTO SOLICITADO]]-EJECUTADO[[#This Row],[RETENCION IVA]]-EJECUTADO[[#This Row],[RETENCION ISR]]</f>
        <v>3107.5</v>
      </c>
      <c r="Q131" s="84" t="s">
        <v>1000</v>
      </c>
      <c r="R131" s="2"/>
      <c r="S131">
        <v>1</v>
      </c>
      <c r="T131" s="168" t="str">
        <f t="shared" si="4"/>
        <v>NUEVO INGRESO - Metrocentro - Mantenimiento de local $ 436.23 Disponible $2127.5 Solicitado $3107.5 PRESUPUESTO: NO</v>
      </c>
    </row>
    <row r="132" spans="1:20" x14ac:dyDescent="0.25">
      <c r="A132" s="6">
        <f t="shared" ref="A132:A195" si="5">+A131+1</f>
        <v>131</v>
      </c>
      <c r="B132" s="21">
        <v>45308</v>
      </c>
      <c r="C132" s="17" t="s">
        <v>1165</v>
      </c>
      <c r="D132" s="65" t="s">
        <v>1168</v>
      </c>
      <c r="E132" s="65"/>
      <c r="F132" t="s">
        <v>1169</v>
      </c>
      <c r="G132" s="161">
        <f>MONTH(EJECUTADO[[#This Row],[FECHA]])</f>
        <v>1</v>
      </c>
      <c r="H132" s="163" t="str">
        <f>MID(EJECUTADO[[#This Row],[CUENTA]],1,4)</f>
        <v>E-24</v>
      </c>
      <c r="I132" s="163" t="str">
        <f>INDEX(CATALOGO[Descripción],MATCH(EJECUTADO[[#This Row],[APLICACIÓN]]&amp;"-00-00-00",CATALOGO[Código],0))</f>
        <v>NUEVO INGRESO</v>
      </c>
      <c r="J1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Aromatización $ 55.00 * 12</v>
      </c>
      <c r="K132" s="161" t="str">
        <f>IF((EJECUTADO[[#This Row],[MONTO DISPONIBLE ]]-EJECUTADO[[#This Row],[MONTO SOLICITADO]])&gt;=0,"PRESUPUESTO: SI","PRESUPUESTO: NO")</f>
        <v>PRESUPUESTO: SI</v>
      </c>
      <c r="L132" s="162">
        <f>SUMIF(PRESUPUESTO[CUENTA],EJECUTADO[[#This Row],[CUENTA]],PRESUPUESTO[MONTO])-SUMIF($F$1:F131,EJECUTADO[[#This Row],[CUENTA]],$M$1:M131)</f>
        <v>359.76</v>
      </c>
      <c r="M132" s="2">
        <v>311.97000000000003</v>
      </c>
      <c r="N132" s="2"/>
      <c r="O132" s="2"/>
      <c r="P132" s="162">
        <f>+EJECUTADO[[#This Row],[MONTO SOLICITADO]]-EJECUTADO[[#This Row],[RETENCION IVA]]-EJECUTADO[[#This Row],[RETENCION ISR]]</f>
        <v>311.97000000000003</v>
      </c>
      <c r="Q132" s="84" t="s">
        <v>1000</v>
      </c>
      <c r="R132" s="2"/>
      <c r="S132">
        <v>1</v>
      </c>
      <c r="T132" s="168" t="str">
        <f t="shared" si="4"/>
        <v>NUEVO INGRESO - Metrocentro - Aromatización $ 55.00 * 12 Disponible $359.76 Solicitado $311.97 PRESUPUESTO: SI</v>
      </c>
    </row>
    <row r="133" spans="1:20" x14ac:dyDescent="0.25">
      <c r="A133" s="6">
        <f t="shared" si="5"/>
        <v>132</v>
      </c>
      <c r="B133" s="21">
        <v>45308</v>
      </c>
      <c r="C133" s="17" t="s">
        <v>1165</v>
      </c>
      <c r="D133" s="65" t="s">
        <v>1170</v>
      </c>
      <c r="E133" s="65"/>
      <c r="F133" t="s">
        <v>1171</v>
      </c>
      <c r="G133" s="161">
        <f>MONTH(EJECUTADO[[#This Row],[FECHA]])</f>
        <v>1</v>
      </c>
      <c r="H133" s="163" t="str">
        <f>MID(EJECUTADO[[#This Row],[CUENTA]],1,4)</f>
        <v>E-24</v>
      </c>
      <c r="I133" s="163" t="str">
        <f>INDEX(CATALOGO[Descripción],MATCH(EJECUTADO[[#This Row],[APLICACIÓN]]&amp;"-00-00-00",CATALOGO[Código],0))</f>
        <v>NUEVO INGRESO</v>
      </c>
      <c r="J1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133" s="161" t="str">
        <f>IF((EJECUTADO[[#This Row],[MONTO DISPONIBLE ]]-EJECUTADO[[#This Row],[MONTO SOLICITADO]])&gt;=0,"PRESUPUESTO: SI","PRESUPUESTO: NO")</f>
        <v>PRESUPUESTO: SI</v>
      </c>
      <c r="L133" s="162">
        <f>SUMIF(PRESUPUESTO[CUENTA],EJECUTADO[[#This Row],[CUENTA]],PRESUPUESTO[MONTO])-SUMIF($F$1:F132,EJECUTADO[[#This Row],[CUENTA]],$M$1:M132)</f>
        <v>37175.97</v>
      </c>
      <c r="M133" s="2">
        <v>55.21</v>
      </c>
      <c r="N133" s="2"/>
      <c r="O133" s="2"/>
      <c r="P133" s="162">
        <f>+EJECUTADO[[#This Row],[MONTO SOLICITADO]]-EJECUTADO[[#This Row],[RETENCION IVA]]-EJECUTADO[[#This Row],[RETENCION ISR]]</f>
        <v>55.21</v>
      </c>
      <c r="Q133" s="84" t="s">
        <v>1000</v>
      </c>
      <c r="R133" s="2"/>
      <c r="S133">
        <v>1</v>
      </c>
      <c r="T133" s="168" t="str">
        <f t="shared" si="4"/>
        <v>NUEVO INGRESO - Metrocentro - Alquiler de Local $ 3108*12  Disponible $37175.97 Solicitado $55.21 PRESUPUESTO: SI</v>
      </c>
    </row>
    <row r="134" spans="1:20" x14ac:dyDescent="0.25">
      <c r="A134" s="6">
        <f t="shared" si="5"/>
        <v>133</v>
      </c>
      <c r="B134" s="21">
        <v>45308</v>
      </c>
      <c r="C134" s="17" t="s">
        <v>1165</v>
      </c>
      <c r="D134" s="65" t="s">
        <v>1172</v>
      </c>
      <c r="E134" s="65"/>
      <c r="F134" t="s">
        <v>1171</v>
      </c>
      <c r="G134" s="161">
        <f>MONTH(EJECUTADO[[#This Row],[FECHA]])</f>
        <v>1</v>
      </c>
      <c r="H134" s="163" t="str">
        <f>MID(EJECUTADO[[#This Row],[CUENTA]],1,4)</f>
        <v>E-24</v>
      </c>
      <c r="I134" s="163" t="str">
        <f>INDEX(CATALOGO[Descripción],MATCH(EJECUTADO[[#This Row],[APLICACIÓN]]&amp;"-00-00-00",CATALOGO[Código],0))</f>
        <v>NUEVO INGRESO</v>
      </c>
      <c r="J1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134" s="161" t="str">
        <f>IF((EJECUTADO[[#This Row],[MONTO DISPONIBLE ]]-EJECUTADO[[#This Row],[MONTO SOLICITADO]])&gt;=0,"PRESUPUESTO: SI","PRESUPUESTO: NO")</f>
        <v>PRESUPUESTO: SI</v>
      </c>
      <c r="L134" s="162">
        <f>SUMIF(PRESUPUESTO[CUENTA],EJECUTADO[[#This Row],[CUENTA]],PRESUPUESTO[MONTO])-SUMIF($F$1:F133,EJECUTADO[[#This Row],[CUENTA]],$M$1:M133)</f>
        <v>37120.76</v>
      </c>
      <c r="M134" s="2">
        <v>56.6</v>
      </c>
      <c r="N134" s="2"/>
      <c r="O134" s="2"/>
      <c r="P134" s="162">
        <f>+EJECUTADO[[#This Row],[MONTO SOLICITADO]]-EJECUTADO[[#This Row],[RETENCION IVA]]-EJECUTADO[[#This Row],[RETENCION ISR]]</f>
        <v>56.6</v>
      </c>
      <c r="Q134" s="84" t="s">
        <v>1000</v>
      </c>
      <c r="R134" s="2"/>
      <c r="S134">
        <v>1</v>
      </c>
      <c r="T134" s="168" t="str">
        <f t="shared" si="4"/>
        <v>NUEVO INGRESO - Metrocentro - Alquiler de Local $ 3108*12  Disponible $37120.76 Solicitado $56.6 PRESUPUESTO: SI</v>
      </c>
    </row>
    <row r="135" spans="1:20" x14ac:dyDescent="0.25">
      <c r="A135" s="6">
        <f t="shared" si="5"/>
        <v>134</v>
      </c>
      <c r="B135" s="21">
        <v>45308</v>
      </c>
      <c r="C135" s="17" t="s">
        <v>1165</v>
      </c>
      <c r="D135" s="65" t="s">
        <v>249</v>
      </c>
      <c r="E135" s="65"/>
      <c r="F135" t="s">
        <v>1171</v>
      </c>
      <c r="G135" s="161">
        <f>MONTH(EJECUTADO[[#This Row],[FECHA]])</f>
        <v>1</v>
      </c>
      <c r="H135" s="163" t="str">
        <f>MID(EJECUTADO[[#This Row],[CUENTA]],1,4)</f>
        <v>E-24</v>
      </c>
      <c r="I135" s="163" t="str">
        <f>INDEX(CATALOGO[Descripción],MATCH(EJECUTADO[[#This Row],[APLICACIÓN]]&amp;"-00-00-00",CATALOGO[Código],0))</f>
        <v>NUEVO INGRESO</v>
      </c>
      <c r="J1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135" s="161" t="str">
        <f>IF((EJECUTADO[[#This Row],[MONTO DISPONIBLE ]]-EJECUTADO[[#This Row],[MONTO SOLICITADO]])&gt;=0,"PRESUPUESTO: SI","PRESUPUESTO: NO")</f>
        <v>PRESUPUESTO: SI</v>
      </c>
      <c r="L135" s="162">
        <f>SUMIF(PRESUPUESTO[CUENTA],EJECUTADO[[#This Row],[CUENTA]],PRESUPUESTO[MONTO])-SUMIF($F$1:F134,EJECUTADO[[#This Row],[CUENTA]],$M$1:M134)</f>
        <v>37064.160000000003</v>
      </c>
      <c r="M135" s="2">
        <v>13.56</v>
      </c>
      <c r="N135" s="2"/>
      <c r="O135" s="2"/>
      <c r="P135" s="162">
        <f>+EJECUTADO[[#This Row],[MONTO SOLICITADO]]-EJECUTADO[[#This Row],[RETENCION IVA]]-EJECUTADO[[#This Row],[RETENCION ISR]]</f>
        <v>13.56</v>
      </c>
      <c r="Q135" s="84" t="s">
        <v>1000</v>
      </c>
      <c r="R135" s="2"/>
      <c r="S135">
        <v>1</v>
      </c>
      <c r="T135" s="168" t="str">
        <f t="shared" si="4"/>
        <v>NUEVO INGRESO - Metrocentro - Alquiler de Local $ 3108*12  Disponible $37064.16 Solicitado $13.56 PRESUPUESTO: SI</v>
      </c>
    </row>
    <row r="136" spans="1:20" ht="45" x14ac:dyDescent="0.25">
      <c r="A136" s="6">
        <f t="shared" si="5"/>
        <v>135</v>
      </c>
      <c r="B136" s="21">
        <v>45308</v>
      </c>
      <c r="C136" s="17" t="s">
        <v>1173</v>
      </c>
      <c r="D136" s="65" t="s">
        <v>1255</v>
      </c>
      <c r="E136" s="65"/>
      <c r="F136" t="s">
        <v>1167</v>
      </c>
      <c r="G136" s="161">
        <f>MONTH(EJECUTADO[[#This Row],[FECHA]])</f>
        <v>1</v>
      </c>
      <c r="H136" s="163" t="str">
        <f>MID(EJECUTADO[[#This Row],[CUENTA]],1,4)</f>
        <v>E-24</v>
      </c>
      <c r="I136" s="163" t="str">
        <f>INDEX(CATALOGO[Descripción],MATCH(EJECUTADO[[#This Row],[APLICACIÓN]]&amp;"-00-00-00",CATALOGO[Código],0))</f>
        <v>NUEVO INGRESO</v>
      </c>
      <c r="J1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136" s="161" t="str">
        <f>IF((EJECUTADO[[#This Row],[MONTO DISPONIBLE ]]-EJECUTADO[[#This Row],[MONTO SOLICITADO]])&gt;=0,"PRESUPUESTO: SI","PRESUPUESTO: NO")</f>
        <v>PRESUPUESTO: NO</v>
      </c>
      <c r="L136" s="162">
        <f>SUMIF(PRESUPUESTO[CUENTA],EJECUTADO[[#This Row],[CUENTA]],PRESUPUESTO[MONTO])-SUMIF($F$1:F135,EJECUTADO[[#This Row],[CUENTA]],$M$1:M135)</f>
        <v>-980</v>
      </c>
      <c r="M136" s="2">
        <v>19.38</v>
      </c>
      <c r="N136" s="2"/>
      <c r="O136" s="2"/>
      <c r="P136" s="162">
        <f>+EJECUTADO[[#This Row],[MONTO SOLICITADO]]-EJECUTADO[[#This Row],[RETENCION IVA]]-EJECUTADO[[#This Row],[RETENCION ISR]]</f>
        <v>19.38</v>
      </c>
      <c r="Q136" s="84" t="s">
        <v>1000</v>
      </c>
      <c r="R136" s="2"/>
      <c r="S136">
        <v>1</v>
      </c>
      <c r="T136" s="168" t="str">
        <f t="shared" si="4"/>
        <v>NUEVO INGRESO - Metrocentro - Mantenimiento de local $ 436.23 Disponible $-980 Solicitado $19.38 PRESUPUESTO: NO</v>
      </c>
    </row>
    <row r="137" spans="1:20" ht="60" x14ac:dyDescent="0.25">
      <c r="A137" s="6">
        <f t="shared" si="5"/>
        <v>136</v>
      </c>
      <c r="B137" s="21">
        <v>45308</v>
      </c>
      <c r="C137" s="17" t="s">
        <v>1256</v>
      </c>
      <c r="D137" s="65" t="s">
        <v>1257</v>
      </c>
      <c r="E137" s="65"/>
      <c r="F137" s="68" t="s">
        <v>1258</v>
      </c>
      <c r="G137" s="161">
        <f>MONTH(EJECUTADO[[#This Row],[FECHA]])</f>
        <v>1</v>
      </c>
      <c r="H137" s="163" t="str">
        <f>MID(EJECUTADO[[#This Row],[CUENTA]],1,4)</f>
        <v>E-22</v>
      </c>
      <c r="I137" s="163" t="str">
        <f>INDEX(CATALOGO[Descripción],MATCH(EJECUTADO[[#This Row],[APLICACIÓN]]&amp;"-00-00-00",CATALOGO[Código],0))</f>
        <v>CAPACITACIÓN AL PERSONAL</v>
      </c>
      <c r="J1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37" s="161" t="str">
        <f>IF((EJECUTADO[[#This Row],[MONTO DISPONIBLE ]]-EJECUTADO[[#This Row],[MONTO SOLICITADO]])&gt;=0,"PRESUPUESTO: SI","PRESUPUESTO: NO")</f>
        <v>PRESUPUESTO: NO</v>
      </c>
      <c r="L137" s="162">
        <f>SUMIF(PRESUPUESTO[CUENTA],EJECUTADO[[#This Row],[CUENTA]],PRESUPUESTO[MONTO])-SUMIF($F$1:F136,EJECUTADO[[#This Row],[CUENTA]],$M$1:M136)</f>
        <v>0</v>
      </c>
      <c r="M137" s="2">
        <v>741</v>
      </c>
      <c r="N137" s="2"/>
      <c r="O137" s="2"/>
      <c r="P137" s="162">
        <f>+EJECUTADO[[#This Row],[MONTO SOLICITADO]]-EJECUTADO[[#This Row],[RETENCION IVA]]-EJECUTADO[[#This Row],[RETENCION ISR]]</f>
        <v>741</v>
      </c>
      <c r="Q137" s="84" t="s">
        <v>1000</v>
      </c>
      <c r="R137" s="2"/>
      <c r="S137">
        <v>1</v>
      </c>
      <c r="T137" s="168" t="str">
        <f t="shared" si="4"/>
        <v>CAPACITACIÓN AL PERSONAL - CAPACITACIONES TALLER PRINCIPIOS Y VALORES (DR.MALUMBRES) Disponible $0 Solicitado $741 PRESUPUESTO: NO</v>
      </c>
    </row>
    <row r="138" spans="1:20" ht="75" x14ac:dyDescent="0.25">
      <c r="A138" s="6">
        <f t="shared" si="5"/>
        <v>137</v>
      </c>
      <c r="B138" s="21">
        <v>45308</v>
      </c>
      <c r="C138" s="17" t="s">
        <v>1256</v>
      </c>
      <c r="D138" s="65" t="s">
        <v>1259</v>
      </c>
      <c r="E138" s="65"/>
      <c r="F138" s="68" t="s">
        <v>1258</v>
      </c>
      <c r="G138" s="161">
        <f>MONTH(EJECUTADO[[#This Row],[FECHA]])</f>
        <v>1</v>
      </c>
      <c r="H138" s="163" t="str">
        <f>MID(EJECUTADO[[#This Row],[CUENTA]],1,4)</f>
        <v>E-22</v>
      </c>
      <c r="I138" s="163" t="str">
        <f>INDEX(CATALOGO[Descripción],MATCH(EJECUTADO[[#This Row],[APLICACIÓN]]&amp;"-00-00-00",CATALOGO[Código],0))</f>
        <v>CAPACITACIÓN AL PERSONAL</v>
      </c>
      <c r="J1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38" s="161" t="str">
        <f>IF((EJECUTADO[[#This Row],[MONTO DISPONIBLE ]]-EJECUTADO[[#This Row],[MONTO SOLICITADO]])&gt;=0,"PRESUPUESTO: SI","PRESUPUESTO: NO")</f>
        <v>PRESUPUESTO: NO</v>
      </c>
      <c r="L138" s="162">
        <f>SUMIF(PRESUPUESTO[CUENTA],EJECUTADO[[#This Row],[CUENTA]],PRESUPUESTO[MONTO])-SUMIF($F$1:F137,EJECUTADO[[#This Row],[CUENTA]],$M$1:M137)</f>
        <v>-741</v>
      </c>
      <c r="M138" s="2">
        <v>125</v>
      </c>
      <c r="N138" s="2"/>
      <c r="O138" s="2"/>
      <c r="P138" s="162">
        <f>+EJECUTADO[[#This Row],[MONTO SOLICITADO]]-EJECUTADO[[#This Row],[RETENCION IVA]]-EJECUTADO[[#This Row],[RETENCION ISR]]</f>
        <v>125</v>
      </c>
      <c r="Q138" s="84" t="s">
        <v>1000</v>
      </c>
      <c r="R138" s="2"/>
      <c r="S138">
        <v>1</v>
      </c>
      <c r="T138" s="168" t="str">
        <f t="shared" si="4"/>
        <v>CAPACITACIÓN AL PERSONAL - CAPACITACIONES TALLER PRINCIPIOS Y VALORES (DR.MALUMBRES) Disponible $-741 Solicitado $125 PRESUPUESTO: NO</v>
      </c>
    </row>
    <row r="139" spans="1:20" ht="60" x14ac:dyDescent="0.25">
      <c r="A139" s="6">
        <f t="shared" si="5"/>
        <v>138</v>
      </c>
      <c r="B139" s="21">
        <v>45308</v>
      </c>
      <c r="C139" s="17" t="s">
        <v>1256</v>
      </c>
      <c r="D139" s="65" t="s">
        <v>1257</v>
      </c>
      <c r="E139" s="65"/>
      <c r="F139" s="145" t="s">
        <v>1258</v>
      </c>
      <c r="G139" s="161">
        <f>MONTH(EJECUTADO[[#This Row],[FECHA]])</f>
        <v>1</v>
      </c>
      <c r="H139" s="163" t="str">
        <f>MID(EJECUTADO[[#This Row],[CUENTA]],1,4)</f>
        <v>E-22</v>
      </c>
      <c r="I139" s="163" t="str">
        <f>INDEX(CATALOGO[Descripción],MATCH(EJECUTADO[[#This Row],[APLICACIÓN]]&amp;"-00-00-00",CATALOGO[Código],0))</f>
        <v>CAPACITACIÓN AL PERSONAL</v>
      </c>
      <c r="J1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39" s="161" t="str">
        <f>IF((EJECUTADO[[#This Row],[MONTO DISPONIBLE ]]-EJECUTADO[[#This Row],[MONTO SOLICITADO]])&gt;=0,"PRESUPUESTO: SI","PRESUPUESTO: NO")</f>
        <v>PRESUPUESTO: NO</v>
      </c>
      <c r="L139" s="162">
        <f>SUMIF(PRESUPUESTO[CUENTA],EJECUTADO[[#This Row],[CUENTA]],PRESUPUESTO[MONTO])-SUMIF($F$1:F138,EJECUTADO[[#This Row],[CUENTA]],$M$1:M138)</f>
        <v>-866</v>
      </c>
      <c r="M139" s="2">
        <v>741</v>
      </c>
      <c r="N139" s="2"/>
      <c r="O139" s="2"/>
      <c r="P139" s="162">
        <f>+EJECUTADO[[#This Row],[MONTO SOLICITADO]]-EJECUTADO[[#This Row],[RETENCION IVA]]-EJECUTADO[[#This Row],[RETENCION ISR]]</f>
        <v>741</v>
      </c>
      <c r="Q139" s="84" t="s">
        <v>1000</v>
      </c>
      <c r="R139" s="2"/>
      <c r="S139">
        <v>1</v>
      </c>
      <c r="T139" s="168" t="str">
        <f t="shared" si="4"/>
        <v>CAPACITACIÓN AL PERSONAL - CAPACITACIONES TALLER PRINCIPIOS Y VALORES (DR.MALUMBRES) Disponible $-866 Solicitado $741 PRESUPUESTO: NO</v>
      </c>
    </row>
    <row r="140" spans="1:20" ht="75" x14ac:dyDescent="0.25">
      <c r="A140" s="6">
        <f t="shared" si="5"/>
        <v>139</v>
      </c>
      <c r="B140" s="21">
        <v>45308</v>
      </c>
      <c r="C140" s="17" t="s">
        <v>1256</v>
      </c>
      <c r="D140" s="65" t="s">
        <v>1259</v>
      </c>
      <c r="E140" s="65"/>
      <c r="F140" s="68" t="s">
        <v>1258</v>
      </c>
      <c r="G140" s="161">
        <f>MONTH(EJECUTADO[[#This Row],[FECHA]])</f>
        <v>1</v>
      </c>
      <c r="H140" s="163" t="str">
        <f>MID(EJECUTADO[[#This Row],[CUENTA]],1,4)</f>
        <v>E-22</v>
      </c>
      <c r="I140" s="163" t="str">
        <f>INDEX(CATALOGO[Descripción],MATCH(EJECUTADO[[#This Row],[APLICACIÓN]]&amp;"-00-00-00",CATALOGO[Código],0))</f>
        <v>CAPACITACIÓN AL PERSONAL</v>
      </c>
      <c r="J1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40" s="161" t="str">
        <f>IF((EJECUTADO[[#This Row],[MONTO DISPONIBLE ]]-EJECUTADO[[#This Row],[MONTO SOLICITADO]])&gt;=0,"PRESUPUESTO: SI","PRESUPUESTO: NO")</f>
        <v>PRESUPUESTO: NO</v>
      </c>
      <c r="L140" s="162">
        <f>SUMIF(PRESUPUESTO[CUENTA],EJECUTADO[[#This Row],[CUENTA]],PRESUPUESTO[MONTO])-SUMIF($F$1:F139,EJECUTADO[[#This Row],[CUENTA]],$M$1:M139)</f>
        <v>-1607</v>
      </c>
      <c r="M140" s="2">
        <v>125</v>
      </c>
      <c r="N140" s="2"/>
      <c r="O140" s="2"/>
      <c r="P140" s="162">
        <f>+EJECUTADO[[#This Row],[MONTO SOLICITADO]]-EJECUTADO[[#This Row],[RETENCION IVA]]-EJECUTADO[[#This Row],[RETENCION ISR]]</f>
        <v>125</v>
      </c>
      <c r="Q140" s="84" t="s">
        <v>1000</v>
      </c>
      <c r="R140" s="2"/>
      <c r="S140">
        <v>1</v>
      </c>
      <c r="T140" s="168" t="str">
        <f t="shared" si="4"/>
        <v>CAPACITACIÓN AL PERSONAL - CAPACITACIONES TALLER PRINCIPIOS Y VALORES (DR.MALUMBRES) Disponible $-1607 Solicitado $125 PRESUPUESTO: NO</v>
      </c>
    </row>
    <row r="141" spans="1:20" ht="60" x14ac:dyDescent="0.25">
      <c r="A141" s="6">
        <f t="shared" si="5"/>
        <v>140</v>
      </c>
      <c r="B141" s="21">
        <v>45308</v>
      </c>
      <c r="C141" s="17" t="s">
        <v>1256</v>
      </c>
      <c r="D141" s="65" t="s">
        <v>1257</v>
      </c>
      <c r="E141" s="65"/>
      <c r="F141" s="68" t="s">
        <v>1258</v>
      </c>
      <c r="G141" s="161">
        <f>MONTH(EJECUTADO[[#This Row],[FECHA]])</f>
        <v>1</v>
      </c>
      <c r="H141" s="163" t="str">
        <f>MID(EJECUTADO[[#This Row],[CUENTA]],1,4)</f>
        <v>E-22</v>
      </c>
      <c r="I141" s="163" t="str">
        <f>INDEX(CATALOGO[Descripción],MATCH(EJECUTADO[[#This Row],[APLICACIÓN]]&amp;"-00-00-00",CATALOGO[Código],0))</f>
        <v>CAPACITACIÓN AL PERSONAL</v>
      </c>
      <c r="J1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41" s="161" t="str">
        <f>IF((EJECUTADO[[#This Row],[MONTO DISPONIBLE ]]-EJECUTADO[[#This Row],[MONTO SOLICITADO]])&gt;=0,"PRESUPUESTO: SI","PRESUPUESTO: NO")</f>
        <v>PRESUPUESTO: NO</v>
      </c>
      <c r="L141" s="162">
        <f>SUMIF(PRESUPUESTO[CUENTA],EJECUTADO[[#This Row],[CUENTA]],PRESUPUESTO[MONTO])-SUMIF($F$1:F140,EJECUTADO[[#This Row],[CUENTA]],$M$1:M140)</f>
        <v>-1732</v>
      </c>
      <c r="M141" s="2">
        <v>740.22</v>
      </c>
      <c r="N141" s="2"/>
      <c r="O141" s="2"/>
      <c r="P141" s="162">
        <f>+EJECUTADO[[#This Row],[MONTO SOLICITADO]]-EJECUTADO[[#This Row],[RETENCION IVA]]-EJECUTADO[[#This Row],[RETENCION ISR]]</f>
        <v>740.22</v>
      </c>
      <c r="Q141" s="84" t="s">
        <v>1000</v>
      </c>
      <c r="R141" s="2"/>
      <c r="S141">
        <v>1</v>
      </c>
      <c r="T141" s="168" t="str">
        <f t="shared" si="4"/>
        <v>CAPACITACIÓN AL PERSONAL - CAPACITACIONES TALLER PRINCIPIOS Y VALORES (DR.MALUMBRES) Disponible $-1732 Solicitado $740.22 PRESUPUESTO: NO</v>
      </c>
    </row>
    <row r="142" spans="1:20" ht="75" x14ac:dyDescent="0.25">
      <c r="A142" s="6">
        <f t="shared" si="5"/>
        <v>141</v>
      </c>
      <c r="B142" s="21">
        <v>45308</v>
      </c>
      <c r="C142" s="17" t="s">
        <v>1256</v>
      </c>
      <c r="D142" s="65" t="s">
        <v>1259</v>
      </c>
      <c r="E142" s="65"/>
      <c r="F142" s="68" t="s">
        <v>1258</v>
      </c>
      <c r="G142" s="161">
        <f>MONTH(EJECUTADO[[#This Row],[FECHA]])</f>
        <v>1</v>
      </c>
      <c r="H142" s="163" t="str">
        <f>MID(EJECUTADO[[#This Row],[CUENTA]],1,4)</f>
        <v>E-22</v>
      </c>
      <c r="I142" s="163" t="str">
        <f>INDEX(CATALOGO[Descripción],MATCH(EJECUTADO[[#This Row],[APLICACIÓN]]&amp;"-00-00-00",CATALOGO[Código],0))</f>
        <v>CAPACITACIÓN AL PERSONAL</v>
      </c>
      <c r="J1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42" s="161" t="str">
        <f>IF((EJECUTADO[[#This Row],[MONTO DISPONIBLE ]]-EJECUTADO[[#This Row],[MONTO SOLICITADO]])&gt;=0,"PRESUPUESTO: SI","PRESUPUESTO: NO")</f>
        <v>PRESUPUESTO: NO</v>
      </c>
      <c r="L142" s="162">
        <f>SUMIF(PRESUPUESTO[CUENTA],EJECUTADO[[#This Row],[CUENTA]],PRESUPUESTO[MONTO])-SUMIF($F$1:F141,EJECUTADO[[#This Row],[CUENTA]],$M$1:M141)</f>
        <v>-2472.2200000000003</v>
      </c>
      <c r="M142" s="2">
        <v>125</v>
      </c>
      <c r="N142" s="2"/>
      <c r="O142" s="2"/>
      <c r="P142" s="162">
        <f>+EJECUTADO[[#This Row],[MONTO SOLICITADO]]-EJECUTADO[[#This Row],[RETENCION IVA]]-EJECUTADO[[#This Row],[RETENCION ISR]]</f>
        <v>125</v>
      </c>
      <c r="Q142" s="84" t="s">
        <v>1000</v>
      </c>
      <c r="R142" s="2"/>
      <c r="S142">
        <v>1</v>
      </c>
      <c r="T142" s="168" t="str">
        <f t="shared" si="4"/>
        <v>CAPACITACIÓN AL PERSONAL - CAPACITACIONES TALLER PRINCIPIOS Y VALORES (DR.MALUMBRES) Disponible $-2472.22 Solicitado $125 PRESUPUESTO: NO</v>
      </c>
    </row>
    <row r="143" spans="1:20" ht="75" x14ac:dyDescent="0.25">
      <c r="A143" s="6">
        <f t="shared" si="5"/>
        <v>142</v>
      </c>
      <c r="B143" s="21">
        <v>45308</v>
      </c>
      <c r="C143" s="17" t="s">
        <v>1256</v>
      </c>
      <c r="D143" s="65" t="s">
        <v>1259</v>
      </c>
      <c r="E143" s="65"/>
      <c r="F143" s="68" t="s">
        <v>1258</v>
      </c>
      <c r="G143" s="161">
        <f>MONTH(EJECUTADO[[#This Row],[FECHA]])</f>
        <v>1</v>
      </c>
      <c r="H143" s="163" t="str">
        <f>MID(EJECUTADO[[#This Row],[CUENTA]],1,4)</f>
        <v>E-22</v>
      </c>
      <c r="I143" s="163" t="str">
        <f>INDEX(CATALOGO[Descripción],MATCH(EJECUTADO[[#This Row],[APLICACIÓN]]&amp;"-00-00-00",CATALOGO[Código],0))</f>
        <v>CAPACITACIÓN AL PERSONAL</v>
      </c>
      <c r="J1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43" s="161" t="str">
        <f>IF((EJECUTADO[[#This Row],[MONTO DISPONIBLE ]]-EJECUTADO[[#This Row],[MONTO SOLICITADO]])&gt;=0,"PRESUPUESTO: SI","PRESUPUESTO: NO")</f>
        <v>PRESUPUESTO: NO</v>
      </c>
      <c r="L143" s="162">
        <f>SUMIF(PRESUPUESTO[CUENTA],EJECUTADO[[#This Row],[CUENTA]],PRESUPUESTO[MONTO])-SUMIF($F$1:F142,EJECUTADO[[#This Row],[CUENTA]],$M$1:M142)</f>
        <v>-2597.2200000000003</v>
      </c>
      <c r="M143" s="2">
        <v>125</v>
      </c>
      <c r="N143" s="2"/>
      <c r="O143" s="2"/>
      <c r="P143" s="162">
        <f>+EJECUTADO[[#This Row],[MONTO SOLICITADO]]-EJECUTADO[[#This Row],[RETENCION IVA]]-EJECUTADO[[#This Row],[RETENCION ISR]]</f>
        <v>125</v>
      </c>
      <c r="Q143" s="84" t="s">
        <v>1000</v>
      </c>
      <c r="R143" s="2"/>
      <c r="S143">
        <v>1</v>
      </c>
      <c r="T143" s="168" t="str">
        <f t="shared" si="4"/>
        <v>CAPACITACIÓN AL PERSONAL - CAPACITACIONES TALLER PRINCIPIOS Y VALORES (DR.MALUMBRES) Disponible $-2597.22 Solicitado $125 PRESUPUESTO: NO</v>
      </c>
    </row>
    <row r="144" spans="1:20" ht="90" x14ac:dyDescent="0.25">
      <c r="A144" s="6">
        <f t="shared" si="5"/>
        <v>143</v>
      </c>
      <c r="B144" s="21">
        <v>45308</v>
      </c>
      <c r="C144" s="17" t="s">
        <v>1260</v>
      </c>
      <c r="D144" s="65" t="s">
        <v>1261</v>
      </c>
      <c r="E144" s="65"/>
      <c r="F144" t="s">
        <v>1262</v>
      </c>
      <c r="G144" s="161">
        <f>MONTH(EJECUTADO[[#This Row],[FECHA]])</f>
        <v>1</v>
      </c>
      <c r="H144" s="163" t="str">
        <f>MID(EJECUTADO[[#This Row],[CUENTA]],1,4)</f>
        <v>E-08</v>
      </c>
      <c r="I144" s="163" t="str">
        <f>INDEX(CATALOGO[Descripción],MATCH(EJECUTADO[[#This Row],[APLICACIÓN]]&amp;"-00-00-00",CATALOGO[Código],0))</f>
        <v>INVERSIONES Y PROYECTOS ESPECIALES</v>
      </c>
      <c r="J1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 DOCENTE CONECTADO 2024</v>
      </c>
      <c r="K144" s="161" t="str">
        <f>IF((EJECUTADO[[#This Row],[MONTO DISPONIBLE ]]-EJECUTADO[[#This Row],[MONTO SOLICITADO]])&gt;=0,"PRESUPUESTO: SI","PRESUPUESTO: NO")</f>
        <v>PRESUPUESTO: SI</v>
      </c>
      <c r="L144" s="162">
        <f>SUMIF(PRESUPUESTO[CUENTA],EJECUTADO[[#This Row],[CUENTA]],PRESUPUESTO[MONTO])-SUMIF($F$1:F143,EJECUTADO[[#This Row],[CUENTA]],$M$1:M143)</f>
        <v>199250</v>
      </c>
      <c r="M144" s="2">
        <v>2856</v>
      </c>
      <c r="N144" s="2"/>
      <c r="O144" s="2"/>
      <c r="P144" s="162">
        <f>+EJECUTADO[[#This Row],[MONTO SOLICITADO]]-EJECUTADO[[#This Row],[RETENCION IVA]]-EJECUTADO[[#This Row],[RETENCION ISR]]</f>
        <v>2856</v>
      </c>
      <c r="Q144" s="84" t="s">
        <v>1000</v>
      </c>
      <c r="R144" s="2"/>
      <c r="S144">
        <v>1</v>
      </c>
      <c r="T144" s="168" t="str">
        <f t="shared" si="4"/>
        <v>INVERSIONES Y PROYECTOS ESPECIALES - PROYECTO DOCENTE CONECTADO 2024 Disponible $199250 Solicitado $2856 PRESUPUESTO: SI</v>
      </c>
    </row>
    <row r="145" spans="1:20" ht="30" x14ac:dyDescent="0.25">
      <c r="A145" s="6">
        <f t="shared" si="5"/>
        <v>144</v>
      </c>
      <c r="B145" s="21">
        <v>45308</v>
      </c>
      <c r="C145" s="17" t="s">
        <v>1263</v>
      </c>
      <c r="D145" s="65" t="s">
        <v>248</v>
      </c>
      <c r="E145" s="65"/>
      <c r="F145" t="s">
        <v>1119</v>
      </c>
      <c r="G145" s="161">
        <f>MONTH(EJECUTADO[[#This Row],[FECHA]])</f>
        <v>1</v>
      </c>
      <c r="H145" s="163" t="str">
        <f>MID(EJECUTADO[[#This Row],[CUENTA]],1,4)</f>
        <v>E-10</v>
      </c>
      <c r="I145" s="163" t="str">
        <f>INDEX(CATALOGO[Descripción],MATCH(EJECUTADO[[#This Row],[APLICACIÓN]]&amp;"-00-00-00",CATALOGO[Código],0))</f>
        <v>SERVICIOS PUBLICOS</v>
      </c>
      <c r="J1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145" s="161" t="str">
        <f>IF((EJECUTADO[[#This Row],[MONTO DISPONIBLE ]]-EJECUTADO[[#This Row],[MONTO SOLICITADO]])&gt;=0,"PRESUPUESTO: SI","PRESUPUESTO: NO")</f>
        <v>PRESUPUESTO: NO</v>
      </c>
      <c r="L145" s="162">
        <f>SUMIF(PRESUPUESTO[CUENTA],EJECUTADO[[#This Row],[CUENTA]],PRESUPUESTO[MONTO])-SUMIF($F$1:F144,EJECUTADO[[#This Row],[CUENTA]],$M$1:M144)</f>
        <v>-10.63</v>
      </c>
      <c r="M145" s="2">
        <v>3759.19</v>
      </c>
      <c r="N145" s="2"/>
      <c r="O145" s="2"/>
      <c r="P145" s="162">
        <f>+EJECUTADO[[#This Row],[MONTO SOLICITADO]]-EJECUTADO[[#This Row],[RETENCION IVA]]-EJECUTADO[[#This Row],[RETENCION ISR]]</f>
        <v>3759.19</v>
      </c>
      <c r="Q145" s="84" t="s">
        <v>1000</v>
      </c>
      <c r="R145" s="2"/>
      <c r="S145">
        <v>1</v>
      </c>
      <c r="T145" s="168" t="str">
        <f t="shared" si="4"/>
        <v>SERVICIOS PUBLICOS - IMPUESTOS MUNICIPALES Disponible $-10.63 Solicitado $3759.19 PRESUPUESTO: NO</v>
      </c>
    </row>
    <row r="146" spans="1:20" ht="30" x14ac:dyDescent="0.25">
      <c r="A146" s="6">
        <f t="shared" si="5"/>
        <v>145</v>
      </c>
      <c r="B146" s="21">
        <v>45308</v>
      </c>
      <c r="C146" s="17" t="s">
        <v>1083</v>
      </c>
      <c r="D146" s="65" t="s">
        <v>1210</v>
      </c>
      <c r="E146" s="65"/>
      <c r="F146" t="s">
        <v>1084</v>
      </c>
      <c r="G146" s="161">
        <f>MONTH(EJECUTADO[[#This Row],[FECHA]])</f>
        <v>1</v>
      </c>
      <c r="H146" s="163" t="str">
        <f>MID(EJECUTADO[[#This Row],[CUENTA]],1,4)</f>
        <v>E-10</v>
      </c>
      <c r="I146" s="163" t="str">
        <f>INDEX(CATALOGO[Descripción],MATCH(EJECUTADO[[#This Row],[APLICACIÓN]]&amp;"-00-00-00",CATALOGO[Código],0))</f>
        <v>SERVICIOS PUBLICOS</v>
      </c>
      <c r="J1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146" s="161" t="str">
        <f>IF((EJECUTADO[[#This Row],[MONTO DISPONIBLE ]]-EJECUTADO[[#This Row],[MONTO SOLICITADO]])&gt;=0,"PRESUPUESTO: SI","PRESUPUESTO: NO")</f>
        <v>PRESUPUESTO: SI</v>
      </c>
      <c r="L146" s="162">
        <f>SUMIF(PRESUPUESTO[CUENTA],EJECUTADO[[#This Row],[CUENTA]],PRESUPUESTO[MONTO])-SUMIF($F$1:F145,EJECUTADO[[#This Row],[CUENTA]],$M$1:M145)</f>
        <v>85183.459999999992</v>
      </c>
      <c r="M146" s="2">
        <v>554</v>
      </c>
      <c r="N146" s="2"/>
      <c r="O146" s="2"/>
      <c r="P146" s="162">
        <f>+EJECUTADO[[#This Row],[MONTO SOLICITADO]]-EJECUTADO[[#This Row],[RETENCION IVA]]-EJECUTADO[[#This Row],[RETENCION ISR]]</f>
        <v>554</v>
      </c>
      <c r="Q146" s="84" t="s">
        <v>1000</v>
      </c>
      <c r="R146" s="2"/>
      <c r="S146">
        <v>1</v>
      </c>
      <c r="T146" s="168" t="str">
        <f t="shared" si="4"/>
        <v>SERVICIOS PUBLICOS - SERVICIO DE AGUA Disponible $85183.46 Solicitado $554 PRESUPUESTO: SI</v>
      </c>
    </row>
    <row r="147" spans="1:20" ht="30" x14ac:dyDescent="0.25">
      <c r="A147" s="6">
        <f t="shared" si="5"/>
        <v>146</v>
      </c>
      <c r="B147" s="21">
        <v>45308</v>
      </c>
      <c r="C147" s="17" t="s">
        <v>1083</v>
      </c>
      <c r="D147" s="65" t="s">
        <v>1210</v>
      </c>
      <c r="E147" s="65"/>
      <c r="F147" t="s">
        <v>1264</v>
      </c>
      <c r="G147" s="161">
        <f>MONTH(EJECUTADO[[#This Row],[FECHA]])</f>
        <v>1</v>
      </c>
      <c r="H147" s="163" t="str">
        <f>MID(EJECUTADO[[#This Row],[CUENTA]],1,4)</f>
        <v>E-13</v>
      </c>
      <c r="I147" s="163" t="str">
        <f>INDEX(CATALOGO[Descripción],MATCH(EJECUTADO[[#This Row],[APLICACIÓN]]&amp;"-00-00-00",CATALOGO[Código],0))</f>
        <v>MAESTRIAS Y POSTGRADOS</v>
      </c>
      <c r="J1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AGUA </v>
      </c>
      <c r="K147" s="161" t="str">
        <f>IF((EJECUTADO[[#This Row],[MONTO DISPONIBLE ]]-EJECUTADO[[#This Row],[MONTO SOLICITADO]])&gt;=0,"PRESUPUESTO: SI","PRESUPUESTO: NO")</f>
        <v>PRESUPUESTO: SI</v>
      </c>
      <c r="L147" s="162">
        <f>SUMIF(PRESUPUESTO[CUENTA],EJECUTADO[[#This Row],[CUENTA]],PRESUPUESTO[MONTO])-SUMIF($F$1:F146,EJECUTADO[[#This Row],[CUENTA]],$M$1:M146)</f>
        <v>7800</v>
      </c>
      <c r="M147" s="2">
        <v>888.88</v>
      </c>
      <c r="N147" s="2"/>
      <c r="O147" s="2"/>
      <c r="P147" s="162">
        <f>+EJECUTADO[[#This Row],[MONTO SOLICITADO]]-EJECUTADO[[#This Row],[RETENCION IVA]]-EJECUTADO[[#This Row],[RETENCION ISR]]</f>
        <v>888.88</v>
      </c>
      <c r="Q147" s="84" t="s">
        <v>1000</v>
      </c>
      <c r="R147" s="2"/>
      <c r="S147">
        <v>1</v>
      </c>
      <c r="T147" s="168" t="str">
        <f t="shared" si="4"/>
        <v>MAESTRIAS Y POSTGRADOS - SERVICIO DE AGUA  Disponible $7800 Solicitado $888.88 PRESUPUESTO: SI</v>
      </c>
    </row>
    <row r="148" spans="1:20" x14ac:dyDescent="0.25">
      <c r="A148" s="6">
        <f t="shared" si="5"/>
        <v>147</v>
      </c>
      <c r="B148" s="21">
        <v>45308</v>
      </c>
      <c r="C148" s="17" t="s">
        <v>1212</v>
      </c>
      <c r="D148" s="65" t="s">
        <v>1010</v>
      </c>
      <c r="E148" s="65"/>
      <c r="F148" t="s">
        <v>1265</v>
      </c>
      <c r="G148" s="161">
        <f>MONTH(EJECUTADO[[#This Row],[FECHA]])</f>
        <v>1</v>
      </c>
      <c r="H148" s="163" t="str">
        <f>MID(EJECUTADO[[#This Row],[CUENTA]],1,4)</f>
        <v>E-23</v>
      </c>
      <c r="I148" s="163" t="str">
        <f>INDEX(CATALOGO[Descripción],MATCH(EJECUTADO[[#This Row],[APLICACIÓN]]&amp;"-00-00-00",CATALOGO[Código],0))</f>
        <v>GASTOS DE VIAJE</v>
      </c>
      <c r="J1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48" s="161" t="str">
        <f>IF((EJECUTADO[[#This Row],[MONTO DISPONIBLE ]]-EJECUTADO[[#This Row],[MONTO SOLICITADO]])&gt;=0,"PRESUPUESTO: SI","PRESUPUESTO: NO")</f>
        <v>PRESUPUESTO: SI</v>
      </c>
      <c r="L148" s="162">
        <f>SUMIF(PRESUPUESTO[CUENTA],EJECUTADO[[#This Row],[CUENTA]],PRESUPUESTO[MONTO])-SUMIF($F$1:F147,EJECUTADO[[#This Row],[CUENTA]],$M$1:M147)</f>
        <v>25000</v>
      </c>
      <c r="M148" s="2">
        <v>400</v>
      </c>
      <c r="N148" s="2"/>
      <c r="O148" s="2"/>
      <c r="P148" s="162">
        <f>+EJECUTADO[[#This Row],[MONTO SOLICITADO]]-EJECUTADO[[#This Row],[RETENCION IVA]]-EJECUTADO[[#This Row],[RETENCION ISR]]</f>
        <v>400</v>
      </c>
      <c r="Q148" s="84" t="s">
        <v>1000</v>
      </c>
      <c r="R148" s="2"/>
      <c r="S148">
        <v>1</v>
      </c>
      <c r="T148" s="168" t="str">
        <f t="shared" si="4"/>
        <v>GASTOS DE VIAJE - Servicio combustible Disponible $25000 Solicitado $400 PRESUPUESTO: SI</v>
      </c>
    </row>
    <row r="149" spans="1:20" ht="30" x14ac:dyDescent="0.25">
      <c r="A149" s="6">
        <f t="shared" si="5"/>
        <v>148</v>
      </c>
      <c r="B149" s="21">
        <v>45308</v>
      </c>
      <c r="C149" s="17" t="s">
        <v>1266</v>
      </c>
      <c r="D149" s="65" t="s">
        <v>1267</v>
      </c>
      <c r="E149" s="65"/>
      <c r="F149" s="7" t="s">
        <v>1268</v>
      </c>
      <c r="G149" s="161">
        <f>MONTH(EJECUTADO[[#This Row],[FECHA]])</f>
        <v>1</v>
      </c>
      <c r="H149" s="163" t="str">
        <f>MID(EJECUTADO[[#This Row],[CUENTA]],1,4)</f>
        <v>E-13</v>
      </c>
      <c r="I149" s="163" t="str">
        <f>INDEX(CATALOGO[Descripción],MATCH(EJECUTADO[[#This Row],[APLICACIÓN]]&amp;"-00-00-00",CATALOGO[Código],0))</f>
        <v>MAESTRIAS Y POSTGRADOS</v>
      </c>
      <c r="J1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TELEFONO </v>
      </c>
      <c r="K149" s="161" t="str">
        <f>IF((EJECUTADO[[#This Row],[MONTO DISPONIBLE ]]-EJECUTADO[[#This Row],[MONTO SOLICITADO]])&gt;=0,"PRESUPUESTO: SI","PRESUPUESTO: NO")</f>
        <v>PRESUPUESTO: SI</v>
      </c>
      <c r="L149" s="162">
        <f>SUMIF(PRESUPUESTO[CUENTA],EJECUTADO[[#This Row],[CUENTA]],PRESUPUESTO[MONTO])-SUMIF($F$1:F148,EJECUTADO[[#This Row],[CUENTA]],$M$1:M148)</f>
        <v>4068</v>
      </c>
      <c r="M149" s="2">
        <v>338.99</v>
      </c>
      <c r="N149" s="2"/>
      <c r="O149" s="2"/>
      <c r="P149" s="162">
        <f>+EJECUTADO[[#This Row],[MONTO SOLICITADO]]-EJECUTADO[[#This Row],[RETENCION IVA]]-EJECUTADO[[#This Row],[RETENCION ISR]]</f>
        <v>338.99</v>
      </c>
      <c r="Q149" s="84" t="s">
        <v>1000</v>
      </c>
      <c r="R149" s="2"/>
      <c r="S149">
        <v>1</v>
      </c>
      <c r="T149" s="168" t="str">
        <f t="shared" si="4"/>
        <v>MAESTRIAS Y POSTGRADOS - SERVICIO DE TELEFONO  Disponible $4068 Solicitado $338.99 PRESUPUESTO: SI</v>
      </c>
    </row>
    <row r="150" spans="1:20" ht="30" x14ac:dyDescent="0.25">
      <c r="A150" s="6">
        <f t="shared" si="5"/>
        <v>149</v>
      </c>
      <c r="B150" s="21">
        <v>45308</v>
      </c>
      <c r="C150" s="17" t="s">
        <v>1266</v>
      </c>
      <c r="D150" s="65" t="s">
        <v>1267</v>
      </c>
      <c r="E150" s="65"/>
      <c r="F150" t="s">
        <v>1268</v>
      </c>
      <c r="G150" s="161">
        <f>MONTH(EJECUTADO[[#This Row],[FECHA]])</f>
        <v>1</v>
      </c>
      <c r="H150" s="163" t="str">
        <f>MID(EJECUTADO[[#This Row],[CUENTA]],1,4)</f>
        <v>E-13</v>
      </c>
      <c r="I150" s="163" t="str">
        <f>INDEX(CATALOGO[Descripción],MATCH(EJECUTADO[[#This Row],[APLICACIÓN]]&amp;"-00-00-00",CATALOGO[Código],0))</f>
        <v>MAESTRIAS Y POSTGRADOS</v>
      </c>
      <c r="J1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TELEFONO </v>
      </c>
      <c r="K150" s="161" t="str">
        <f>IF((EJECUTADO[[#This Row],[MONTO DISPONIBLE ]]-EJECUTADO[[#This Row],[MONTO SOLICITADO]])&gt;=0,"PRESUPUESTO: SI","PRESUPUESTO: NO")</f>
        <v>PRESUPUESTO: SI</v>
      </c>
      <c r="L150" s="162">
        <f>SUMIF(PRESUPUESTO[CUENTA],EJECUTADO[[#This Row],[CUENTA]],PRESUPUESTO[MONTO])-SUMIF($F$1:F149,EJECUTADO[[#This Row],[CUENTA]],$M$1:M149)</f>
        <v>3729.01</v>
      </c>
      <c r="M150" s="2">
        <v>338.99</v>
      </c>
      <c r="N150" s="2"/>
      <c r="O150" s="2"/>
      <c r="P150" s="162">
        <f>+EJECUTADO[[#This Row],[MONTO SOLICITADO]]-EJECUTADO[[#This Row],[RETENCION IVA]]-EJECUTADO[[#This Row],[RETENCION ISR]]</f>
        <v>338.99</v>
      </c>
      <c r="Q150" s="84" t="s">
        <v>1000</v>
      </c>
      <c r="R150" s="2"/>
      <c r="S150">
        <v>1</v>
      </c>
      <c r="T150" s="168" t="str">
        <f t="shared" si="4"/>
        <v>MAESTRIAS Y POSTGRADOS - SERVICIO DE TELEFONO  Disponible $3729.01 Solicitado $338.99 PRESUPUESTO: SI</v>
      </c>
    </row>
    <row r="151" spans="1:20" ht="30" x14ac:dyDescent="0.25">
      <c r="A151" s="6">
        <f t="shared" si="5"/>
        <v>150</v>
      </c>
      <c r="B151" s="21">
        <v>45308</v>
      </c>
      <c r="C151" s="17" t="s">
        <v>1266</v>
      </c>
      <c r="D151" s="65" t="s">
        <v>1267</v>
      </c>
      <c r="E151" s="65"/>
      <c r="F151" t="s">
        <v>1269</v>
      </c>
      <c r="G151" s="161">
        <f>MONTH(EJECUTADO[[#This Row],[FECHA]])</f>
        <v>1</v>
      </c>
      <c r="H151" s="163" t="str">
        <f>MID(EJECUTADO[[#This Row],[CUENTA]],1,4)</f>
        <v>E-24</v>
      </c>
      <c r="I151" s="163" t="str">
        <f>INDEX(CATALOGO[Descripción],MATCH(EJECUTADO[[#This Row],[APLICACIÓN]]&amp;"-00-00-00",CATALOGO[Código],0))</f>
        <v>NUEVO INGRESO</v>
      </c>
      <c r="J1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telefónico  $ 20 X 12</v>
      </c>
      <c r="K151" s="161" t="str">
        <f>IF((EJECUTADO[[#This Row],[MONTO DISPONIBLE ]]-EJECUTADO[[#This Row],[MONTO SOLICITADO]])&gt;=0,"PRESUPUESTO: SI","PRESUPUESTO: NO")</f>
        <v>PRESUPUESTO: SI</v>
      </c>
      <c r="L151" s="162">
        <f>SUMIF(PRESUPUESTO[CUENTA],EJECUTADO[[#This Row],[CUENTA]],PRESUPUESTO[MONTO])-SUMIF($F$1:F150,EJECUTADO[[#This Row],[CUENTA]],$M$1:M150)</f>
        <v>300</v>
      </c>
      <c r="M151" s="2">
        <v>17.89</v>
      </c>
      <c r="N151" s="2"/>
      <c r="O151" s="2"/>
      <c r="P151" s="162">
        <f>+EJECUTADO[[#This Row],[MONTO SOLICITADO]]-EJECUTADO[[#This Row],[RETENCION IVA]]-EJECUTADO[[#This Row],[RETENCION ISR]]</f>
        <v>17.89</v>
      </c>
      <c r="Q151" s="84" t="s">
        <v>1000</v>
      </c>
      <c r="R151" s="2"/>
      <c r="S151">
        <v>1</v>
      </c>
      <c r="T151" s="168" t="str">
        <f t="shared" si="4"/>
        <v>NUEVO INGRESO - Plaza Mundo - Servicio telefónico  $ 20 X 12 Disponible $300 Solicitado $17.89 PRESUPUESTO: SI</v>
      </c>
    </row>
    <row r="152" spans="1:20" ht="30" x14ac:dyDescent="0.25">
      <c r="A152" s="6">
        <f t="shared" si="5"/>
        <v>151</v>
      </c>
      <c r="B152" s="21">
        <v>45308</v>
      </c>
      <c r="C152" s="17" t="s">
        <v>1266</v>
      </c>
      <c r="D152" s="65" t="s">
        <v>1270</v>
      </c>
      <c r="E152" s="65"/>
      <c r="F152" t="s">
        <v>1271</v>
      </c>
      <c r="G152" s="161">
        <f>MONTH(EJECUTADO[[#This Row],[FECHA]])</f>
        <v>1</v>
      </c>
      <c r="H152" s="163" t="str">
        <f>MID(EJECUTADO[[#This Row],[CUENTA]],1,4)</f>
        <v>E-24</v>
      </c>
      <c r="I152" s="163" t="str">
        <f>INDEX(CATALOGO[Descripción],MATCH(EJECUTADO[[#This Row],[APLICACIÓN]]&amp;"-00-00-00",CATALOGO[Código],0))</f>
        <v>NUEVO INGRESO</v>
      </c>
      <c r="J1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Internet $ 203.*12</v>
      </c>
      <c r="K152" s="161" t="str">
        <f>IF((EJECUTADO[[#This Row],[MONTO DISPONIBLE ]]-EJECUTADO[[#This Row],[MONTO SOLICITADO]])&gt;=0,"PRESUPUESTO: SI","PRESUPUESTO: NO")</f>
        <v>PRESUPUESTO: SI</v>
      </c>
      <c r="L152" s="162">
        <f>SUMIF(PRESUPUESTO[CUENTA],EJECUTADO[[#This Row],[CUENTA]],PRESUPUESTO[MONTO])-SUMIF($F$1:F151,EJECUTADO[[#This Row],[CUENTA]],$M$1:M151)</f>
        <v>2436</v>
      </c>
      <c r="M152" s="2">
        <v>203.4</v>
      </c>
      <c r="N152" s="2"/>
      <c r="O152" s="2"/>
      <c r="P152" s="162">
        <f>+EJECUTADO[[#This Row],[MONTO SOLICITADO]]-EJECUTADO[[#This Row],[RETENCION IVA]]-EJECUTADO[[#This Row],[RETENCION ISR]]</f>
        <v>203.4</v>
      </c>
      <c r="Q152" s="84" t="s">
        <v>1000</v>
      </c>
      <c r="R152" s="2"/>
      <c r="S152">
        <v>1</v>
      </c>
      <c r="T152" s="168" t="str">
        <f t="shared" si="4"/>
        <v>NUEVO INGRESO - Metrocentro - Servicio Internet $ 203.*12 Disponible $2436 Solicitado $203.4 PRESUPUESTO: SI</v>
      </c>
    </row>
    <row r="153" spans="1:20" ht="30" x14ac:dyDescent="0.25">
      <c r="A153" s="6">
        <f t="shared" si="5"/>
        <v>152</v>
      </c>
      <c r="B153" s="21">
        <v>45308</v>
      </c>
      <c r="C153" s="17" t="s">
        <v>1266</v>
      </c>
      <c r="D153" s="65" t="s">
        <v>1270</v>
      </c>
      <c r="E153" s="65"/>
      <c r="F153" s="145" t="s">
        <v>1272</v>
      </c>
      <c r="G153" s="161">
        <f>MONTH(EJECUTADO[[#This Row],[FECHA]])</f>
        <v>1</v>
      </c>
      <c r="H153" s="163" t="str">
        <f>MID(EJECUTADO[[#This Row],[CUENTA]],1,4)</f>
        <v>E-24</v>
      </c>
      <c r="I153" s="163" t="str">
        <f>INDEX(CATALOGO[Descripción],MATCH(EJECUTADO[[#This Row],[APLICACIÓN]]&amp;"-00-00-00",CATALOGO[Código],0))</f>
        <v>NUEVO INGRESO</v>
      </c>
      <c r="J1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Centro de soluciones - Servicio telefónico Telefonica $ 419 x 12</v>
      </c>
      <c r="K153" s="161" t="str">
        <f>IF((EJECUTADO[[#This Row],[MONTO DISPONIBLE ]]-EJECUTADO[[#This Row],[MONTO SOLICITADO]])&gt;=0,"PRESUPUESTO: SI","PRESUPUESTO: NO")</f>
        <v>PRESUPUESTO: SI</v>
      </c>
      <c r="L153" s="162">
        <f>SUMIF(PRESUPUESTO[CUENTA],EJECUTADO[[#This Row],[CUENTA]],PRESUPUESTO[MONTO])-SUMIF($F$1:F152,EJECUTADO[[#This Row],[CUENTA]],$M$1:M152)</f>
        <v>5028</v>
      </c>
      <c r="M153" s="2">
        <v>419</v>
      </c>
      <c r="N153" s="2"/>
      <c r="O153" s="2"/>
      <c r="P153" s="162">
        <f>+EJECUTADO[[#This Row],[MONTO SOLICITADO]]-EJECUTADO[[#This Row],[RETENCION IVA]]-EJECUTADO[[#This Row],[RETENCION ISR]]</f>
        <v>419</v>
      </c>
      <c r="Q153" s="84" t="s">
        <v>1000</v>
      </c>
      <c r="R153" s="2"/>
      <c r="S153">
        <v>1</v>
      </c>
      <c r="T153" s="168" t="str">
        <f t="shared" si="4"/>
        <v>NUEVO INGRESO - Centro de soluciones - Servicio telefónico Telefonica $ 419 x 12 Disponible $5028 Solicitado $419 PRESUPUESTO: SI</v>
      </c>
    </row>
    <row r="154" spans="1:20" ht="30" x14ac:dyDescent="0.25">
      <c r="A154" s="6">
        <f t="shared" si="5"/>
        <v>153</v>
      </c>
      <c r="B154" s="21">
        <v>45308</v>
      </c>
      <c r="C154" s="17" t="s">
        <v>1266</v>
      </c>
      <c r="D154" s="65" t="s">
        <v>1270</v>
      </c>
      <c r="E154" s="65"/>
      <c r="F154" t="s">
        <v>1273</v>
      </c>
      <c r="G154" s="161">
        <f>MONTH(EJECUTADO[[#This Row],[FECHA]])</f>
        <v>1</v>
      </c>
      <c r="H154" s="163" t="str">
        <f>MID(EJECUTADO[[#This Row],[CUENTA]],1,4)</f>
        <v>E-24</v>
      </c>
      <c r="I154" s="163" t="str">
        <f>INDEX(CATALOGO[Descripción],MATCH(EJECUTADO[[#This Row],[APLICACIÓN]]&amp;"-00-00-00",CATALOGO[Código],0))</f>
        <v>NUEVO INGRESO</v>
      </c>
      <c r="J1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internet $ 203 x 12</v>
      </c>
      <c r="K154" s="161" t="str">
        <f>IF((EJECUTADO[[#This Row],[MONTO DISPONIBLE ]]-EJECUTADO[[#This Row],[MONTO SOLICITADO]])&gt;=0,"PRESUPUESTO: SI","PRESUPUESTO: NO")</f>
        <v>PRESUPUESTO: SI</v>
      </c>
      <c r="L154" s="162">
        <f>SUMIF(PRESUPUESTO[CUENTA],EJECUTADO[[#This Row],[CUENTA]],PRESUPUESTO[MONTO])-SUMIF($F$1:F153,EJECUTADO[[#This Row],[CUENTA]],$M$1:M153)</f>
        <v>2436</v>
      </c>
      <c r="M154" s="2">
        <v>203.4</v>
      </c>
      <c r="N154" s="2"/>
      <c r="O154" s="2"/>
      <c r="P154" s="162">
        <f>+EJECUTADO[[#This Row],[MONTO SOLICITADO]]-EJECUTADO[[#This Row],[RETENCION IVA]]-EJECUTADO[[#This Row],[RETENCION ISR]]</f>
        <v>203.4</v>
      </c>
      <c r="Q154" s="84" t="s">
        <v>1000</v>
      </c>
      <c r="R154" s="2"/>
      <c r="S154">
        <v>1</v>
      </c>
      <c r="T154" s="168" t="str">
        <f t="shared" si="4"/>
        <v>NUEVO INGRESO - Plaza Mundo - Servicio internet $ 203 x 12 Disponible $2436 Solicitado $203.4 PRESUPUESTO: SI</v>
      </c>
    </row>
    <row r="155" spans="1:20" ht="30" x14ac:dyDescent="0.25">
      <c r="A155" s="6">
        <f t="shared" si="5"/>
        <v>154</v>
      </c>
      <c r="B155" s="21">
        <v>45308</v>
      </c>
      <c r="C155" s="17" t="s">
        <v>1152</v>
      </c>
      <c r="D155" s="65" t="s">
        <v>1274</v>
      </c>
      <c r="E155" s="65"/>
      <c r="F155" s="147" t="s">
        <v>1275</v>
      </c>
      <c r="G155" s="161">
        <f>MONTH(EJECUTADO[[#This Row],[FECHA]])</f>
        <v>1</v>
      </c>
      <c r="H155" s="163" t="str">
        <f>MID(EJECUTADO[[#This Row],[CUENTA]],1,4)</f>
        <v>E-27</v>
      </c>
      <c r="I155" s="163" t="str">
        <f>INDEX(CATALOGO[Descripción],MATCH(EJECUTADO[[#This Row],[APLICACIÓN]]&amp;"-00-00-00",CATALOGO[Código],0))</f>
        <v>INSUMOS DE OFICINA</v>
      </c>
      <c r="J1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155" s="161" t="str">
        <f>IF((EJECUTADO[[#This Row],[MONTO DISPONIBLE ]]-EJECUTADO[[#This Row],[MONTO SOLICITADO]])&gt;=0,"PRESUPUESTO: SI","PRESUPUESTO: NO")</f>
        <v>PRESUPUESTO: SI</v>
      </c>
      <c r="L155" s="162">
        <f>SUMIF(PRESUPUESTO[CUENTA],EJECUTADO[[#This Row],[CUENTA]],PRESUPUESTO[MONTO])-SUMIF($F$1:F154,EJECUTADO[[#This Row],[CUENTA]],$M$1:M154)</f>
        <v>49200</v>
      </c>
      <c r="M155" s="2">
        <v>220</v>
      </c>
      <c r="N155" s="2"/>
      <c r="O155" s="2"/>
      <c r="P155" s="162">
        <f>+EJECUTADO[[#This Row],[MONTO SOLICITADO]]-EJECUTADO[[#This Row],[RETENCION IVA]]-EJECUTADO[[#This Row],[RETENCION ISR]]</f>
        <v>220</v>
      </c>
      <c r="Q155" s="84" t="s">
        <v>1000</v>
      </c>
      <c r="R155" s="2"/>
      <c r="S155">
        <v>1</v>
      </c>
      <c r="T155" s="168" t="str">
        <f t="shared" si="4"/>
        <v>INSUMOS DE OFICINA - PAPELERIA Y UTILES Disponible $49200 Solicitado $220 PRESUPUESTO: SI</v>
      </c>
    </row>
    <row r="156" spans="1:20" ht="30" x14ac:dyDescent="0.25">
      <c r="A156" s="6">
        <f t="shared" si="5"/>
        <v>155</v>
      </c>
      <c r="B156" s="21">
        <v>45308</v>
      </c>
      <c r="C156" s="17" t="s">
        <v>1152</v>
      </c>
      <c r="D156" s="65" t="s">
        <v>1276</v>
      </c>
      <c r="E156" s="65"/>
      <c r="F156" t="s">
        <v>1275</v>
      </c>
      <c r="G156" s="161">
        <f>MONTH(EJECUTADO[[#This Row],[FECHA]])</f>
        <v>1</v>
      </c>
      <c r="H156" s="163" t="str">
        <f>MID(EJECUTADO[[#This Row],[CUENTA]],1,4)</f>
        <v>E-27</v>
      </c>
      <c r="I156" s="163" t="str">
        <f>INDEX(CATALOGO[Descripción],MATCH(EJECUTADO[[#This Row],[APLICACIÓN]]&amp;"-00-00-00",CATALOGO[Código],0))</f>
        <v>INSUMOS DE OFICINA</v>
      </c>
      <c r="J1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156" s="161" t="str">
        <f>IF((EJECUTADO[[#This Row],[MONTO DISPONIBLE ]]-EJECUTADO[[#This Row],[MONTO SOLICITADO]])&gt;=0,"PRESUPUESTO: SI","PRESUPUESTO: NO")</f>
        <v>PRESUPUESTO: SI</v>
      </c>
      <c r="L156" s="162">
        <f>SUMIF(PRESUPUESTO[CUENTA],EJECUTADO[[#This Row],[CUENTA]],PRESUPUESTO[MONTO])-SUMIF($F$1:F155,EJECUTADO[[#This Row],[CUENTA]],$M$1:M155)</f>
        <v>48980</v>
      </c>
      <c r="M156" s="2">
        <v>571.20000000000005</v>
      </c>
      <c r="N156" s="2"/>
      <c r="O156" s="2"/>
      <c r="P156" s="162">
        <f>+EJECUTADO[[#This Row],[MONTO SOLICITADO]]-EJECUTADO[[#This Row],[RETENCION IVA]]-EJECUTADO[[#This Row],[RETENCION ISR]]</f>
        <v>571.20000000000005</v>
      </c>
      <c r="Q156" s="84" t="s">
        <v>1000</v>
      </c>
      <c r="R156" s="2"/>
      <c r="S156">
        <v>1</v>
      </c>
      <c r="T156" s="168" t="str">
        <f t="shared" si="4"/>
        <v>INSUMOS DE OFICINA - PAPELERIA Y UTILES Disponible $48980 Solicitado $571.2 PRESUPUESTO: SI</v>
      </c>
    </row>
    <row r="157" spans="1:20" s="117" customFormat="1" ht="75" x14ac:dyDescent="0.25">
      <c r="A157" s="115">
        <f t="shared" si="5"/>
        <v>156</v>
      </c>
      <c r="B157" s="118">
        <v>45308</v>
      </c>
      <c r="C157" s="160" t="s">
        <v>1277</v>
      </c>
      <c r="D157" s="116" t="s">
        <v>1278</v>
      </c>
      <c r="E157" s="116"/>
      <c r="F157" s="117" t="s">
        <v>1219</v>
      </c>
      <c r="G157" s="161">
        <f>MONTH(EJECUTADO[[#This Row],[FECHA]])</f>
        <v>1</v>
      </c>
      <c r="H157" s="163" t="str">
        <f>MID(EJECUTADO[[#This Row],[CUENTA]],1,4)</f>
        <v>E-33</v>
      </c>
      <c r="I157" s="163" t="str">
        <f>INDEX(CATALOGO[Descripción],MATCH(EJECUTADO[[#This Row],[APLICACIÓN]]&amp;"-00-00-00",CATALOGO[Código],0))</f>
        <v xml:space="preserve">PROVEEDORES </v>
      </c>
      <c r="J1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57" s="161" t="str">
        <f>IF((EJECUTADO[[#This Row],[MONTO DISPONIBLE ]]-EJECUTADO[[#This Row],[MONTO SOLICITADO]])&gt;=0,"PRESUPUESTO: SI","PRESUPUESTO: NO")</f>
        <v>PRESUPUESTO: SI</v>
      </c>
      <c r="L157" s="162">
        <f>SUMIF(PRESUPUESTO[CUENTA],EJECUTADO[[#This Row],[CUENTA]],PRESUPUESTO[MONTO])-SUMIF($F$1:F156,EJECUTADO[[#This Row],[CUENTA]],$M$1:M156)</f>
        <v>99937.85</v>
      </c>
      <c r="M157" s="119">
        <v>1700</v>
      </c>
      <c r="N157" s="119"/>
      <c r="O157" s="119"/>
      <c r="P157" s="165">
        <f>+EJECUTADO[[#This Row],[MONTO SOLICITADO]]-EJECUTADO[[#This Row],[RETENCION IVA]]-EJECUTADO[[#This Row],[RETENCION ISR]]</f>
        <v>1700</v>
      </c>
      <c r="Q157" s="120" t="s">
        <v>1000</v>
      </c>
      <c r="R157" s="119"/>
      <c r="S157" s="117">
        <v>1</v>
      </c>
      <c r="T157" s="168" t="str">
        <f t="shared" si="4"/>
        <v>PROVEEDORES  - OTROS Disponible $99937.85 Solicitado $1700 PRESUPUESTO: SI</v>
      </c>
    </row>
    <row r="158" spans="1:20" ht="45" x14ac:dyDescent="0.25">
      <c r="A158" s="6">
        <f t="shared" si="5"/>
        <v>157</v>
      </c>
      <c r="B158" s="21">
        <v>45310</v>
      </c>
      <c r="C158" s="17" t="s">
        <v>1279</v>
      </c>
      <c r="D158" s="65" t="s">
        <v>1280</v>
      </c>
      <c r="E158" s="65"/>
      <c r="F158" t="s">
        <v>1281</v>
      </c>
      <c r="G158" s="161">
        <f>MONTH(EJECUTADO[[#This Row],[FECHA]])</f>
        <v>1</v>
      </c>
      <c r="H158" s="163" t="str">
        <f>MID(EJECUTADO[[#This Row],[CUENTA]],1,4)</f>
        <v>E-03</v>
      </c>
      <c r="I158" s="163" t="str">
        <f>INDEX(CATALOGO[Descripción],MATCH(EJECUTADO[[#This Row],[APLICACIÓN]]&amp;"-00-00-00",CATALOGO[Código],0))</f>
        <v>SUELDOS ADMINISTRATIVOS</v>
      </c>
      <c r="J1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58" s="161" t="str">
        <f>IF((EJECUTADO[[#This Row],[MONTO DISPONIBLE ]]-EJECUTADO[[#This Row],[MONTO SOLICITADO]])&gt;=0,"PRESUPUESTO: SI","PRESUPUESTO: NO")</f>
        <v>PRESUPUESTO: SI</v>
      </c>
      <c r="L158" s="162">
        <f>SUMIF(PRESUPUESTO[CUENTA],EJECUTADO[[#This Row],[CUENTA]],PRESUPUESTO[MONTO])-SUMIF($F$1:F157,EJECUTADO[[#This Row],[CUENTA]],$M$1:M157)</f>
        <v>320000</v>
      </c>
      <c r="M158" s="2">
        <v>275</v>
      </c>
      <c r="N158" s="2"/>
      <c r="O158" s="2"/>
      <c r="P158" s="162">
        <f>+EJECUTADO[[#This Row],[MONTO SOLICITADO]]-EJECUTADO[[#This Row],[RETENCION IVA]]-EJECUTADO[[#This Row],[RETENCION ISR]]</f>
        <v>275</v>
      </c>
      <c r="Q158" s="84" t="s">
        <v>1000</v>
      </c>
      <c r="R158" s="2"/>
      <c r="S158">
        <v>1</v>
      </c>
      <c r="T158" s="168" t="str">
        <f t="shared" si="4"/>
        <v>SUELDOS ADMINISTRATIVOS - SUELDOS Y SALARIOS VICERRECTORÍA FINANCIERA  Disponible $320000 Solicitado $275 PRESUPUESTO: SI</v>
      </c>
    </row>
    <row r="159" spans="1:20" ht="45" x14ac:dyDescent="0.25">
      <c r="A159" s="6">
        <f t="shared" si="5"/>
        <v>158</v>
      </c>
      <c r="B159" s="21">
        <v>45310</v>
      </c>
      <c r="C159" s="17" t="s">
        <v>1282</v>
      </c>
      <c r="D159" s="65" t="s">
        <v>1280</v>
      </c>
      <c r="E159" s="65"/>
      <c r="F159" t="s">
        <v>1281</v>
      </c>
      <c r="G159" s="161">
        <f>MONTH(EJECUTADO[[#This Row],[FECHA]])</f>
        <v>1</v>
      </c>
      <c r="H159" s="163" t="str">
        <f>MID(EJECUTADO[[#This Row],[CUENTA]],1,4)</f>
        <v>E-03</v>
      </c>
      <c r="I159" s="163" t="str">
        <f>INDEX(CATALOGO[Descripción],MATCH(EJECUTADO[[#This Row],[APLICACIÓN]]&amp;"-00-00-00",CATALOGO[Código],0))</f>
        <v>SUELDOS ADMINISTRATIVOS</v>
      </c>
      <c r="J1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59" s="161" t="str">
        <f>IF((EJECUTADO[[#This Row],[MONTO DISPONIBLE ]]-EJECUTADO[[#This Row],[MONTO SOLICITADO]])&gt;=0,"PRESUPUESTO: SI","PRESUPUESTO: NO")</f>
        <v>PRESUPUESTO: SI</v>
      </c>
      <c r="L159" s="162">
        <f>SUMIF(PRESUPUESTO[CUENTA],EJECUTADO[[#This Row],[CUENTA]],PRESUPUESTO[MONTO])-SUMIF($F$1:F158,EJECUTADO[[#This Row],[CUENTA]],$M$1:M158)</f>
        <v>319725</v>
      </c>
      <c r="M159" s="2">
        <v>275</v>
      </c>
      <c r="N159" s="2"/>
      <c r="O159" s="2"/>
      <c r="P159" s="162">
        <f>+EJECUTADO[[#This Row],[MONTO SOLICITADO]]-EJECUTADO[[#This Row],[RETENCION IVA]]-EJECUTADO[[#This Row],[RETENCION ISR]]</f>
        <v>275</v>
      </c>
      <c r="Q159" s="84" t="s">
        <v>1000</v>
      </c>
      <c r="R159" s="2"/>
      <c r="S159">
        <v>1</v>
      </c>
      <c r="T159" s="168" t="str">
        <f t="shared" si="4"/>
        <v>SUELDOS ADMINISTRATIVOS - SUELDOS Y SALARIOS VICERRECTORÍA FINANCIERA  Disponible $319725 Solicitado $275 PRESUPUESTO: SI</v>
      </c>
    </row>
    <row r="160" spans="1:20" ht="30" x14ac:dyDescent="0.25">
      <c r="A160" s="6">
        <f t="shared" si="5"/>
        <v>159</v>
      </c>
      <c r="B160" s="21">
        <v>45310</v>
      </c>
      <c r="C160" s="17" t="s">
        <v>1263</v>
      </c>
      <c r="D160" s="65" t="s">
        <v>248</v>
      </c>
      <c r="E160" s="65"/>
      <c r="F160" t="s">
        <v>1283</v>
      </c>
      <c r="G160" s="161">
        <f>MONTH(EJECUTADO[[#This Row],[FECHA]])</f>
        <v>1</v>
      </c>
      <c r="H160" s="163" t="str">
        <f>MID(EJECUTADO[[#This Row],[CUENTA]],1,4)</f>
        <v>E-24</v>
      </c>
      <c r="I160" s="163" t="str">
        <f>INDEX(CATALOGO[Descripción],MATCH(EJECUTADO[[#This Row],[APLICACIÓN]]&amp;"-00-00-00",CATALOGO[Código],0))</f>
        <v>NUEVO INGRESO</v>
      </c>
      <c r="J1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Fumigación</v>
      </c>
      <c r="K160" s="161" t="str">
        <f>IF((EJECUTADO[[#This Row],[MONTO DISPONIBLE ]]-EJECUTADO[[#This Row],[MONTO SOLICITADO]])&gt;=0,"PRESUPUESTO: SI","PRESUPUESTO: NO")</f>
        <v>PRESUPUESTO: SI</v>
      </c>
      <c r="L160" s="162">
        <f>SUMIF(PRESUPUESTO[CUENTA],EJECUTADO[[#This Row],[CUENTA]],PRESUPUESTO[MONTO])-SUMIF($F$1:F159,EJECUTADO[[#This Row],[CUENTA]],$M$1:M159)</f>
        <v>660</v>
      </c>
      <c r="M160" s="2">
        <v>250</v>
      </c>
      <c r="N160" s="2"/>
      <c r="O160" s="2"/>
      <c r="P160" s="162">
        <f>+EJECUTADO[[#This Row],[MONTO SOLICITADO]]-EJECUTADO[[#This Row],[RETENCION IVA]]-EJECUTADO[[#This Row],[RETENCION ISR]]</f>
        <v>250</v>
      </c>
      <c r="Q160" s="84" t="s">
        <v>1000</v>
      </c>
      <c r="R160" s="2"/>
      <c r="S160">
        <v>1</v>
      </c>
      <c r="T160" s="168" t="str">
        <f t="shared" si="4"/>
        <v>NUEVO INGRESO - Plaza Mundo - Fumigación Disponible $660 Solicitado $250 PRESUPUESTO: SI</v>
      </c>
    </row>
    <row r="161" spans="1:20" x14ac:dyDescent="0.25">
      <c r="A161" s="6">
        <f t="shared" si="5"/>
        <v>160</v>
      </c>
      <c r="B161" s="21">
        <v>45310</v>
      </c>
      <c r="C161" s="17" t="s">
        <v>1079</v>
      </c>
      <c r="D161" s="65" t="s">
        <v>1080</v>
      </c>
      <c r="E161" s="65"/>
      <c r="F161" t="s">
        <v>1081</v>
      </c>
      <c r="G161" s="161">
        <f>MONTH(EJECUTADO[[#This Row],[FECHA]])</f>
        <v>1</v>
      </c>
      <c r="H161" s="163" t="str">
        <f>MID(EJECUTADO[[#This Row],[CUENTA]],1,4)</f>
        <v>E-10</v>
      </c>
      <c r="I161" s="163" t="str">
        <f>INDEX(CATALOGO[Descripción],MATCH(EJECUTADO[[#This Row],[APLICACIÓN]]&amp;"-00-00-00",CATALOGO[Código],0))</f>
        <v>SERVICIOS PUBLICOS</v>
      </c>
      <c r="J1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61" s="161" t="str">
        <f>IF((EJECUTADO[[#This Row],[MONTO DISPONIBLE ]]-EJECUTADO[[#This Row],[MONTO SOLICITADO]])&gt;=0,"PRESUPUESTO: SI","PRESUPUESTO: NO")</f>
        <v>PRESUPUESTO: SI</v>
      </c>
      <c r="L161" s="162">
        <f>SUMIF(PRESUPUESTO[CUENTA],EJECUTADO[[#This Row],[CUENTA]],PRESUPUESTO[MONTO])-SUMIF($F$1:F160,EJECUTADO[[#This Row],[CUENTA]],$M$1:M160)</f>
        <v>352581.75</v>
      </c>
      <c r="M161" s="2">
        <v>8410.49</v>
      </c>
      <c r="N161" s="2"/>
      <c r="O161" s="2"/>
      <c r="P161" s="162">
        <f>+EJECUTADO[[#This Row],[MONTO SOLICITADO]]-EJECUTADO[[#This Row],[RETENCION IVA]]-EJECUTADO[[#This Row],[RETENCION ISR]]</f>
        <v>8410.49</v>
      </c>
      <c r="Q161" s="84" t="s">
        <v>1000</v>
      </c>
      <c r="R161" s="2"/>
      <c r="S161">
        <v>1</v>
      </c>
      <c r="T161" s="168" t="str">
        <f t="shared" si="4"/>
        <v>SERVICIOS PUBLICOS - ENERGÍA ELÉCTRICA Disponible $352581.75 Solicitado $8410.49 PRESUPUESTO: SI</v>
      </c>
    </row>
    <row r="162" spans="1:20" ht="30" x14ac:dyDescent="0.25">
      <c r="A162" s="6">
        <f t="shared" si="5"/>
        <v>161</v>
      </c>
      <c r="B162" s="21">
        <v>45310</v>
      </c>
      <c r="C162" s="17" t="s">
        <v>1079</v>
      </c>
      <c r="D162" s="65" t="s">
        <v>248</v>
      </c>
      <c r="E162" s="65"/>
      <c r="F162" t="s">
        <v>1119</v>
      </c>
      <c r="G162" s="161">
        <f>MONTH(EJECUTADO[[#This Row],[FECHA]])</f>
        <v>1</v>
      </c>
      <c r="H162" s="163" t="str">
        <f>MID(EJECUTADO[[#This Row],[CUENTA]],1,4)</f>
        <v>E-10</v>
      </c>
      <c r="I162" s="163" t="str">
        <f>INDEX(CATALOGO[Descripción],MATCH(EJECUTADO[[#This Row],[APLICACIÓN]]&amp;"-00-00-00",CATALOGO[Código],0))</f>
        <v>SERVICIOS PUBLICOS</v>
      </c>
      <c r="J1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162" s="161" t="str">
        <f>IF((EJECUTADO[[#This Row],[MONTO DISPONIBLE ]]-EJECUTADO[[#This Row],[MONTO SOLICITADO]])&gt;=0,"PRESUPUESTO: SI","PRESUPUESTO: NO")</f>
        <v>PRESUPUESTO: NO</v>
      </c>
      <c r="L162" s="162">
        <f>SUMIF(PRESUPUESTO[CUENTA],EJECUTADO[[#This Row],[CUENTA]],PRESUPUESTO[MONTO])-SUMIF($F$1:F161,EJECUTADO[[#This Row],[CUENTA]],$M$1:M161)</f>
        <v>-3769.82</v>
      </c>
      <c r="M162" s="2">
        <v>1723.35</v>
      </c>
      <c r="N162" s="2"/>
      <c r="O162" s="2"/>
      <c r="P162" s="162">
        <f>+EJECUTADO[[#This Row],[MONTO SOLICITADO]]-EJECUTADO[[#This Row],[RETENCION IVA]]-EJECUTADO[[#This Row],[RETENCION ISR]]</f>
        <v>1723.35</v>
      </c>
      <c r="Q162" s="84" t="s">
        <v>1000</v>
      </c>
      <c r="R162" s="2"/>
      <c r="S162">
        <v>1</v>
      </c>
      <c r="T162" s="168" t="str">
        <f t="shared" si="4"/>
        <v>SERVICIOS PUBLICOS - IMPUESTOS MUNICIPALES Disponible $-3769.82 Solicitado $1723.35 PRESUPUESTO: NO</v>
      </c>
    </row>
    <row r="163" spans="1:20" x14ac:dyDescent="0.25">
      <c r="A163" s="6">
        <f t="shared" si="5"/>
        <v>162</v>
      </c>
      <c r="B163" s="21">
        <v>45310</v>
      </c>
      <c r="C163" s="17" t="s">
        <v>1284</v>
      </c>
      <c r="D163" s="65" t="s">
        <v>1285</v>
      </c>
      <c r="E163" s="65"/>
      <c r="F163" t="s">
        <v>1286</v>
      </c>
      <c r="G163" s="161">
        <f>MONTH(EJECUTADO[[#This Row],[FECHA]])</f>
        <v>1</v>
      </c>
      <c r="H163" s="163" t="str">
        <f>MID(EJECUTADO[[#This Row],[CUENTA]],1,4)</f>
        <v>E-09</v>
      </c>
      <c r="I163" s="163" t="str">
        <f>INDEX(CATALOGO[Descripción],MATCH(EJECUTADO[[#This Row],[APLICACIÓN]]&amp;"-00-00-00",CATALOGO[Código],0))</f>
        <v>PRESTACIONES AL PERSONAL</v>
      </c>
      <c r="J1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63" s="161" t="str">
        <f>IF((EJECUTADO[[#This Row],[MONTO DISPONIBLE ]]-EJECUTADO[[#This Row],[MONTO SOLICITADO]])&gt;=0,"PRESUPUESTO: SI","PRESUPUESTO: NO")</f>
        <v>PRESUPUESTO: SI</v>
      </c>
      <c r="L163" s="162">
        <f>SUMIF(PRESUPUESTO[CUENTA],EJECUTADO[[#This Row],[CUENTA]],PRESUPUESTO[MONTO])-SUMIF($F$1:F162,EJECUTADO[[#This Row],[CUENTA]],$M$1:M162)</f>
        <v>25000</v>
      </c>
      <c r="M163" s="2">
        <v>1511.37</v>
      </c>
      <c r="N163" s="2"/>
      <c r="O163" s="2"/>
      <c r="P163" s="162">
        <f>+EJECUTADO[[#This Row],[MONTO SOLICITADO]]-EJECUTADO[[#This Row],[RETENCION IVA]]-EJECUTADO[[#This Row],[RETENCION ISR]]</f>
        <v>1511.37</v>
      </c>
      <c r="Q163" s="84" t="s">
        <v>1000</v>
      </c>
      <c r="R163" s="2"/>
      <c r="S163">
        <v>1</v>
      </c>
      <c r="T163" s="168" t="str">
        <f t="shared" si="4"/>
        <v>PRESTACIONES AL PERSONAL - Cuotas Clubes Sociales Disponible $25000 Solicitado $1511.37 PRESUPUESTO: SI</v>
      </c>
    </row>
    <row r="164" spans="1:20" ht="90" x14ac:dyDescent="0.25">
      <c r="A164" s="6">
        <f t="shared" si="5"/>
        <v>163</v>
      </c>
      <c r="B164" s="21">
        <v>45310</v>
      </c>
      <c r="C164" s="123" t="s">
        <v>1284</v>
      </c>
      <c r="D164" s="63" t="s">
        <v>1287</v>
      </c>
      <c r="E164" s="63"/>
      <c r="F164" t="s">
        <v>1180</v>
      </c>
      <c r="G164" s="161">
        <f>MONTH(EJECUTADO[[#This Row],[FECHA]])</f>
        <v>1</v>
      </c>
      <c r="H164" s="163" t="str">
        <f>MID(EJECUTADO[[#This Row],[CUENTA]],1,4)</f>
        <v>E-08</v>
      </c>
      <c r="I164" s="163" t="str">
        <f>INDEX(CATALOGO[Descripción],MATCH(EJECUTADO[[#This Row],[APLICACIÓN]]&amp;"-00-00-00",CATALOGO[Código],0))</f>
        <v>INVERSIONES Y PROYECTOS ESPECIALES</v>
      </c>
      <c r="J1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164" s="161" t="str">
        <f>IF((EJECUTADO[[#This Row],[MONTO DISPONIBLE ]]-EJECUTADO[[#This Row],[MONTO SOLICITADO]])&gt;=0,"PRESUPUESTO: SI","PRESUPUESTO: NO")</f>
        <v>PRESUPUESTO: NO</v>
      </c>
      <c r="L164" s="162">
        <f>SUMIF(PRESUPUESTO[CUENTA],EJECUTADO[[#This Row],[CUENTA]],PRESUPUESTO[MONTO])-SUMIF($F$1:F163,EJECUTADO[[#This Row],[CUENTA]],$M$1:M163)</f>
        <v>-74.16</v>
      </c>
      <c r="M164" s="19">
        <v>326.25</v>
      </c>
      <c r="N164" s="19"/>
      <c r="O164" s="19"/>
      <c r="P164" s="162">
        <f>+EJECUTADO[[#This Row],[MONTO SOLICITADO]]-EJECUTADO[[#This Row],[RETENCION IVA]]-EJECUTADO[[#This Row],[RETENCION ISR]]</f>
        <v>326.25</v>
      </c>
      <c r="Q164" s="84" t="s">
        <v>1000</v>
      </c>
      <c r="R164" s="19"/>
      <c r="S164">
        <v>1</v>
      </c>
      <c r="T164" s="168" t="str">
        <f t="shared" si="4"/>
        <v>INVERSIONES Y PROYECTOS ESPECIALES - LA CUENTA SELECCIONADA NO PERMITE MOVIMIENTO Disponible $-74.16 Solicitado $326.25 PRESUPUESTO: NO</v>
      </c>
    </row>
    <row r="165" spans="1:20" ht="30" x14ac:dyDescent="0.25">
      <c r="A165" s="6">
        <f t="shared" si="5"/>
        <v>164</v>
      </c>
      <c r="B165" s="21">
        <v>45310</v>
      </c>
      <c r="C165" s="17" t="s">
        <v>1288</v>
      </c>
      <c r="D165" s="65" t="s">
        <v>1285</v>
      </c>
      <c r="E165" s="65"/>
      <c r="F165" t="s">
        <v>1286</v>
      </c>
      <c r="G165" s="161">
        <f>MONTH(EJECUTADO[[#This Row],[FECHA]])</f>
        <v>1</v>
      </c>
      <c r="H165" s="163" t="str">
        <f>MID(EJECUTADO[[#This Row],[CUENTA]],1,4)</f>
        <v>E-09</v>
      </c>
      <c r="I165" s="163" t="str">
        <f>INDEX(CATALOGO[Descripción],MATCH(EJECUTADO[[#This Row],[APLICACIÓN]]&amp;"-00-00-00",CATALOGO[Código],0))</f>
        <v>PRESTACIONES AL PERSONAL</v>
      </c>
      <c r="J1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65" s="161" t="str">
        <f>IF((EJECUTADO[[#This Row],[MONTO DISPONIBLE ]]-EJECUTADO[[#This Row],[MONTO SOLICITADO]])&gt;=0,"PRESUPUESTO: SI","PRESUPUESTO: NO")</f>
        <v>PRESUPUESTO: SI</v>
      </c>
      <c r="L165" s="162">
        <f>SUMIF(PRESUPUESTO[CUENTA],EJECUTADO[[#This Row],[CUENTA]],PRESUPUESTO[MONTO])-SUMIF($F$1:F164,EJECUTADO[[#This Row],[CUENTA]],$M$1:M164)</f>
        <v>23488.63</v>
      </c>
      <c r="M165" s="2">
        <v>300</v>
      </c>
      <c r="N165" s="2"/>
      <c r="O165" s="2"/>
      <c r="P165" s="162">
        <f>+EJECUTADO[[#This Row],[MONTO SOLICITADO]]-EJECUTADO[[#This Row],[RETENCION IVA]]-EJECUTADO[[#This Row],[RETENCION ISR]]</f>
        <v>300</v>
      </c>
      <c r="Q165" s="84" t="s">
        <v>1000</v>
      </c>
      <c r="R165" s="2"/>
      <c r="S165">
        <v>1</v>
      </c>
      <c r="T165" s="168" t="str">
        <f t="shared" si="4"/>
        <v>PRESTACIONES AL PERSONAL - Cuotas Clubes Sociales Disponible $23488.63 Solicitado $300 PRESUPUESTO: SI</v>
      </c>
    </row>
    <row r="166" spans="1:20" x14ac:dyDescent="0.25">
      <c r="A166" s="6">
        <f t="shared" si="5"/>
        <v>165</v>
      </c>
      <c r="B166" s="21">
        <v>45310</v>
      </c>
      <c r="C166" s="17" t="s">
        <v>1289</v>
      </c>
      <c r="D166" s="65" t="s">
        <v>1285</v>
      </c>
      <c r="E166" s="65"/>
      <c r="F166" t="s">
        <v>1286</v>
      </c>
      <c r="G166" s="161">
        <f>MONTH(EJECUTADO[[#This Row],[FECHA]])</f>
        <v>1</v>
      </c>
      <c r="H166" s="163" t="str">
        <f>MID(EJECUTADO[[#This Row],[CUENTA]],1,4)</f>
        <v>E-09</v>
      </c>
      <c r="I166" s="163" t="str">
        <f>INDEX(CATALOGO[Descripción],MATCH(EJECUTADO[[#This Row],[APLICACIÓN]]&amp;"-00-00-00",CATALOGO[Código],0))</f>
        <v>PRESTACIONES AL PERSONAL</v>
      </c>
      <c r="J1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66" s="161" t="str">
        <f>IF((EJECUTADO[[#This Row],[MONTO DISPONIBLE ]]-EJECUTADO[[#This Row],[MONTO SOLICITADO]])&gt;=0,"PRESUPUESTO: SI","PRESUPUESTO: NO")</f>
        <v>PRESUPUESTO: SI</v>
      </c>
      <c r="L166" s="162">
        <f>SUMIF(PRESUPUESTO[CUENTA],EJECUTADO[[#This Row],[CUENTA]],PRESUPUESTO[MONTO])-SUMIF($F$1:F165,EJECUTADO[[#This Row],[CUENTA]],$M$1:M165)</f>
        <v>23188.63</v>
      </c>
      <c r="M166" s="2">
        <v>500</v>
      </c>
      <c r="N166" s="2"/>
      <c r="O166" s="2"/>
      <c r="P166" s="162">
        <f>+EJECUTADO[[#This Row],[MONTO SOLICITADO]]-EJECUTADO[[#This Row],[RETENCION IVA]]-EJECUTADO[[#This Row],[RETENCION ISR]]</f>
        <v>500</v>
      </c>
      <c r="Q166" s="84" t="s">
        <v>1000</v>
      </c>
      <c r="R166" s="2"/>
      <c r="S166">
        <v>1</v>
      </c>
      <c r="T166" s="168" t="str">
        <f t="shared" si="4"/>
        <v>PRESTACIONES AL PERSONAL - Cuotas Clubes Sociales Disponible $23188.63 Solicitado $500 PRESUPUESTO: SI</v>
      </c>
    </row>
    <row r="167" spans="1:20" x14ac:dyDescent="0.25">
      <c r="A167" s="6">
        <f t="shared" si="5"/>
        <v>166</v>
      </c>
      <c r="B167" s="21">
        <v>45310</v>
      </c>
      <c r="C167" s="17" t="s">
        <v>1289</v>
      </c>
      <c r="D167" s="65" t="s">
        <v>1285</v>
      </c>
      <c r="E167" s="65"/>
      <c r="F167" t="s">
        <v>1286</v>
      </c>
      <c r="G167" s="161">
        <f>MONTH(EJECUTADO[[#This Row],[FECHA]])</f>
        <v>1</v>
      </c>
      <c r="H167" s="163" t="str">
        <f>MID(EJECUTADO[[#This Row],[CUENTA]],1,4)</f>
        <v>E-09</v>
      </c>
      <c r="I167" s="163" t="str">
        <f>INDEX(CATALOGO[Descripción],MATCH(EJECUTADO[[#This Row],[APLICACIÓN]]&amp;"-00-00-00",CATALOGO[Código],0))</f>
        <v>PRESTACIONES AL PERSONAL</v>
      </c>
      <c r="J1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67" s="161" t="str">
        <f>IF((EJECUTADO[[#This Row],[MONTO DISPONIBLE ]]-EJECUTADO[[#This Row],[MONTO SOLICITADO]])&gt;=0,"PRESUPUESTO: SI","PRESUPUESTO: NO")</f>
        <v>PRESUPUESTO: SI</v>
      </c>
      <c r="L167" s="162">
        <f>SUMIF(PRESUPUESTO[CUENTA],EJECUTADO[[#This Row],[CUENTA]],PRESUPUESTO[MONTO])-SUMIF($F$1:F166,EJECUTADO[[#This Row],[CUENTA]],$M$1:M166)</f>
        <v>22688.63</v>
      </c>
      <c r="M167" s="2">
        <v>100</v>
      </c>
      <c r="N167" s="2"/>
      <c r="O167" s="2"/>
      <c r="P167" s="162">
        <f>+EJECUTADO[[#This Row],[MONTO SOLICITADO]]-EJECUTADO[[#This Row],[RETENCION IVA]]-EJECUTADO[[#This Row],[RETENCION ISR]]</f>
        <v>100</v>
      </c>
      <c r="Q167" s="84" t="s">
        <v>1000</v>
      </c>
      <c r="R167" s="2"/>
      <c r="S167">
        <v>1</v>
      </c>
      <c r="T167" s="168" t="str">
        <f t="shared" si="4"/>
        <v>PRESTACIONES AL PERSONAL - Cuotas Clubes Sociales Disponible $22688.63 Solicitado $100 PRESUPUESTO: SI</v>
      </c>
    </row>
    <row r="168" spans="1:20" ht="30" x14ac:dyDescent="0.25">
      <c r="A168" s="6">
        <f t="shared" si="5"/>
        <v>167</v>
      </c>
      <c r="B168" s="21">
        <v>45310</v>
      </c>
      <c r="C168" s="17" t="s">
        <v>1016</v>
      </c>
      <c r="D168" s="65" t="s">
        <v>1223</v>
      </c>
      <c r="E168" s="65"/>
      <c r="F168" t="s">
        <v>1017</v>
      </c>
      <c r="G168" s="161">
        <f>MONTH(EJECUTADO[[#This Row],[FECHA]])</f>
        <v>1</v>
      </c>
      <c r="H168" s="163" t="str">
        <f>MID(EJECUTADO[[#This Row],[CUENTA]],1,4)</f>
        <v>E-31</v>
      </c>
      <c r="I168" s="163" t="str">
        <f>INDEX(CATALOGO[Descripción],MATCH(EJECUTADO[[#This Row],[APLICACIÓN]]&amp;"-00-00-00",CATALOGO[Código],0))</f>
        <v>DONACIONES</v>
      </c>
      <c r="J1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168" s="161" t="str">
        <f>IF((EJECUTADO[[#This Row],[MONTO DISPONIBLE ]]-EJECUTADO[[#This Row],[MONTO SOLICITADO]])&gt;=0,"PRESUPUESTO: SI","PRESUPUESTO: NO")</f>
        <v>PRESUPUESTO: SI</v>
      </c>
      <c r="L168" s="162">
        <f>SUMIF(PRESUPUESTO[CUENTA],EJECUTADO[[#This Row],[CUENTA]],PRESUPUESTO[MONTO])-SUMIF($F$1:F167,EJECUTADO[[#This Row],[CUENTA]],$M$1:M167)</f>
        <v>5500</v>
      </c>
      <c r="M168" s="2">
        <v>500</v>
      </c>
      <c r="N168" s="2"/>
      <c r="O168" s="2"/>
      <c r="P168" s="162">
        <f>+EJECUTADO[[#This Row],[MONTO SOLICITADO]]-EJECUTADO[[#This Row],[RETENCION IVA]]-EJECUTADO[[#This Row],[RETENCION ISR]]</f>
        <v>500</v>
      </c>
      <c r="Q168" s="84" t="s">
        <v>1000</v>
      </c>
      <c r="R168" s="2"/>
      <c r="S168">
        <v>1</v>
      </c>
      <c r="T168" s="168" t="str">
        <f t="shared" si="4"/>
        <v>DONACIONES - Academia  Salvadoreña de la Lengua Disponible $5500 Solicitado $500 PRESUPUESTO: SI</v>
      </c>
    </row>
    <row r="169" spans="1:20" ht="30" x14ac:dyDescent="0.25">
      <c r="A169" s="6">
        <f t="shared" si="5"/>
        <v>168</v>
      </c>
      <c r="B169" s="21">
        <v>45310</v>
      </c>
      <c r="C169" s="17" t="s">
        <v>1290</v>
      </c>
      <c r="D169" s="65" t="s">
        <v>1223</v>
      </c>
      <c r="E169" s="65"/>
      <c r="F169" t="s">
        <v>1291</v>
      </c>
      <c r="G169" s="161">
        <f>MONTH(EJECUTADO[[#This Row],[FECHA]])</f>
        <v>1</v>
      </c>
      <c r="H169" s="163" t="str">
        <f>MID(EJECUTADO[[#This Row],[CUENTA]],1,4)</f>
        <v>E-31</v>
      </c>
      <c r="I169" s="163" t="str">
        <f>INDEX(CATALOGO[Descripción],MATCH(EJECUTADO[[#This Row],[APLICACIÓN]]&amp;"-00-00-00",CATALOGO[Código],0))</f>
        <v>DONACIONES</v>
      </c>
      <c r="J1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Historia</v>
      </c>
      <c r="K169" s="161" t="str">
        <f>IF((EJECUTADO[[#This Row],[MONTO DISPONIBLE ]]-EJECUTADO[[#This Row],[MONTO SOLICITADO]])&gt;=0,"PRESUPUESTO: SI","PRESUPUESTO: NO")</f>
        <v>PRESUPUESTO: SI</v>
      </c>
      <c r="L169" s="162">
        <f>SUMIF(PRESUPUESTO[CUENTA],EJECUTADO[[#This Row],[CUENTA]],PRESUPUESTO[MONTO])-SUMIF($F$1:F168,EJECUTADO[[#This Row],[CUENTA]],$M$1:M168)</f>
        <v>6000</v>
      </c>
      <c r="M169" s="2">
        <v>500</v>
      </c>
      <c r="N169" s="2"/>
      <c r="O169" s="2"/>
      <c r="P169" s="162">
        <f>+EJECUTADO[[#This Row],[MONTO SOLICITADO]]-EJECUTADO[[#This Row],[RETENCION IVA]]-EJECUTADO[[#This Row],[RETENCION ISR]]</f>
        <v>500</v>
      </c>
      <c r="Q169" s="84" t="s">
        <v>1000</v>
      </c>
      <c r="R169" s="2"/>
      <c r="S169">
        <v>1</v>
      </c>
      <c r="T169" s="168" t="str">
        <f t="shared" si="4"/>
        <v>DONACIONES - Academia  Salvadoreña de Historia Disponible $6000 Solicitado $500 PRESUPUESTO: SI</v>
      </c>
    </row>
    <row r="170" spans="1:20" ht="60" x14ac:dyDescent="0.25">
      <c r="A170" s="6">
        <f t="shared" si="5"/>
        <v>169</v>
      </c>
      <c r="B170" s="21">
        <v>45310</v>
      </c>
      <c r="C170" s="17" t="s">
        <v>1021</v>
      </c>
      <c r="D170" s="65" t="s">
        <v>1292</v>
      </c>
      <c r="E170" s="65"/>
      <c r="F170" t="s">
        <v>1219</v>
      </c>
      <c r="G170" s="161">
        <f>MONTH(EJECUTADO[[#This Row],[FECHA]])</f>
        <v>1</v>
      </c>
      <c r="H170" s="163" t="str">
        <f>MID(EJECUTADO[[#This Row],[CUENTA]],1,4)</f>
        <v>E-33</v>
      </c>
      <c r="I170" s="163" t="str">
        <f>INDEX(CATALOGO[Descripción],MATCH(EJECUTADO[[#This Row],[APLICACIÓN]]&amp;"-00-00-00",CATALOGO[Código],0))</f>
        <v xml:space="preserve">PROVEEDORES </v>
      </c>
      <c r="J1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70" s="161" t="str">
        <f>IF((EJECUTADO[[#This Row],[MONTO DISPONIBLE ]]-EJECUTADO[[#This Row],[MONTO SOLICITADO]])&gt;=0,"PRESUPUESTO: SI","PRESUPUESTO: NO")</f>
        <v>PRESUPUESTO: SI</v>
      </c>
      <c r="L170" s="162">
        <f>SUMIF(PRESUPUESTO[CUENTA],EJECUTADO[[#This Row],[CUENTA]],PRESUPUESTO[MONTO])-SUMIF($F$1:F169,EJECUTADO[[#This Row],[CUENTA]],$M$1:M169)</f>
        <v>98237.85</v>
      </c>
      <c r="M170" s="2">
        <v>503</v>
      </c>
      <c r="N170" s="2"/>
      <c r="O170" s="2"/>
      <c r="P170" s="162">
        <f>+EJECUTADO[[#This Row],[MONTO SOLICITADO]]-EJECUTADO[[#This Row],[RETENCION IVA]]-EJECUTADO[[#This Row],[RETENCION ISR]]</f>
        <v>503</v>
      </c>
      <c r="Q170" s="84" t="s">
        <v>1000</v>
      </c>
      <c r="R170" s="2"/>
      <c r="S170">
        <v>1</v>
      </c>
      <c r="T170" s="168" t="str">
        <f t="shared" si="4"/>
        <v>PROVEEDORES  - OTROS Disponible $98237.85 Solicitado $503 PRESUPUESTO: SI</v>
      </c>
    </row>
    <row r="171" spans="1:20" ht="30" x14ac:dyDescent="0.25">
      <c r="A171" s="6">
        <f t="shared" si="5"/>
        <v>170</v>
      </c>
      <c r="B171" s="21">
        <v>45310</v>
      </c>
      <c r="C171" s="17" t="s">
        <v>1066</v>
      </c>
      <c r="D171" s="65" t="s">
        <v>1223</v>
      </c>
      <c r="E171" s="65"/>
      <c r="F171" t="s">
        <v>1068</v>
      </c>
      <c r="G171" s="161">
        <f>MONTH(EJECUTADO[[#This Row],[FECHA]])</f>
        <v>1</v>
      </c>
      <c r="H171" s="163" t="str">
        <f>MID(EJECUTADO[[#This Row],[CUENTA]],1,4)</f>
        <v>E-15</v>
      </c>
      <c r="I171" s="163" t="str">
        <f>INDEX(CATALOGO[Descripción],MATCH(EJECUTADO[[#This Row],[APLICACIÓN]]&amp;"-00-00-00",CATALOGO[Código],0))</f>
        <v>ALQUILERES</v>
      </c>
      <c r="J1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Bodega externa Admón Académica  Datasafe</v>
      </c>
      <c r="K171" s="161" t="str">
        <f>IF((EJECUTADO[[#This Row],[MONTO DISPONIBLE ]]-EJECUTADO[[#This Row],[MONTO SOLICITADO]])&gt;=0,"PRESUPUESTO: SI","PRESUPUESTO: NO")</f>
        <v>PRESUPUESTO: SI</v>
      </c>
      <c r="L171" s="162">
        <f>SUMIF(PRESUPUESTO[CUENTA],EJECUTADO[[#This Row],[CUENTA]],PRESUPUESTO[MONTO])-SUMIF($F$1:F170,EJECUTADO[[#This Row],[CUENTA]],$M$1:M170)</f>
        <v>5895.21</v>
      </c>
      <c r="M171" s="2">
        <v>523.74</v>
      </c>
      <c r="N171" s="2"/>
      <c r="O171" s="2"/>
      <c r="P171" s="162">
        <f>+EJECUTADO[[#This Row],[MONTO SOLICITADO]]-EJECUTADO[[#This Row],[RETENCION IVA]]-EJECUTADO[[#This Row],[RETENCION ISR]]</f>
        <v>523.74</v>
      </c>
      <c r="Q171" s="84" t="s">
        <v>1000</v>
      </c>
      <c r="R171" s="2"/>
      <c r="S171">
        <v>1</v>
      </c>
      <c r="T171" s="168" t="str">
        <f t="shared" si="4"/>
        <v>ALQUILERES - Bodega externa Admón Académica  Datasafe Disponible $5895.21 Solicitado $523.74 PRESUPUESTO: SI</v>
      </c>
    </row>
    <row r="172" spans="1:20" x14ac:dyDescent="0.25">
      <c r="A172" s="6">
        <f t="shared" si="5"/>
        <v>171</v>
      </c>
      <c r="B172" s="21">
        <v>45310</v>
      </c>
      <c r="C172" s="17" t="s">
        <v>1293</v>
      </c>
      <c r="D172" s="65" t="s">
        <v>1294</v>
      </c>
      <c r="E172" s="65"/>
      <c r="F172" t="s">
        <v>1295</v>
      </c>
      <c r="G172" s="161">
        <f>MONTH(EJECUTADO[[#This Row],[FECHA]])</f>
        <v>1</v>
      </c>
      <c r="H172" s="163" t="str">
        <f>MID(EJECUTADO[[#This Row],[CUENTA]],1,4)</f>
        <v>E-24</v>
      </c>
      <c r="I172" s="163" t="str">
        <f>INDEX(CATALOGO[Descripción],MATCH(EJECUTADO[[#This Row],[APLICACIÓN]]&amp;"-00-00-00",CATALOGO[Código],0))</f>
        <v>NUEVO INGRESO</v>
      </c>
      <c r="J1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172" s="161" t="str">
        <f>IF((EJECUTADO[[#This Row],[MONTO DISPONIBLE ]]-EJECUTADO[[#This Row],[MONTO SOLICITADO]])&gt;=0,"PRESUPUESTO: SI","PRESUPUESTO: NO")</f>
        <v>PRESUPUESTO: SI</v>
      </c>
      <c r="L172" s="162">
        <f>SUMIF(PRESUPUESTO[CUENTA],EJECUTADO[[#This Row],[CUENTA]],PRESUPUESTO[MONTO])-SUMIF($F$1:F171,EJECUTADO[[#This Row],[CUENTA]],$M$1:M171)</f>
        <v>660</v>
      </c>
      <c r="M172" s="2">
        <v>55</v>
      </c>
      <c r="N172" s="2"/>
      <c r="O172" s="2"/>
      <c r="P172" s="162">
        <f>+EJECUTADO[[#This Row],[MONTO SOLICITADO]]-EJECUTADO[[#This Row],[RETENCION IVA]]-EJECUTADO[[#This Row],[RETENCION ISR]]</f>
        <v>55</v>
      </c>
      <c r="Q172" s="84" t="s">
        <v>1000</v>
      </c>
      <c r="R172" s="2"/>
      <c r="S172">
        <v>1</v>
      </c>
      <c r="T172" s="168" t="str">
        <f t="shared" si="4"/>
        <v>NUEVO INGRESO - Plaza Mundo - Aromatización $ 55.00 * 12 Disponible $660 Solicitado $55 PRESUPUESTO: SI</v>
      </c>
    </row>
    <row r="173" spans="1:20" ht="75" x14ac:dyDescent="0.25">
      <c r="A173" s="6">
        <f t="shared" si="5"/>
        <v>172</v>
      </c>
      <c r="B173" s="21">
        <v>45310</v>
      </c>
      <c r="C173" s="17" t="s">
        <v>1296</v>
      </c>
      <c r="D173" s="65" t="s">
        <v>1297</v>
      </c>
      <c r="E173" s="65"/>
      <c r="F173" t="s">
        <v>1219</v>
      </c>
      <c r="G173" s="161">
        <f>MONTH(EJECUTADO[[#This Row],[FECHA]])</f>
        <v>1</v>
      </c>
      <c r="H173" s="163" t="str">
        <f>MID(EJECUTADO[[#This Row],[CUENTA]],1,4)</f>
        <v>E-33</v>
      </c>
      <c r="I173" s="163" t="str">
        <f>INDEX(CATALOGO[Descripción],MATCH(EJECUTADO[[#This Row],[APLICACIÓN]]&amp;"-00-00-00",CATALOGO[Código],0))</f>
        <v xml:space="preserve">PROVEEDORES </v>
      </c>
      <c r="J1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73" s="161" t="str">
        <f>IF((EJECUTADO[[#This Row],[MONTO DISPONIBLE ]]-EJECUTADO[[#This Row],[MONTO SOLICITADO]])&gt;=0,"PRESUPUESTO: SI","PRESUPUESTO: NO")</f>
        <v>PRESUPUESTO: SI</v>
      </c>
      <c r="L173" s="162">
        <f>SUMIF(PRESUPUESTO[CUENTA],EJECUTADO[[#This Row],[CUENTA]],PRESUPUESTO[MONTO])-SUMIF($F$1:F172,EJECUTADO[[#This Row],[CUENTA]],$M$1:M172)</f>
        <v>97734.85</v>
      </c>
      <c r="M173" s="2">
        <v>1700</v>
      </c>
      <c r="N173" s="2"/>
      <c r="O173" s="2"/>
      <c r="P173" s="162">
        <f>+EJECUTADO[[#This Row],[MONTO SOLICITADO]]-EJECUTADO[[#This Row],[RETENCION IVA]]-EJECUTADO[[#This Row],[RETENCION ISR]]</f>
        <v>1700</v>
      </c>
      <c r="Q173" s="84" t="s">
        <v>1000</v>
      </c>
      <c r="R173" s="2"/>
      <c r="S173">
        <v>1</v>
      </c>
      <c r="T173" s="168" t="str">
        <f t="shared" si="4"/>
        <v>PROVEEDORES  - OTROS Disponible $97734.85 Solicitado $1700 PRESUPUESTO: SI</v>
      </c>
    </row>
    <row r="174" spans="1:20" ht="30" x14ac:dyDescent="0.25">
      <c r="A174" s="6">
        <f t="shared" si="5"/>
        <v>173</v>
      </c>
      <c r="B174" s="21">
        <v>45310</v>
      </c>
      <c r="C174" s="17" t="s">
        <v>1298</v>
      </c>
      <c r="D174" s="65" t="s">
        <v>1299</v>
      </c>
      <c r="E174" s="65"/>
      <c r="F174" t="s">
        <v>1300</v>
      </c>
      <c r="G174" s="161">
        <f>MONTH(EJECUTADO[[#This Row],[FECHA]])</f>
        <v>1</v>
      </c>
      <c r="H174" s="163" t="str">
        <f>MID(EJECUTADO[[#This Row],[CUENTA]],1,4)</f>
        <v>E-18</v>
      </c>
      <c r="I174" s="163" t="str">
        <f>INDEX(CATALOGO[Descripción],MATCH(EJECUTADO[[#This Row],[APLICACIÓN]]&amp;"-00-00-00",CATALOGO[Código],0))</f>
        <v>COMUNICACIÓN INSTITUCIONAL</v>
      </c>
      <c r="J1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Sitio web y redes sociales - Desarrollador y administrador de S. Web (Trend) $ 802.00</v>
      </c>
      <c r="K174" s="161" t="str">
        <f>IF((EJECUTADO[[#This Row],[MONTO DISPONIBLE ]]-EJECUTADO[[#This Row],[MONTO SOLICITADO]])&gt;=0,"PRESUPUESTO: SI","PRESUPUESTO: NO")</f>
        <v>PRESUPUESTO: SI</v>
      </c>
      <c r="L174" s="162">
        <f>SUMIF(PRESUPUESTO[CUENTA],EJECUTADO[[#This Row],[CUENTA]],PRESUPUESTO[MONTO])-SUMIF($F$1:F173,EJECUTADO[[#This Row],[CUENTA]],$M$1:M173)</f>
        <v>9640</v>
      </c>
      <c r="M174" s="2">
        <v>802.3</v>
      </c>
      <c r="N174" s="2"/>
      <c r="O174" s="2"/>
      <c r="P174" s="162">
        <f>+EJECUTADO[[#This Row],[MONTO SOLICITADO]]-EJECUTADO[[#This Row],[RETENCION IVA]]-EJECUTADO[[#This Row],[RETENCION ISR]]</f>
        <v>802.3</v>
      </c>
      <c r="Q174" s="84" t="s">
        <v>1000</v>
      </c>
      <c r="R174" s="2"/>
      <c r="S174">
        <v>1</v>
      </c>
      <c r="T174" s="168" t="str">
        <f t="shared" si="4"/>
        <v>COMUNICACIÓN INSTITUCIONAL - Sitio web y redes sociales - Desarrollador y administrador de S. Web (Trend) $ 802.00 Disponible $9640 Solicitado $802.3 PRESUPUESTO: SI</v>
      </c>
    </row>
    <row r="175" spans="1:20" ht="30" x14ac:dyDescent="0.25">
      <c r="A175" s="6">
        <f t="shared" si="5"/>
        <v>174</v>
      </c>
      <c r="B175" s="21">
        <v>45310</v>
      </c>
      <c r="C175" s="17" t="s">
        <v>1298</v>
      </c>
      <c r="D175" s="65" t="s">
        <v>1299</v>
      </c>
      <c r="E175" s="65"/>
      <c r="F175" t="s">
        <v>1301</v>
      </c>
      <c r="G175" s="161">
        <f>MONTH(EJECUTADO[[#This Row],[FECHA]])</f>
        <v>1</v>
      </c>
      <c r="H175" s="163" t="str">
        <f>MID(EJECUTADO[[#This Row],[CUENTA]],1,4)</f>
        <v>E-28</v>
      </c>
      <c r="I175" s="163" t="str">
        <f>INDEX(CATALOGO[Descripción],MATCH(EJECUTADO[[#This Row],[APLICACIÓN]]&amp;"-00-00-00",CATALOGO[Código],0))</f>
        <v>INSTITUTO DE GRADUADOS</v>
      </c>
      <c r="J1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Pagina Web Trend $ 339*12</v>
      </c>
      <c r="K175" s="161" t="str">
        <f>IF((EJECUTADO[[#This Row],[MONTO DISPONIBLE ]]-EJECUTADO[[#This Row],[MONTO SOLICITADO]])&gt;=0,"PRESUPUESTO: SI","PRESUPUESTO: NO")</f>
        <v>PRESUPUESTO: SI</v>
      </c>
      <c r="L175" s="162">
        <f>SUMIF(PRESUPUESTO[CUENTA],EJECUTADO[[#This Row],[CUENTA]],PRESUPUESTO[MONTO])-SUMIF($F$1:F174,EJECUTADO[[#This Row],[CUENTA]],$M$1:M174)</f>
        <v>4100</v>
      </c>
      <c r="M175" s="2">
        <v>339</v>
      </c>
      <c r="N175" s="2"/>
      <c r="O175" s="2"/>
      <c r="P175" s="162">
        <f>+EJECUTADO[[#This Row],[MONTO SOLICITADO]]-EJECUTADO[[#This Row],[RETENCION IVA]]-EJECUTADO[[#This Row],[RETENCION ISR]]</f>
        <v>339</v>
      </c>
      <c r="Q175" s="84" t="s">
        <v>1000</v>
      </c>
      <c r="R175" s="2"/>
      <c r="S175">
        <v>1</v>
      </c>
      <c r="T175" s="168" t="str">
        <f t="shared" si="4"/>
        <v>INSTITUTO DE GRADUADOS - Pagina Web Trend $ 339*12 Disponible $4100 Solicitado $339 PRESUPUESTO: SI</v>
      </c>
    </row>
    <row r="176" spans="1:20" ht="60" x14ac:dyDescent="0.25">
      <c r="A176" s="6">
        <f t="shared" si="5"/>
        <v>175</v>
      </c>
      <c r="B176" s="21">
        <v>45310</v>
      </c>
      <c r="C176" s="17" t="s">
        <v>1302</v>
      </c>
      <c r="D176" s="65" t="s">
        <v>1303</v>
      </c>
      <c r="E176" s="65"/>
      <c r="F176" t="s">
        <v>1029</v>
      </c>
      <c r="G176" s="161">
        <f>MONTH(EJECUTADO[[#This Row],[FECHA]])</f>
        <v>1</v>
      </c>
      <c r="H176" s="163" t="str">
        <f>MID(EJECUTADO[[#This Row],[CUENTA]],1,4)</f>
        <v>E-18</v>
      </c>
      <c r="I176" s="163" t="str">
        <f>INDEX(CATALOGO[Descripción],MATCH(EJECUTADO[[#This Row],[APLICACIÓN]]&amp;"-00-00-00",CATALOGO[Código],0))</f>
        <v>COMUNICACIÓN INSTITUCIONAL</v>
      </c>
      <c r="J1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Arrendamiento de 5 mupis digitales: SB, BJ, FM, GL Y GM ($2,200 mens)</v>
      </c>
      <c r="K176" s="161" t="str">
        <f>IF((EJECUTADO[[#This Row],[MONTO DISPONIBLE ]]-EJECUTADO[[#This Row],[MONTO SOLICITADO]])&gt;=0,"PRESUPUESTO: SI","PRESUPUESTO: NO")</f>
        <v>PRESUPUESTO: SI</v>
      </c>
      <c r="L176" s="162">
        <f>SUMIF(PRESUPUESTO[CUENTA],EJECUTADO[[#This Row],[CUENTA]],PRESUPUESTO[MONTO])-SUMIF($F$1:F175,EJECUTADO[[#This Row],[CUENTA]],$M$1:M175)</f>
        <v>21546.65</v>
      </c>
      <c r="M176" s="2">
        <v>2486</v>
      </c>
      <c r="N176" s="2"/>
      <c r="O176" s="2"/>
      <c r="P176" s="162">
        <f>+EJECUTADO[[#This Row],[MONTO SOLICITADO]]-EJECUTADO[[#This Row],[RETENCION IVA]]-EJECUTADO[[#This Row],[RETENCION ISR]]</f>
        <v>2486</v>
      </c>
      <c r="Q176" s="84" t="s">
        <v>1000</v>
      </c>
      <c r="R176" s="2"/>
      <c r="S176">
        <v>1</v>
      </c>
      <c r="T176" s="168" t="str">
        <f t="shared" si="4"/>
        <v>COMUNICACIÓN INSTITUCIONAL - Com. Interna - Arrendamiento de 5 mupis digitales: SB, BJ, FM, GL Y GM ($2,200 mens) Disponible $21546.65 Solicitado $2486 PRESUPUESTO: SI</v>
      </c>
    </row>
    <row r="177" spans="1:20" ht="60" x14ac:dyDescent="0.25">
      <c r="A177" s="6">
        <f t="shared" si="5"/>
        <v>176</v>
      </c>
      <c r="B177" s="21">
        <v>45310</v>
      </c>
      <c r="C177" s="17" t="s">
        <v>1304</v>
      </c>
      <c r="D177" s="65" t="s">
        <v>1305</v>
      </c>
      <c r="E177" s="65"/>
      <c r="F177" t="s">
        <v>1306</v>
      </c>
      <c r="G177" s="161">
        <f>MONTH(EJECUTADO[[#This Row],[FECHA]])</f>
        <v>1</v>
      </c>
      <c r="H177" s="163" t="str">
        <f>MID(EJECUTADO[[#This Row],[CUENTA]],1,4)</f>
        <v>E-07</v>
      </c>
      <c r="I177" s="163" t="str">
        <f>INDEX(CATALOGO[Descripción],MATCH(EJECUTADO[[#This Row],[APLICACIÓN]]&amp;"-00-00-00",CATALOGO[Código],0))</f>
        <v>SERVICIOS TECNOLOGICOS</v>
      </c>
      <c r="J1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ADMINISTRATIVOS- APP Estudiantes Mobiles El Salvador </v>
      </c>
      <c r="K177" s="161" t="str">
        <f>IF((EJECUTADO[[#This Row],[MONTO DISPONIBLE ]]-EJECUTADO[[#This Row],[MONTO SOLICITADO]])&gt;=0,"PRESUPUESTO: SI","PRESUPUESTO: NO")</f>
        <v>PRESUPUESTO: SI</v>
      </c>
      <c r="L177" s="162">
        <f>SUMIF(PRESUPUESTO[CUENTA],EJECUTADO[[#This Row],[CUENTA]],PRESUPUESTO[MONTO])-SUMIF($F$1:F176,EJECUTADO[[#This Row],[CUENTA]],$M$1:M176)</f>
        <v>6800</v>
      </c>
      <c r="M177" s="2">
        <v>565</v>
      </c>
      <c r="N177" s="2">
        <v>5</v>
      </c>
      <c r="O177" s="2"/>
      <c r="P177" s="162">
        <f>+EJECUTADO[[#This Row],[MONTO SOLICITADO]]-EJECUTADO[[#This Row],[RETENCION IVA]]-EJECUTADO[[#This Row],[RETENCION ISR]]</f>
        <v>560</v>
      </c>
      <c r="Q177" s="84" t="s">
        <v>1000</v>
      </c>
      <c r="R177" s="2"/>
      <c r="S177">
        <v>1</v>
      </c>
      <c r="T177" s="168" t="str">
        <f t="shared" si="4"/>
        <v>SERVICIOS TECNOLOGICOS - SERVICIOS ADMINISTRATIVOS- APP Estudiantes Mobiles El Salvador  Disponible $6800 Solicitado $565 PRESUPUESTO: SI</v>
      </c>
    </row>
    <row r="178" spans="1:20" ht="60" x14ac:dyDescent="0.25">
      <c r="A178" s="6">
        <f t="shared" si="5"/>
        <v>177</v>
      </c>
      <c r="B178" s="21">
        <v>45310</v>
      </c>
      <c r="C178" s="17" t="s">
        <v>1304</v>
      </c>
      <c r="D178" s="65" t="s">
        <v>1305</v>
      </c>
      <c r="E178" s="65"/>
      <c r="F178" t="s">
        <v>1306</v>
      </c>
      <c r="G178" s="161">
        <f>MONTH(EJECUTADO[[#This Row],[FECHA]])</f>
        <v>1</v>
      </c>
      <c r="H178" s="163" t="str">
        <f>MID(EJECUTADO[[#This Row],[CUENTA]],1,4)</f>
        <v>E-07</v>
      </c>
      <c r="I178" s="163" t="str">
        <f>INDEX(CATALOGO[Descripción],MATCH(EJECUTADO[[#This Row],[APLICACIÓN]]&amp;"-00-00-00",CATALOGO[Código],0))</f>
        <v>SERVICIOS TECNOLOGICOS</v>
      </c>
      <c r="J1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ADMINISTRATIVOS- APP Estudiantes Mobiles El Salvador </v>
      </c>
      <c r="K178" s="161" t="str">
        <f>IF((EJECUTADO[[#This Row],[MONTO DISPONIBLE ]]-EJECUTADO[[#This Row],[MONTO SOLICITADO]])&gt;=0,"PRESUPUESTO: SI","PRESUPUESTO: NO")</f>
        <v>PRESUPUESTO: SI</v>
      </c>
      <c r="L178" s="162">
        <f>SUMIF(PRESUPUESTO[CUENTA],EJECUTADO[[#This Row],[CUENTA]],PRESUPUESTO[MONTO])-SUMIF($F$1:F177,EJECUTADO[[#This Row],[CUENTA]],$M$1:M177)</f>
        <v>6235</v>
      </c>
      <c r="M178" s="2">
        <v>565</v>
      </c>
      <c r="N178" s="2">
        <v>5</v>
      </c>
      <c r="O178" s="2"/>
      <c r="P178" s="162">
        <f>+EJECUTADO[[#This Row],[MONTO SOLICITADO]]-EJECUTADO[[#This Row],[RETENCION IVA]]-EJECUTADO[[#This Row],[RETENCION ISR]]</f>
        <v>560</v>
      </c>
      <c r="Q178" s="84" t="s">
        <v>1000</v>
      </c>
      <c r="R178" s="2"/>
      <c r="S178">
        <v>1</v>
      </c>
      <c r="T178" s="168" t="str">
        <f t="shared" si="4"/>
        <v>SERVICIOS TECNOLOGICOS - SERVICIOS ADMINISTRATIVOS- APP Estudiantes Mobiles El Salvador  Disponible $6235 Solicitado $565 PRESUPUESTO: SI</v>
      </c>
    </row>
    <row r="179" spans="1:20" ht="45" x14ac:dyDescent="0.25">
      <c r="A179" s="6">
        <f t="shared" si="5"/>
        <v>178</v>
      </c>
      <c r="B179" s="21">
        <v>45310</v>
      </c>
      <c r="C179" s="17" t="s">
        <v>1307</v>
      </c>
      <c r="D179" s="65" t="s">
        <v>1308</v>
      </c>
      <c r="E179" s="65"/>
      <c r="F179" s="9" t="s">
        <v>1014</v>
      </c>
      <c r="G179" s="161">
        <f>MONTH(EJECUTADO[[#This Row],[FECHA]])</f>
        <v>1</v>
      </c>
      <c r="H179" s="163" t="str">
        <f>MID(EJECUTADO[[#This Row],[CUENTA]],1,4)</f>
        <v>E-01</v>
      </c>
      <c r="I179" s="163" t="str">
        <f>INDEX(CATALOGO[Descripción],MATCH(EJECUTADO[[#This Row],[APLICACIÓN]]&amp;"-00-00-00",CATALOGO[Código],0))</f>
        <v>SERVICIOS PROFESIONALES</v>
      </c>
      <c r="J1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Corporativa Lic. Medrano   $ 1,509.00 X 12</v>
      </c>
      <c r="K179" s="161" t="str">
        <f>IF((EJECUTADO[[#This Row],[MONTO DISPONIBLE ]]-EJECUTADO[[#This Row],[MONTO SOLICITADO]])&gt;=0,"PRESUPUESTO: SI","PRESUPUESTO: NO")</f>
        <v>PRESUPUESTO: SI</v>
      </c>
      <c r="L179" s="162">
        <f>SUMIF(PRESUPUESTO[CUENTA],EJECUTADO[[#This Row],[CUENTA]],PRESUPUESTO[MONTO])-SUMIF($F$1:F178,EJECUTADO[[#This Row],[CUENTA]],$M$1:M178)</f>
        <v>15561.5</v>
      </c>
      <c r="M179" s="2">
        <v>1508.5</v>
      </c>
      <c r="N179" s="2"/>
      <c r="O179" s="2"/>
      <c r="P179" s="162">
        <f>+EJECUTADO[[#This Row],[MONTO SOLICITADO]]-EJECUTADO[[#This Row],[RETENCION IVA]]-EJECUTADO[[#This Row],[RETENCION ISR]]</f>
        <v>1508.5</v>
      </c>
      <c r="Q179" s="84" t="s">
        <v>1000</v>
      </c>
      <c r="R179" s="2"/>
      <c r="S179">
        <v>1</v>
      </c>
      <c r="T179" s="168" t="str">
        <f t="shared" si="4"/>
        <v>SERVICIOS PROFESIONALES - Asesoria Corporativa Lic. Medrano   $ 1,509.00 X 12 Disponible $15561.5 Solicitado $1508.5 PRESUPUESTO: SI</v>
      </c>
    </row>
    <row r="180" spans="1:20" ht="30" x14ac:dyDescent="0.25">
      <c r="A180" s="6">
        <f t="shared" si="5"/>
        <v>179</v>
      </c>
      <c r="B180" s="21">
        <v>45310</v>
      </c>
      <c r="C180" s="17" t="s">
        <v>1309</v>
      </c>
      <c r="D180" s="65" t="s">
        <v>1310</v>
      </c>
      <c r="E180" s="65"/>
      <c r="F180" t="s">
        <v>1219</v>
      </c>
      <c r="G180" s="161">
        <f>MONTH(EJECUTADO[[#This Row],[FECHA]])</f>
        <v>1</v>
      </c>
      <c r="H180" s="163" t="str">
        <f>MID(EJECUTADO[[#This Row],[CUENTA]],1,4)</f>
        <v>E-33</v>
      </c>
      <c r="I180" s="163" t="str">
        <f>INDEX(CATALOGO[Descripción],MATCH(EJECUTADO[[#This Row],[APLICACIÓN]]&amp;"-00-00-00",CATALOGO[Código],0))</f>
        <v xml:space="preserve">PROVEEDORES </v>
      </c>
      <c r="J1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80" s="161" t="str">
        <f>IF((EJECUTADO[[#This Row],[MONTO DISPONIBLE ]]-EJECUTADO[[#This Row],[MONTO SOLICITADO]])&gt;=0,"PRESUPUESTO: SI","PRESUPUESTO: NO")</f>
        <v>PRESUPUESTO: SI</v>
      </c>
      <c r="L180" s="162">
        <f>SUMIF(PRESUPUESTO[CUENTA],EJECUTADO[[#This Row],[CUENTA]],PRESUPUESTO[MONTO])-SUMIF($F$1:F179,EJECUTADO[[#This Row],[CUENTA]],$M$1:M179)</f>
        <v>96034.85</v>
      </c>
      <c r="M180" s="2">
        <v>6323.66</v>
      </c>
      <c r="N180" s="2"/>
      <c r="O180" s="2"/>
      <c r="P180" s="162">
        <f>+EJECUTADO[[#This Row],[MONTO SOLICITADO]]-EJECUTADO[[#This Row],[RETENCION IVA]]-EJECUTADO[[#This Row],[RETENCION ISR]]</f>
        <v>6323.66</v>
      </c>
      <c r="Q180" s="84" t="s">
        <v>1000</v>
      </c>
      <c r="R180" s="2"/>
      <c r="S180">
        <v>1</v>
      </c>
      <c r="T180" s="168" t="str">
        <f t="shared" si="4"/>
        <v>PROVEEDORES  - OTROS Disponible $96034.85 Solicitado $6323.66 PRESUPUESTO: SI</v>
      </c>
    </row>
    <row r="181" spans="1:20" ht="30" x14ac:dyDescent="0.25">
      <c r="A181" s="6">
        <f t="shared" si="5"/>
        <v>180</v>
      </c>
      <c r="B181" s="21">
        <v>45310</v>
      </c>
      <c r="C181" s="17" t="s">
        <v>1311</v>
      </c>
      <c r="D181" s="65" t="s">
        <v>1312</v>
      </c>
      <c r="E181" s="65"/>
      <c r="F181" t="s">
        <v>1143</v>
      </c>
      <c r="G181" s="161">
        <f>MONTH(EJECUTADO[[#This Row],[FECHA]])</f>
        <v>1</v>
      </c>
      <c r="H181" s="163" t="str">
        <f>MID(EJECUTADO[[#This Row],[CUENTA]],1,4)</f>
        <v>E-26</v>
      </c>
      <c r="I181" s="163" t="str">
        <f>INDEX(CATALOGO[Descripción],MATCH(EJECUTADO[[#This Row],[APLICACIÓN]]&amp;"-00-00-00",CATALOGO[Código],0))</f>
        <v>EVENTOS ACADEMICOS, CULTURALES  E INSTITUCIONALES</v>
      </c>
      <c r="J1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CONGRESO DOCENTES </v>
      </c>
      <c r="K181" s="161" t="str">
        <f>IF((EJECUTADO[[#This Row],[MONTO DISPONIBLE ]]-EJECUTADO[[#This Row],[MONTO SOLICITADO]])&gt;=0,"PRESUPUESTO: SI","PRESUPUESTO: NO")</f>
        <v>PRESUPUESTO: SI</v>
      </c>
      <c r="L181" s="162">
        <f>SUMIF(PRESUPUESTO[CUENTA],EJECUTADO[[#This Row],[CUENTA]],PRESUPUESTO[MONTO])-SUMIF($F$1:F180,EJECUTADO[[#This Row],[CUENTA]],$M$1:M180)</f>
        <v>2789.87</v>
      </c>
      <c r="M181" s="2">
        <v>1500</v>
      </c>
      <c r="N181" s="2"/>
      <c r="O181" s="2"/>
      <c r="P181" s="162">
        <f>+EJECUTADO[[#This Row],[MONTO SOLICITADO]]-EJECUTADO[[#This Row],[RETENCION IVA]]-EJECUTADO[[#This Row],[RETENCION ISR]]</f>
        <v>1500</v>
      </c>
      <c r="Q181" s="84" t="s">
        <v>1000</v>
      </c>
      <c r="R181" s="2"/>
      <c r="S181">
        <v>1</v>
      </c>
      <c r="T181" s="168" t="str">
        <f t="shared" si="4"/>
        <v>EVENTOS ACADEMICOS, CULTURALES  E INSTITUCIONALES - CONGRESO DOCENTES  Disponible $2789.87 Solicitado $1500 PRESUPUESTO: SI</v>
      </c>
    </row>
    <row r="182" spans="1:20" ht="45" x14ac:dyDescent="0.25">
      <c r="A182" s="6">
        <f t="shared" si="5"/>
        <v>181</v>
      </c>
      <c r="B182" s="21">
        <v>45310</v>
      </c>
      <c r="C182" s="17" t="s">
        <v>1056</v>
      </c>
      <c r="D182" s="65" t="s">
        <v>1255</v>
      </c>
      <c r="E182" s="65"/>
      <c r="F182" t="s">
        <v>1219</v>
      </c>
      <c r="G182" s="161">
        <f>MONTH(EJECUTADO[[#This Row],[FECHA]])</f>
        <v>1</v>
      </c>
      <c r="H182" s="163" t="str">
        <f>MID(EJECUTADO[[#This Row],[CUENTA]],1,4)</f>
        <v>E-33</v>
      </c>
      <c r="I182" s="163" t="str">
        <f>INDEX(CATALOGO[Descripción],MATCH(EJECUTADO[[#This Row],[APLICACIÓN]]&amp;"-00-00-00",CATALOGO[Código],0))</f>
        <v xml:space="preserve">PROVEEDORES </v>
      </c>
      <c r="J1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82" s="161" t="str">
        <f>IF((EJECUTADO[[#This Row],[MONTO DISPONIBLE ]]-EJECUTADO[[#This Row],[MONTO SOLICITADO]])&gt;=0,"PRESUPUESTO: SI","PRESUPUESTO: NO")</f>
        <v>PRESUPUESTO: SI</v>
      </c>
      <c r="L182" s="162">
        <f>SUMIF(PRESUPUESTO[CUENTA],EJECUTADO[[#This Row],[CUENTA]],PRESUPUESTO[MONTO])-SUMIF($F$1:F181,EJECUTADO[[#This Row],[CUENTA]],$M$1:M181)</f>
        <v>89711.19</v>
      </c>
      <c r="M182" s="2">
        <v>3973.2</v>
      </c>
      <c r="N182" s="2"/>
      <c r="O182" s="2"/>
      <c r="P182" s="162">
        <f>+EJECUTADO[[#This Row],[MONTO SOLICITADO]]-EJECUTADO[[#This Row],[RETENCION IVA]]-EJECUTADO[[#This Row],[RETENCION ISR]]</f>
        <v>3973.2</v>
      </c>
      <c r="Q182" s="84" t="s">
        <v>1000</v>
      </c>
      <c r="R182" s="2"/>
      <c r="S182">
        <v>1</v>
      </c>
      <c r="T182" s="168" t="str">
        <f t="shared" si="4"/>
        <v>PROVEEDORES  - OTROS Disponible $89711.19 Solicitado $3973.2 PRESUPUESTO: SI</v>
      </c>
    </row>
    <row r="183" spans="1:20" x14ac:dyDescent="0.25">
      <c r="A183" s="6">
        <f t="shared" si="5"/>
        <v>182</v>
      </c>
      <c r="B183" s="21">
        <v>45310</v>
      </c>
      <c r="C183" s="17" t="s">
        <v>1313</v>
      </c>
      <c r="D183" s="65" t="s">
        <v>1314</v>
      </c>
      <c r="E183" s="65"/>
      <c r="F183" t="s">
        <v>1315</v>
      </c>
      <c r="G183" s="161">
        <f>MONTH(EJECUTADO[[#This Row],[FECHA]])</f>
        <v>1</v>
      </c>
      <c r="H183" s="163" t="str">
        <f>MID(EJECUTADO[[#This Row],[CUENTA]],1,4)</f>
        <v>E-18</v>
      </c>
      <c r="I183" s="163" t="str">
        <f>INDEX(CATALOGO[Descripción],MATCH(EJECUTADO[[#This Row],[APLICACIÓN]]&amp;"-00-00-00",CATALOGO[Código],0))</f>
        <v>COMUNICACIÓN INSTITUCIONAL</v>
      </c>
      <c r="J1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INSTITUCIONAL</v>
      </c>
      <c r="K183" s="161" t="str">
        <f>IF((EJECUTADO[[#This Row],[MONTO DISPONIBLE ]]-EJECUTADO[[#This Row],[MONTO SOLICITADO]])&gt;=0,"PRESUPUESTO: SI","PRESUPUESTO: NO")</f>
        <v>PRESUPUESTO: NO</v>
      </c>
      <c r="L183" s="162">
        <f>SUMIF(PRESUPUESTO[CUENTA],EJECUTADO[[#This Row],[CUENTA]],PRESUPUESTO[MONTO])-SUMIF($F$1:F182,EJECUTADO[[#This Row],[CUENTA]],$M$1:M182)</f>
        <v>4900</v>
      </c>
      <c r="M183" s="2">
        <v>17876.55</v>
      </c>
      <c r="N183" s="2"/>
      <c r="O183" s="2"/>
      <c r="P183" s="162">
        <f>+EJECUTADO[[#This Row],[MONTO SOLICITADO]]-EJECUTADO[[#This Row],[RETENCION IVA]]-EJECUTADO[[#This Row],[RETENCION ISR]]</f>
        <v>17876.55</v>
      </c>
      <c r="Q183" s="84" t="s">
        <v>1000</v>
      </c>
      <c r="R183" s="2"/>
      <c r="S183">
        <v>1</v>
      </c>
      <c r="T183" s="168" t="str">
        <f t="shared" si="4"/>
        <v>COMUNICACIÓN INSTITUCIONAL - PUBLICIDAD INSTITUCIONAL Disponible $4900 Solicitado $17876.55 PRESUPUESTO: NO</v>
      </c>
    </row>
    <row r="184" spans="1:20" x14ac:dyDescent="0.25">
      <c r="A184" s="6">
        <f t="shared" si="5"/>
        <v>183</v>
      </c>
      <c r="B184" s="21">
        <v>45310</v>
      </c>
      <c r="C184" s="17" t="s">
        <v>1313</v>
      </c>
      <c r="D184" s="65" t="s">
        <v>1316</v>
      </c>
      <c r="E184" s="65"/>
      <c r="F184" t="s">
        <v>1315</v>
      </c>
      <c r="G184" s="161">
        <f>MONTH(EJECUTADO[[#This Row],[FECHA]])</f>
        <v>1</v>
      </c>
      <c r="H184" s="163" t="str">
        <f>MID(EJECUTADO[[#This Row],[CUENTA]],1,4)</f>
        <v>E-18</v>
      </c>
      <c r="I184" s="163" t="str">
        <f>INDEX(CATALOGO[Descripción],MATCH(EJECUTADO[[#This Row],[APLICACIÓN]]&amp;"-00-00-00",CATALOGO[Código],0))</f>
        <v>COMUNICACIÓN INSTITUCIONAL</v>
      </c>
      <c r="J1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INSTITUCIONAL</v>
      </c>
      <c r="K184" s="161" t="str">
        <f>IF((EJECUTADO[[#This Row],[MONTO DISPONIBLE ]]-EJECUTADO[[#This Row],[MONTO SOLICITADO]])&gt;=0,"PRESUPUESTO: SI","PRESUPUESTO: NO")</f>
        <v>PRESUPUESTO: NO</v>
      </c>
      <c r="L184" s="162">
        <f>SUMIF(PRESUPUESTO[CUENTA],EJECUTADO[[#This Row],[CUENTA]],PRESUPUESTO[MONTO])-SUMIF($F$1:F183,EJECUTADO[[#This Row],[CUENTA]],$M$1:M183)</f>
        <v>-12976.55</v>
      </c>
      <c r="M184" s="2">
        <v>1130</v>
      </c>
      <c r="N184" s="2"/>
      <c r="O184" s="2"/>
      <c r="P184" s="162">
        <f>+EJECUTADO[[#This Row],[MONTO SOLICITADO]]-EJECUTADO[[#This Row],[RETENCION IVA]]-EJECUTADO[[#This Row],[RETENCION ISR]]</f>
        <v>1130</v>
      </c>
      <c r="Q184" s="84" t="s">
        <v>1000</v>
      </c>
      <c r="R184" s="2"/>
      <c r="S184">
        <v>1</v>
      </c>
      <c r="T184" s="168" t="str">
        <f t="shared" si="4"/>
        <v>COMUNICACIÓN INSTITUCIONAL - PUBLICIDAD INSTITUCIONAL Disponible $-12976.55 Solicitado $1130 PRESUPUESTO: NO</v>
      </c>
    </row>
    <row r="185" spans="1:20" x14ac:dyDescent="0.25">
      <c r="A185" s="6">
        <f t="shared" si="5"/>
        <v>184</v>
      </c>
      <c r="B185" s="21">
        <v>45310</v>
      </c>
      <c r="C185" s="17" t="s">
        <v>1313</v>
      </c>
      <c r="D185" s="65" t="s">
        <v>1317</v>
      </c>
      <c r="E185" s="65"/>
      <c r="F185" t="s">
        <v>1315</v>
      </c>
      <c r="G185" s="161">
        <f>MONTH(EJECUTADO[[#This Row],[FECHA]])</f>
        <v>1</v>
      </c>
      <c r="H185" s="163" t="str">
        <f>MID(EJECUTADO[[#This Row],[CUENTA]],1,4)</f>
        <v>E-18</v>
      </c>
      <c r="I185" s="163" t="str">
        <f>INDEX(CATALOGO[Descripción],MATCH(EJECUTADO[[#This Row],[APLICACIÓN]]&amp;"-00-00-00",CATALOGO[Código],0))</f>
        <v>COMUNICACIÓN INSTITUCIONAL</v>
      </c>
      <c r="J1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INSTITUCIONAL</v>
      </c>
      <c r="K185" s="161" t="str">
        <f>IF((EJECUTADO[[#This Row],[MONTO DISPONIBLE ]]-EJECUTADO[[#This Row],[MONTO SOLICITADO]])&gt;=0,"PRESUPUESTO: SI","PRESUPUESTO: NO")</f>
        <v>PRESUPUESTO: NO</v>
      </c>
      <c r="L185" s="162">
        <f>SUMIF(PRESUPUESTO[CUENTA],EJECUTADO[[#This Row],[CUENTA]],PRESUPUESTO[MONTO])-SUMIF($F$1:F184,EJECUTADO[[#This Row],[CUENTA]],$M$1:M184)</f>
        <v>-14106.55</v>
      </c>
      <c r="M185" s="2">
        <v>661.05</v>
      </c>
      <c r="N185" s="2"/>
      <c r="O185" s="2"/>
      <c r="P185" s="162">
        <f>+EJECUTADO[[#This Row],[MONTO SOLICITADO]]-EJECUTADO[[#This Row],[RETENCION IVA]]-EJECUTADO[[#This Row],[RETENCION ISR]]</f>
        <v>661.05</v>
      </c>
      <c r="Q185" s="84" t="s">
        <v>1000</v>
      </c>
      <c r="R185" s="2"/>
      <c r="S185">
        <v>1</v>
      </c>
      <c r="T185" s="168" t="str">
        <f t="shared" si="4"/>
        <v>COMUNICACIÓN INSTITUCIONAL - PUBLICIDAD INSTITUCIONAL Disponible $-14106.55 Solicitado $661.05 PRESUPUESTO: NO</v>
      </c>
    </row>
    <row r="186" spans="1:20" ht="30" x14ac:dyDescent="0.25">
      <c r="A186" s="6">
        <f t="shared" si="5"/>
        <v>185</v>
      </c>
      <c r="B186" s="21">
        <v>45310</v>
      </c>
      <c r="C186" s="17" t="s">
        <v>1318</v>
      </c>
      <c r="D186" s="65" t="s">
        <v>1319</v>
      </c>
      <c r="E186" s="65"/>
      <c r="F186" t="s">
        <v>1219</v>
      </c>
      <c r="G186" s="161">
        <f>MONTH(EJECUTADO[[#This Row],[FECHA]])</f>
        <v>1</v>
      </c>
      <c r="H186" s="163" t="str">
        <f>MID(EJECUTADO[[#This Row],[CUENTA]],1,4)</f>
        <v>E-33</v>
      </c>
      <c r="I186" s="163" t="str">
        <f>INDEX(CATALOGO[Descripción],MATCH(EJECUTADO[[#This Row],[APLICACIÓN]]&amp;"-00-00-00",CATALOGO[Código],0))</f>
        <v xml:space="preserve">PROVEEDORES </v>
      </c>
      <c r="J1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186" s="161" t="str">
        <f>IF((EJECUTADO[[#This Row],[MONTO DISPONIBLE ]]-EJECUTADO[[#This Row],[MONTO SOLICITADO]])&gt;=0,"PRESUPUESTO: SI","PRESUPUESTO: NO")</f>
        <v>PRESUPUESTO: SI</v>
      </c>
      <c r="L186" s="162">
        <f>SUMIF(PRESUPUESTO[CUENTA],EJECUTADO[[#This Row],[CUENTA]],PRESUPUESTO[MONTO])-SUMIF($F$1:F185,EJECUTADO[[#This Row],[CUENTA]],$M$1:M185)</f>
        <v>85737.99</v>
      </c>
      <c r="M186" s="2">
        <v>1137.6099999999999</v>
      </c>
      <c r="N186" s="2"/>
      <c r="O186" s="2"/>
      <c r="P186" s="162">
        <f>+EJECUTADO[[#This Row],[MONTO SOLICITADO]]-EJECUTADO[[#This Row],[RETENCION IVA]]-EJECUTADO[[#This Row],[RETENCION ISR]]</f>
        <v>1137.6099999999999</v>
      </c>
      <c r="Q186" s="84" t="s">
        <v>1000</v>
      </c>
      <c r="R186" s="2"/>
      <c r="S186">
        <v>1</v>
      </c>
      <c r="T186" s="168" t="str">
        <f t="shared" si="4"/>
        <v>PROVEEDORES  - OTROS Disponible $85737.99 Solicitado $1137.61 PRESUPUESTO: SI</v>
      </c>
    </row>
    <row r="187" spans="1:20" ht="45" x14ac:dyDescent="0.25">
      <c r="A187" s="6">
        <f t="shared" si="5"/>
        <v>186</v>
      </c>
      <c r="B187" s="21">
        <v>45313</v>
      </c>
      <c r="C187" s="17" t="s">
        <v>1279</v>
      </c>
      <c r="D187" s="65" t="s">
        <v>1280</v>
      </c>
      <c r="E187" s="65"/>
      <c r="F187" t="s">
        <v>1281</v>
      </c>
      <c r="G187" s="161">
        <f>MONTH(EJECUTADO[[#This Row],[FECHA]])</f>
        <v>1</v>
      </c>
      <c r="H187" s="163" t="str">
        <f>MID(EJECUTADO[[#This Row],[CUENTA]],1,4)</f>
        <v>E-03</v>
      </c>
      <c r="I187" s="163" t="str">
        <f>INDEX(CATALOGO[Descripción],MATCH(EJECUTADO[[#This Row],[APLICACIÓN]]&amp;"-00-00-00",CATALOGO[Código],0))</f>
        <v>SUELDOS ADMINISTRATIVOS</v>
      </c>
      <c r="J1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87" s="161" t="str">
        <f>IF((EJECUTADO[[#This Row],[MONTO DISPONIBLE ]]-EJECUTADO[[#This Row],[MONTO SOLICITADO]])&gt;=0,"PRESUPUESTO: SI","PRESUPUESTO: NO")</f>
        <v>PRESUPUESTO: SI</v>
      </c>
      <c r="L187" s="162">
        <f>SUMIF(PRESUPUESTO[CUENTA],EJECUTADO[[#This Row],[CUENTA]],PRESUPUESTO[MONTO])-SUMIF($F$1:F186,EJECUTADO[[#This Row],[CUENTA]],$M$1:M186)</f>
        <v>319450</v>
      </c>
      <c r="M187" s="2">
        <v>275</v>
      </c>
      <c r="N187" s="2"/>
      <c r="O187" s="2"/>
      <c r="P187" s="162">
        <f>+EJECUTADO[[#This Row],[MONTO SOLICITADO]]-EJECUTADO[[#This Row],[RETENCION IVA]]-EJECUTADO[[#This Row],[RETENCION ISR]]</f>
        <v>275</v>
      </c>
      <c r="Q187" s="84" t="s">
        <v>1000</v>
      </c>
      <c r="R187" s="2"/>
      <c r="S187">
        <v>1</v>
      </c>
      <c r="T187" s="168" t="str">
        <f t="shared" si="4"/>
        <v>SUELDOS ADMINISTRATIVOS - SUELDOS Y SALARIOS VICERRECTORÍA FINANCIERA  Disponible $319450 Solicitado $275 PRESUPUESTO: SI</v>
      </c>
    </row>
    <row r="188" spans="1:20" ht="45" x14ac:dyDescent="0.25">
      <c r="A188" s="6">
        <f t="shared" si="5"/>
        <v>187</v>
      </c>
      <c r="B188" s="21">
        <v>45313</v>
      </c>
      <c r="C188" s="17" t="s">
        <v>1282</v>
      </c>
      <c r="D188" s="65" t="s">
        <v>1280</v>
      </c>
      <c r="E188" s="65"/>
      <c r="F188" t="s">
        <v>1281</v>
      </c>
      <c r="G188" s="161">
        <f>MONTH(EJECUTADO[[#This Row],[FECHA]])</f>
        <v>1</v>
      </c>
      <c r="H188" s="163" t="str">
        <f>MID(EJECUTADO[[#This Row],[CUENTA]],1,4)</f>
        <v>E-03</v>
      </c>
      <c r="I188" s="163" t="str">
        <f>INDEX(CATALOGO[Descripción],MATCH(EJECUTADO[[#This Row],[APLICACIÓN]]&amp;"-00-00-00",CATALOGO[Código],0))</f>
        <v>SUELDOS ADMINISTRATIVOS</v>
      </c>
      <c r="J1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88" s="161" t="str">
        <f>IF((EJECUTADO[[#This Row],[MONTO DISPONIBLE ]]-EJECUTADO[[#This Row],[MONTO SOLICITADO]])&gt;=0,"PRESUPUESTO: SI","PRESUPUESTO: NO")</f>
        <v>PRESUPUESTO: SI</v>
      </c>
      <c r="L188" s="162">
        <f>SUMIF(PRESUPUESTO[CUENTA],EJECUTADO[[#This Row],[CUENTA]],PRESUPUESTO[MONTO])-SUMIF($F$1:F187,EJECUTADO[[#This Row],[CUENTA]],$M$1:M187)</f>
        <v>319175</v>
      </c>
      <c r="M188" s="2">
        <v>275</v>
      </c>
      <c r="N188" s="2"/>
      <c r="O188" s="2"/>
      <c r="P188" s="162">
        <f>+EJECUTADO[[#This Row],[MONTO SOLICITADO]]-EJECUTADO[[#This Row],[RETENCION IVA]]-EJECUTADO[[#This Row],[RETENCION ISR]]</f>
        <v>275</v>
      </c>
      <c r="Q188" s="84" t="s">
        <v>1000</v>
      </c>
      <c r="R188" s="2"/>
      <c r="S188">
        <v>1</v>
      </c>
      <c r="T188" s="168" t="str">
        <f t="shared" si="4"/>
        <v>SUELDOS ADMINISTRATIVOS - SUELDOS Y SALARIOS VICERRECTORÍA FINANCIERA  Disponible $319175 Solicitado $275 PRESUPUESTO: SI</v>
      </c>
    </row>
    <row r="189" spans="1:20" ht="45" x14ac:dyDescent="0.25">
      <c r="A189" s="6">
        <f t="shared" si="5"/>
        <v>188</v>
      </c>
      <c r="B189" s="21">
        <v>45313</v>
      </c>
      <c r="C189" s="17" t="s">
        <v>1193</v>
      </c>
      <c r="D189" s="65" t="s">
        <v>1194</v>
      </c>
      <c r="E189" s="65"/>
      <c r="F189" t="s">
        <v>1195</v>
      </c>
      <c r="G189" s="161">
        <f>MONTH(EJECUTADO[[#This Row],[FECHA]])</f>
        <v>1</v>
      </c>
      <c r="H189" s="163" t="str">
        <f>MID(EJECUTADO[[#This Row],[CUENTA]],1,4)</f>
        <v>E-15</v>
      </c>
      <c r="I189" s="163" t="str">
        <f>INDEX(CATALOGO[Descripción],MATCH(EJECUTADO[[#This Row],[APLICACIÓN]]&amp;"-00-00-00",CATALOGO[Código],0))</f>
        <v>ALQUILERES</v>
      </c>
      <c r="J1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Terrenos El Volcan y El Pimental Evlqz $ 1,130.00 X 2</v>
      </c>
      <c r="K189" s="161" t="str">
        <f>IF((EJECUTADO[[#This Row],[MONTO DISPONIBLE ]]-EJECUTADO[[#This Row],[MONTO SOLICITADO]])&gt;=0,"PRESUPUESTO: SI","PRESUPUESTO: NO")</f>
        <v>PRESUPUESTO: SI</v>
      </c>
      <c r="L189" s="162">
        <f>SUMIF(PRESUPUESTO[CUENTA],EJECUTADO[[#This Row],[CUENTA]],PRESUPUESTO[MONTO])-SUMIF($F$1:F188,EJECUTADO[[#This Row],[CUENTA]],$M$1:M188)</f>
        <v>1130</v>
      </c>
      <c r="M189" s="2">
        <v>1130</v>
      </c>
      <c r="N189" s="2"/>
      <c r="O189" s="2"/>
      <c r="P189" s="162">
        <f>+EJECUTADO[[#This Row],[MONTO SOLICITADO]]-EJECUTADO[[#This Row],[RETENCION IVA]]-EJECUTADO[[#This Row],[RETENCION ISR]]</f>
        <v>1130</v>
      </c>
      <c r="Q189" s="84" t="s">
        <v>1000</v>
      </c>
      <c r="R189" s="2"/>
      <c r="S189">
        <v>1</v>
      </c>
      <c r="T189" s="168" t="str">
        <f t="shared" si="4"/>
        <v>ALQUILERES - Terrenos El Volcan y El Pimental Evlqz $ 1,130.00 X 2 Disponible $1130 Solicitado $1130 PRESUPUESTO: SI</v>
      </c>
    </row>
    <row r="190" spans="1:20" ht="30" x14ac:dyDescent="0.25">
      <c r="A190" s="6">
        <f t="shared" si="5"/>
        <v>189</v>
      </c>
      <c r="B190" s="21">
        <v>45313</v>
      </c>
      <c r="C190" s="17" t="s">
        <v>1320</v>
      </c>
      <c r="D190" s="65" t="s">
        <v>1223</v>
      </c>
      <c r="E190" s="65"/>
      <c r="F190" t="s">
        <v>1321</v>
      </c>
      <c r="G190" s="161">
        <f>MONTH(EJECUTADO[[#This Row],[FECHA]])</f>
        <v>1</v>
      </c>
      <c r="H190" s="163" t="str">
        <f>MID(EJECUTADO[[#This Row],[CUENTA]],1,4)</f>
        <v>E-01</v>
      </c>
      <c r="I190" s="163" t="str">
        <f>INDEX(CATALOGO[Descripción],MATCH(EJECUTADO[[#This Row],[APLICACIÓN]]&amp;"-00-00-00",CATALOGO[Código],0))</f>
        <v>SERVICIOS PROFESIONALES</v>
      </c>
      <c r="J1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Prof.Lic Reynaldo Lopez G $ 1,000*12</v>
      </c>
      <c r="K190" s="161" t="str">
        <f>IF((EJECUTADO[[#This Row],[MONTO DISPONIBLE ]]-EJECUTADO[[#This Row],[MONTO SOLICITADO]])&gt;=0,"PRESUPUESTO: SI","PRESUPUESTO: NO")</f>
        <v>PRESUPUESTO: SI</v>
      </c>
      <c r="L190" s="162">
        <f>SUMIF(PRESUPUESTO[CUENTA],EJECUTADO[[#This Row],[CUENTA]],PRESUPUESTO[MONTO])-SUMIF($F$1:F189,EJECUTADO[[#This Row],[CUENTA]],$M$1:M189)</f>
        <v>12000</v>
      </c>
      <c r="M190" s="2">
        <v>1000</v>
      </c>
      <c r="N190" s="2"/>
      <c r="O190" s="2"/>
      <c r="P190" s="162">
        <f>+EJECUTADO[[#This Row],[MONTO SOLICITADO]]-EJECUTADO[[#This Row],[RETENCION IVA]]-EJECUTADO[[#This Row],[RETENCION ISR]]</f>
        <v>1000</v>
      </c>
      <c r="Q190" s="84" t="s">
        <v>1000</v>
      </c>
      <c r="R190" s="2"/>
      <c r="S190">
        <v>1</v>
      </c>
      <c r="T190" s="168" t="str">
        <f t="shared" si="4"/>
        <v>SERVICIOS PROFESIONALES - Servicios Prof.Lic Reynaldo Lopez G $ 1,000*12 Disponible $12000 Solicitado $1000 PRESUPUESTO: SI</v>
      </c>
    </row>
    <row r="191" spans="1:20" ht="30" x14ac:dyDescent="0.25">
      <c r="A191" s="6">
        <f t="shared" si="5"/>
        <v>190</v>
      </c>
      <c r="B191" s="21">
        <v>45313</v>
      </c>
      <c r="C191" s="17" t="s">
        <v>1155</v>
      </c>
      <c r="D191" s="65" t="s">
        <v>1153</v>
      </c>
      <c r="E191" s="65"/>
      <c r="F191" t="s">
        <v>1322</v>
      </c>
      <c r="G191" s="161">
        <f>MONTH(EJECUTADO[[#This Row],[FECHA]])</f>
        <v>1</v>
      </c>
      <c r="H191" s="163" t="str">
        <f>MID(EJECUTADO[[#This Row],[CUENTA]],1,4)</f>
        <v>E-09</v>
      </c>
      <c r="I191" s="163" t="str">
        <f>INDEX(CATALOGO[Descripción],MATCH(EJECUTADO[[#This Row],[APLICACIÓN]]&amp;"-00-00-00",CATALOGO[Código],0))</f>
        <v>PRESTACIONES AL PERSONAL</v>
      </c>
      <c r="J1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191" s="161" t="str">
        <f>IF((EJECUTADO[[#This Row],[MONTO DISPONIBLE ]]-EJECUTADO[[#This Row],[MONTO SOLICITADO]])&gt;=0,"PRESUPUESTO: SI","PRESUPUESTO: NO")</f>
        <v>PRESUPUESTO: SI</v>
      </c>
      <c r="L191" s="162">
        <f>SUMIF(PRESUPUESTO[CUENTA],EJECUTADO[[#This Row],[CUENTA]],PRESUPUESTO[MONTO])-SUMIF($F$1:F190,EJECUTADO[[#This Row],[CUENTA]],$M$1:M190)</f>
        <v>8100</v>
      </c>
      <c r="M191" s="2">
        <v>1265.1600000000001</v>
      </c>
      <c r="N191" s="2"/>
      <c r="O191" s="2"/>
      <c r="P191" s="162">
        <f>+EJECUTADO[[#This Row],[MONTO SOLICITADO]]-EJECUTADO[[#This Row],[RETENCION IVA]]-EJECUTADO[[#This Row],[RETENCION ISR]]</f>
        <v>1265.1600000000001</v>
      </c>
      <c r="Q191" s="84" t="s">
        <v>1000</v>
      </c>
      <c r="R191" s="2"/>
      <c r="S191">
        <v>1</v>
      </c>
      <c r="T191" s="168" t="str">
        <f t="shared" si="4"/>
        <v>PRESTACIONES AL PERSONAL - SALA CUNA Disponible $8100 Solicitado $1265.16 PRESUPUESTO: SI</v>
      </c>
    </row>
    <row r="192" spans="1:20" ht="30" x14ac:dyDescent="0.25">
      <c r="A192" s="6">
        <f t="shared" si="5"/>
        <v>191</v>
      </c>
      <c r="B192" s="21">
        <v>45313</v>
      </c>
      <c r="C192" s="17" t="s">
        <v>1156</v>
      </c>
      <c r="D192" s="65" t="s">
        <v>1153</v>
      </c>
      <c r="E192" s="65"/>
      <c r="F192" t="s">
        <v>1322</v>
      </c>
      <c r="G192" s="161">
        <f>MONTH(EJECUTADO[[#This Row],[FECHA]])</f>
        <v>1</v>
      </c>
      <c r="H192" s="163" t="str">
        <f>MID(EJECUTADO[[#This Row],[CUENTA]],1,4)</f>
        <v>E-09</v>
      </c>
      <c r="I192" s="163" t="str">
        <f>INDEX(CATALOGO[Descripción],MATCH(EJECUTADO[[#This Row],[APLICACIÓN]]&amp;"-00-00-00",CATALOGO[Código],0))</f>
        <v>PRESTACIONES AL PERSONAL</v>
      </c>
      <c r="J1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192" s="161" t="str">
        <f>IF((EJECUTADO[[#This Row],[MONTO DISPONIBLE ]]-EJECUTADO[[#This Row],[MONTO SOLICITADO]])&gt;=0,"PRESUPUESTO: SI","PRESUPUESTO: NO")</f>
        <v>PRESUPUESTO: SI</v>
      </c>
      <c r="L192" s="162">
        <f>SUMIF(PRESUPUESTO[CUENTA],EJECUTADO[[#This Row],[CUENTA]],PRESUPUESTO[MONTO])-SUMIF($F$1:F191,EJECUTADO[[#This Row],[CUENTA]],$M$1:M191)</f>
        <v>6834.84</v>
      </c>
      <c r="M192" s="2">
        <v>1265.1600000000001</v>
      </c>
      <c r="N192" s="2"/>
      <c r="O192" s="2"/>
      <c r="P192" s="162">
        <f>+EJECUTADO[[#This Row],[MONTO SOLICITADO]]-EJECUTADO[[#This Row],[RETENCION IVA]]-EJECUTADO[[#This Row],[RETENCION ISR]]</f>
        <v>1265.1600000000001</v>
      </c>
      <c r="Q192" s="84" t="s">
        <v>1000</v>
      </c>
      <c r="R192" s="2"/>
      <c r="S192">
        <v>1</v>
      </c>
      <c r="T192" s="168" t="str">
        <f t="shared" si="4"/>
        <v>PRESTACIONES AL PERSONAL - SALA CUNA Disponible $6834.84 Solicitado $1265.16 PRESUPUESTO: SI</v>
      </c>
    </row>
    <row r="193" spans="1:20" ht="45" x14ac:dyDescent="0.25">
      <c r="A193" s="6">
        <f t="shared" si="5"/>
        <v>192</v>
      </c>
      <c r="B193" s="21">
        <v>45313</v>
      </c>
      <c r="C193" s="17" t="s">
        <v>1173</v>
      </c>
      <c r="D193" s="65" t="s">
        <v>1323</v>
      </c>
      <c r="E193" s="65"/>
      <c r="F193" t="s">
        <v>1167</v>
      </c>
      <c r="G193" s="161">
        <f>MONTH(EJECUTADO[[#This Row],[FECHA]])</f>
        <v>1</v>
      </c>
      <c r="H193" s="163" t="str">
        <f>MID(EJECUTADO[[#This Row],[CUENTA]],1,4)</f>
        <v>E-24</v>
      </c>
      <c r="I193" s="163" t="str">
        <f>INDEX(CATALOGO[Descripción],MATCH(EJECUTADO[[#This Row],[APLICACIÓN]]&amp;"-00-00-00",CATALOGO[Código],0))</f>
        <v>NUEVO INGRESO</v>
      </c>
      <c r="J1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193" s="161" t="str">
        <f>IF((EJECUTADO[[#This Row],[MONTO DISPONIBLE ]]-EJECUTADO[[#This Row],[MONTO SOLICITADO]])&gt;=0,"PRESUPUESTO: SI","PRESUPUESTO: NO")</f>
        <v>PRESUPUESTO: NO</v>
      </c>
      <c r="L193" s="162">
        <f>SUMIF(PRESUPUESTO[CUENTA],EJECUTADO[[#This Row],[CUENTA]],PRESUPUESTO[MONTO])-SUMIF($F$1:F192,EJECUTADO[[#This Row],[CUENTA]],$M$1:M192)</f>
        <v>-999.38000000000011</v>
      </c>
      <c r="M193" s="2">
        <v>19.38</v>
      </c>
      <c r="N193" s="2"/>
      <c r="O193" s="2"/>
      <c r="P193" s="162">
        <f>+EJECUTADO[[#This Row],[MONTO SOLICITADO]]-EJECUTADO[[#This Row],[RETENCION IVA]]-EJECUTADO[[#This Row],[RETENCION ISR]]</f>
        <v>19.38</v>
      </c>
      <c r="Q193" s="84" t="s">
        <v>1000</v>
      </c>
      <c r="R193" s="2"/>
      <c r="S193">
        <v>1</v>
      </c>
      <c r="T193" s="168" t="str">
        <f t="shared" si="4"/>
        <v>NUEVO INGRESO - Metrocentro - Mantenimiento de local $ 436.23 Disponible $-999.38 Solicitado $19.38 PRESUPUESTO: NO</v>
      </c>
    </row>
    <row r="194" spans="1:20" ht="30" x14ac:dyDescent="0.25">
      <c r="A194" s="6">
        <f t="shared" si="5"/>
        <v>193</v>
      </c>
      <c r="B194" s="21">
        <v>45313</v>
      </c>
      <c r="C194" s="17" t="s">
        <v>1173</v>
      </c>
      <c r="D194" s="65" t="s">
        <v>1324</v>
      </c>
      <c r="E194" s="65"/>
      <c r="F194" t="s">
        <v>1175</v>
      </c>
      <c r="G194" s="161">
        <f>MONTH(EJECUTADO[[#This Row],[FECHA]])</f>
        <v>1</v>
      </c>
      <c r="H194" s="163" t="str">
        <f>MID(EJECUTADO[[#This Row],[CUENTA]],1,4)</f>
        <v>E-24</v>
      </c>
      <c r="I194" s="163" t="str">
        <f>INDEX(CATALOGO[Descripción],MATCH(EJECUTADO[[#This Row],[APLICACIÓN]]&amp;"-00-00-00",CATALOGO[Código],0))</f>
        <v>NUEVO INGRESO</v>
      </c>
      <c r="J1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Parqueo vehículos del personal $ 40</v>
      </c>
      <c r="K194" s="161" t="str">
        <f>IF((EJECUTADO[[#This Row],[MONTO DISPONIBLE ]]-EJECUTADO[[#This Row],[MONTO SOLICITADO]])&gt;=0,"PRESUPUESTO: SI","PRESUPUESTO: NO")</f>
        <v>PRESUPUESTO: SI</v>
      </c>
      <c r="L194" s="162">
        <f>SUMIF(PRESUPUESTO[CUENTA],EJECUTADO[[#This Row],[CUENTA]],PRESUPUESTO[MONTO])-SUMIF($F$1:F193,EJECUTADO[[#This Row],[CUENTA]],$M$1:M193)</f>
        <v>430</v>
      </c>
      <c r="M194" s="2">
        <v>50</v>
      </c>
      <c r="N194" s="2"/>
      <c r="O194" s="2"/>
      <c r="P194" s="162">
        <f>+EJECUTADO[[#This Row],[MONTO SOLICITADO]]-EJECUTADO[[#This Row],[RETENCION IVA]]-EJECUTADO[[#This Row],[RETENCION ISR]]</f>
        <v>50</v>
      </c>
      <c r="Q194" s="84" t="s">
        <v>1000</v>
      </c>
      <c r="R194" s="2"/>
      <c r="S194">
        <v>1</v>
      </c>
      <c r="T194" s="168" t="str">
        <f t="shared" ref="T194:T257" si="6">_xlfn.CONCAT(I194," - ",J194," Disponible $",L194," Solicitado $",M194," ",K194,)</f>
        <v>NUEVO INGRESO - Metrocentro - Parqueo vehículos del personal $ 40 Disponible $430 Solicitado $50 PRESUPUESTO: SI</v>
      </c>
    </row>
    <row r="195" spans="1:20" ht="30" x14ac:dyDescent="0.25">
      <c r="A195" s="6">
        <f t="shared" si="5"/>
        <v>194</v>
      </c>
      <c r="B195" s="21">
        <v>45313</v>
      </c>
      <c r="C195" s="17" t="s">
        <v>1325</v>
      </c>
      <c r="D195" s="65" t="s">
        <v>1326</v>
      </c>
      <c r="E195" s="65"/>
      <c r="F195" t="s">
        <v>1327</v>
      </c>
      <c r="G195" s="161">
        <f>MONTH(EJECUTADO[[#This Row],[FECHA]])</f>
        <v>1</v>
      </c>
      <c r="H195" s="163" t="str">
        <f>MID(EJECUTADO[[#This Row],[CUENTA]],1,4)</f>
        <v>E-10</v>
      </c>
      <c r="I195" s="163" t="str">
        <f>INDEX(CATALOGO[Descripción],MATCH(EJECUTADO[[#This Row],[APLICACIÓN]]&amp;"-00-00-00",CATALOGO[Código],0))</f>
        <v>SERVICIOS PUBLICOS</v>
      </c>
      <c r="J1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195" s="161" t="str">
        <f>IF((EJECUTADO[[#This Row],[MONTO DISPONIBLE ]]-EJECUTADO[[#This Row],[MONTO SOLICITADO]])&gt;=0,"PRESUPUESTO: SI","PRESUPUESTO: NO")</f>
        <v>PRESUPUESTO: SI</v>
      </c>
      <c r="L195" s="162">
        <f>SUMIF(PRESUPUESTO[CUENTA],EJECUTADO[[#This Row],[CUENTA]],PRESUPUESTO[MONTO])-SUMIF($F$1:F194,EJECUTADO[[#This Row],[CUENTA]],$M$1:M194)</f>
        <v>40000</v>
      </c>
      <c r="M195" s="2">
        <v>3800.28</v>
      </c>
      <c r="N195" s="2"/>
      <c r="O195" s="2"/>
      <c r="P195" s="162">
        <f>+EJECUTADO[[#This Row],[MONTO SOLICITADO]]-EJECUTADO[[#This Row],[RETENCION IVA]]-EJECUTADO[[#This Row],[RETENCION ISR]]</f>
        <v>3800.28</v>
      </c>
      <c r="Q195" s="84" t="s">
        <v>1000</v>
      </c>
      <c r="R195" s="2"/>
      <c r="S195">
        <v>1</v>
      </c>
      <c r="T195" s="168" t="str">
        <f t="shared" si="6"/>
        <v>SERVICIOS PUBLICOS - SERVICIO PLANTA TELEFÓNICA  Disponible $40000 Solicitado $3800.28 PRESUPUESTO: SI</v>
      </c>
    </row>
    <row r="196" spans="1:20" ht="30" x14ac:dyDescent="0.25">
      <c r="A196" s="6">
        <f t="shared" ref="A196:A259" si="7">+A195+1</f>
        <v>195</v>
      </c>
      <c r="B196" s="21">
        <v>45313</v>
      </c>
      <c r="C196" s="17" t="s">
        <v>1325</v>
      </c>
      <c r="D196" s="65" t="s">
        <v>1326</v>
      </c>
      <c r="E196" s="65"/>
      <c r="F196" t="s">
        <v>1328</v>
      </c>
      <c r="G196" s="161">
        <f>MONTH(EJECUTADO[[#This Row],[FECHA]])</f>
        <v>1</v>
      </c>
      <c r="H196" s="163" t="str">
        <f>MID(EJECUTADO[[#This Row],[CUENTA]],1,4)</f>
        <v>E-13</v>
      </c>
      <c r="I196" s="163" t="str">
        <f>INDEX(CATALOGO[Descripción],MATCH(EJECUTADO[[#This Row],[APLICACIÓN]]&amp;"-00-00-00",CATALOGO[Código],0))</f>
        <v>MAESTRIAS Y POSTGRADOS</v>
      </c>
      <c r="J1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TELEFONICA </v>
      </c>
      <c r="K196" s="161" t="str">
        <f>IF((EJECUTADO[[#This Row],[MONTO DISPONIBLE ]]-EJECUTADO[[#This Row],[MONTO SOLICITADO]])&gt;=0,"PRESUPUESTO: SI","PRESUPUESTO: NO")</f>
        <v>PRESUPUESTO: SI</v>
      </c>
      <c r="L196" s="162">
        <f>SUMIF(PRESUPUESTO[CUENTA],EJECUTADO[[#This Row],[CUENTA]],PRESUPUESTO[MONTO])-SUMIF($F$1:F195,EJECUTADO[[#This Row],[CUENTA]],$M$1:M195)</f>
        <v>4836</v>
      </c>
      <c r="M196" s="2">
        <v>403.06</v>
      </c>
      <c r="N196" s="2"/>
      <c r="O196" s="2"/>
      <c r="P196" s="162">
        <f>+EJECUTADO[[#This Row],[MONTO SOLICITADO]]-EJECUTADO[[#This Row],[RETENCION IVA]]-EJECUTADO[[#This Row],[RETENCION ISR]]</f>
        <v>403.06</v>
      </c>
      <c r="Q196" s="84" t="s">
        <v>1000</v>
      </c>
      <c r="R196" s="2"/>
      <c r="S196">
        <v>1</v>
      </c>
      <c r="T196" s="168" t="str">
        <f t="shared" si="6"/>
        <v>MAESTRIAS Y POSTGRADOS - SERVICIO PLANTA TELEFONICA  Disponible $4836 Solicitado $403.06 PRESUPUESTO: SI</v>
      </c>
    </row>
    <row r="197" spans="1:20" ht="30" x14ac:dyDescent="0.25">
      <c r="A197" s="6">
        <f t="shared" si="7"/>
        <v>196</v>
      </c>
      <c r="B197" s="21">
        <v>45313</v>
      </c>
      <c r="C197" s="17" t="s">
        <v>1325</v>
      </c>
      <c r="D197" s="65" t="s">
        <v>1326</v>
      </c>
      <c r="E197" s="65"/>
      <c r="F197" t="s">
        <v>1329</v>
      </c>
      <c r="G197" s="161">
        <f>MONTH(EJECUTADO[[#This Row],[FECHA]])</f>
        <v>1</v>
      </c>
      <c r="H197" s="163" t="str">
        <f>MID(EJECUTADO[[#This Row],[CUENTA]],1,4)</f>
        <v>E-24</v>
      </c>
      <c r="I197" s="163" t="str">
        <f>INDEX(CATALOGO[Descripción],MATCH(EJECUTADO[[#This Row],[APLICACIÓN]]&amp;"-00-00-00",CATALOGO[Código],0))</f>
        <v>NUEVO INGRESO</v>
      </c>
      <c r="J19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97" s="161" t="str">
        <f>IF((EJECUTADO[[#This Row],[MONTO DISPONIBLE ]]-EJECUTADO[[#This Row],[MONTO SOLICITADO]])&gt;=0,"PRESUPUESTO: SI","PRESUPUESTO: NO")</f>
        <v>PRESUPUESTO: NO</v>
      </c>
      <c r="L197" s="162">
        <f>SUMIF(PRESUPUESTO[CUENTA],EJECUTADO[[#This Row],[CUENTA]],PRESUPUESTO[MONTO])-SUMIF($F$1:F196,EJECUTADO[[#This Row],[CUENTA]],$M$1:M196)</f>
        <v>0</v>
      </c>
      <c r="M197" s="2">
        <v>814.62</v>
      </c>
      <c r="N197" s="2"/>
      <c r="O197" s="2"/>
      <c r="P197" s="162">
        <f>+EJECUTADO[[#This Row],[MONTO SOLICITADO]]-EJECUTADO[[#This Row],[RETENCION IVA]]-EJECUTADO[[#This Row],[RETENCION ISR]]</f>
        <v>814.62</v>
      </c>
      <c r="Q197" s="84" t="s">
        <v>1000</v>
      </c>
      <c r="R197" s="2"/>
      <c r="S197">
        <v>1</v>
      </c>
      <c r="T197" s="168" t="e">
        <f t="shared" si="6"/>
        <v>#N/A</v>
      </c>
    </row>
    <row r="198" spans="1:20" ht="30" x14ac:dyDescent="0.25">
      <c r="A198" s="6">
        <f t="shared" si="7"/>
        <v>197</v>
      </c>
      <c r="B198" s="21">
        <v>45315</v>
      </c>
      <c r="C198" s="17" t="s">
        <v>1330</v>
      </c>
      <c r="D198" s="65" t="s">
        <v>1331</v>
      </c>
      <c r="E198" s="65"/>
      <c r="F198" t="s">
        <v>1332</v>
      </c>
      <c r="G198" s="161">
        <f>MONTH(EJECUTADO[[#This Row],[FECHA]])</f>
        <v>1</v>
      </c>
      <c r="H198" s="163" t="str">
        <f>MID(EJECUTADO[[#This Row],[CUENTA]],1,4)</f>
        <v>E-17</v>
      </c>
      <c r="I198" s="163" t="str">
        <f>INDEX(CATALOGO[Descripción],MATCH(EJECUTADO[[#This Row],[APLICACIÓN]]&amp;"-00-00-00",CATALOGO[Código],0))</f>
        <v>MEDIOS DE COMUNICACIÓN</v>
      </c>
      <c r="J1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198" s="161" t="str">
        <f>IF((EJECUTADO[[#This Row],[MONTO DISPONIBLE ]]-EJECUTADO[[#This Row],[MONTO SOLICITADO]])&gt;=0,"PRESUPUESTO: SI","PRESUPUESTO: NO")</f>
        <v>PRESUPUESTO: SI</v>
      </c>
      <c r="L198" s="162">
        <f>SUMIF(PRESUPUESTO[CUENTA],EJECUTADO[[#This Row],[CUENTA]],PRESUPUESTO[MONTO])-SUMIF($F$1:F197,EJECUTADO[[#This Row],[CUENTA]],$M$1:M197)</f>
        <v>2400</v>
      </c>
      <c r="M198" s="2">
        <v>100</v>
      </c>
      <c r="N198" s="2"/>
      <c r="O198" s="2"/>
      <c r="P198" s="162">
        <f>+EJECUTADO[[#This Row],[MONTO SOLICITADO]]-EJECUTADO[[#This Row],[RETENCION IVA]]-EJECUTADO[[#This Row],[RETENCION ISR]]</f>
        <v>100</v>
      </c>
      <c r="Q198" s="84" t="s">
        <v>1000</v>
      </c>
      <c r="R198" s="2"/>
      <c r="S198">
        <v>1</v>
      </c>
      <c r="T198" s="168" t="str">
        <f t="shared" si="6"/>
        <v>MEDIOS DE COMUNICACIÓN - Publicaciones - Estipendios pasantes 2 (Daniel Durán y Adriana Arteaga) Disponible $2400 Solicitado $100 PRESUPUESTO: SI</v>
      </c>
    </row>
    <row r="199" spans="1:20" ht="30" x14ac:dyDescent="0.25">
      <c r="A199" s="6">
        <f t="shared" si="7"/>
        <v>198</v>
      </c>
      <c r="B199" s="21">
        <v>45315</v>
      </c>
      <c r="C199" s="17" t="s">
        <v>1333</v>
      </c>
      <c r="D199" s="65" t="s">
        <v>1334</v>
      </c>
      <c r="E199" s="65"/>
      <c r="F199" t="s">
        <v>1335</v>
      </c>
      <c r="G199" s="161">
        <f>MONTH(EJECUTADO[[#This Row],[FECHA]])</f>
        <v>1</v>
      </c>
      <c r="H199" s="163" t="str">
        <f>MID(EJECUTADO[[#This Row],[CUENTA]],1,4)</f>
        <v>E-17</v>
      </c>
      <c r="I199" s="163" t="str">
        <f>INDEX(CATALOGO[Descripción],MATCH(EJECUTADO[[#This Row],[APLICACIÓN]]&amp;"-00-00-00",CATALOGO[Código],0))</f>
        <v>MEDIOS DE COMUNICACIÓN</v>
      </c>
      <c r="J1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199" s="161" t="str">
        <f>IF((EJECUTADO[[#This Row],[MONTO DISPONIBLE ]]-EJECUTADO[[#This Row],[MONTO SOLICITADO]])&gt;=0,"PRESUPUESTO: SI","PRESUPUESTO: NO")</f>
        <v>PRESUPUESTO: SI</v>
      </c>
      <c r="L199" s="162">
        <f>SUMIF(PRESUPUESTO[CUENTA],EJECUTADO[[#This Row],[CUENTA]],PRESUPUESTO[MONTO])-SUMIF($F$1:F198,EJECUTADO[[#This Row],[CUENTA]],$M$1:M198)</f>
        <v>1200</v>
      </c>
      <c r="M199" s="2">
        <v>100</v>
      </c>
      <c r="N199" s="2"/>
      <c r="O199" s="2"/>
      <c r="P199" s="162">
        <f>+EJECUTADO[[#This Row],[MONTO SOLICITADO]]-EJECUTADO[[#This Row],[RETENCION IVA]]-EJECUTADO[[#This Row],[RETENCION ISR]]</f>
        <v>100</v>
      </c>
      <c r="Q199" s="84" t="s">
        <v>1000</v>
      </c>
      <c r="R199" s="2"/>
      <c r="S199">
        <v>1</v>
      </c>
      <c r="T199" s="168" t="str">
        <f t="shared" si="6"/>
        <v>MEDIOS DE COMUNICACIÓN - Estudio de TV - Estipendio pasante (1) (Yuri Sosa) - Estudio de TV Disponible $1200 Solicitado $100 PRESUPUESTO: SI</v>
      </c>
    </row>
    <row r="200" spans="1:20" x14ac:dyDescent="0.25">
      <c r="A200" s="6">
        <f t="shared" si="7"/>
        <v>199</v>
      </c>
      <c r="B200" s="21">
        <v>45315</v>
      </c>
      <c r="C200" s="17" t="s">
        <v>1336</v>
      </c>
      <c r="D200" s="65" t="s">
        <v>1334</v>
      </c>
      <c r="E200" s="65"/>
      <c r="F200" t="s">
        <v>1335</v>
      </c>
      <c r="G200" s="161">
        <f>MONTH(EJECUTADO[[#This Row],[FECHA]])</f>
        <v>1</v>
      </c>
      <c r="H200" s="163" t="str">
        <f>MID(EJECUTADO[[#This Row],[CUENTA]],1,4)</f>
        <v>E-17</v>
      </c>
      <c r="I200" s="163" t="str">
        <f>INDEX(CATALOGO[Descripción],MATCH(EJECUTADO[[#This Row],[APLICACIÓN]]&amp;"-00-00-00",CATALOGO[Código],0))</f>
        <v>MEDIOS DE COMUNICACIÓN</v>
      </c>
      <c r="J2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200" s="161" t="str">
        <f>IF((EJECUTADO[[#This Row],[MONTO DISPONIBLE ]]-EJECUTADO[[#This Row],[MONTO SOLICITADO]])&gt;=0,"PRESUPUESTO: SI","PRESUPUESTO: NO")</f>
        <v>PRESUPUESTO: SI</v>
      </c>
      <c r="L200" s="162">
        <f>SUMIF(PRESUPUESTO[CUENTA],EJECUTADO[[#This Row],[CUENTA]],PRESUPUESTO[MONTO])-SUMIF($F$1:F199,EJECUTADO[[#This Row],[CUENTA]],$M$1:M199)</f>
        <v>1100</v>
      </c>
      <c r="M200" s="2">
        <v>100</v>
      </c>
      <c r="N200" s="2"/>
      <c r="O200" s="2"/>
      <c r="P200" s="162">
        <f>+EJECUTADO[[#This Row],[MONTO SOLICITADO]]-EJECUTADO[[#This Row],[RETENCION IVA]]-EJECUTADO[[#This Row],[RETENCION ISR]]</f>
        <v>100</v>
      </c>
      <c r="Q200" s="84" t="s">
        <v>1000</v>
      </c>
      <c r="R200" s="2"/>
      <c r="S200">
        <v>1</v>
      </c>
      <c r="T200" s="168" t="str">
        <f t="shared" si="6"/>
        <v>MEDIOS DE COMUNICACIÓN - Estudio de TV - Estipendio pasante (1) (Yuri Sosa) - Estudio de TV Disponible $1100 Solicitado $100 PRESUPUESTO: SI</v>
      </c>
    </row>
    <row r="201" spans="1:20" ht="30" x14ac:dyDescent="0.25">
      <c r="A201" s="6">
        <f t="shared" si="7"/>
        <v>200</v>
      </c>
      <c r="B201" s="21">
        <v>45315</v>
      </c>
      <c r="C201" s="17" t="s">
        <v>1337</v>
      </c>
      <c r="D201" s="65" t="s">
        <v>1334</v>
      </c>
      <c r="E201" s="65"/>
      <c r="F201" t="s">
        <v>1332</v>
      </c>
      <c r="G201" s="161">
        <f>MONTH(EJECUTADO[[#This Row],[FECHA]])</f>
        <v>1</v>
      </c>
      <c r="H201" s="163" t="str">
        <f>MID(EJECUTADO[[#This Row],[CUENTA]],1,4)</f>
        <v>E-17</v>
      </c>
      <c r="I201" s="163" t="str">
        <f>INDEX(CATALOGO[Descripción],MATCH(EJECUTADO[[#This Row],[APLICACIÓN]]&amp;"-00-00-00",CATALOGO[Código],0))</f>
        <v>MEDIOS DE COMUNICACIÓN</v>
      </c>
      <c r="J2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201" s="161" t="str">
        <f>IF((EJECUTADO[[#This Row],[MONTO DISPONIBLE ]]-EJECUTADO[[#This Row],[MONTO SOLICITADO]])&gt;=0,"PRESUPUESTO: SI","PRESUPUESTO: NO")</f>
        <v>PRESUPUESTO: SI</v>
      </c>
      <c r="L201" s="162">
        <f>SUMIF(PRESUPUESTO[CUENTA],EJECUTADO[[#This Row],[CUENTA]],PRESUPUESTO[MONTO])-SUMIF($F$1:F200,EJECUTADO[[#This Row],[CUENTA]],$M$1:M200)</f>
        <v>2300</v>
      </c>
      <c r="M201" s="2">
        <v>100</v>
      </c>
      <c r="N201" s="2"/>
      <c r="O201" s="2"/>
      <c r="P201" s="162">
        <f>+EJECUTADO[[#This Row],[MONTO SOLICITADO]]-EJECUTADO[[#This Row],[RETENCION IVA]]-EJECUTADO[[#This Row],[RETENCION ISR]]</f>
        <v>100</v>
      </c>
      <c r="Q201" s="84" t="s">
        <v>1000</v>
      </c>
      <c r="R201" s="2"/>
      <c r="S201">
        <v>1</v>
      </c>
      <c r="T201" s="168" t="str">
        <f t="shared" si="6"/>
        <v>MEDIOS DE COMUNICACIÓN - Publicaciones - Estipendios pasantes 2 (Daniel Durán y Adriana Arteaga) Disponible $2300 Solicitado $100 PRESUPUESTO: SI</v>
      </c>
    </row>
    <row r="202" spans="1:20" x14ac:dyDescent="0.25">
      <c r="A202" s="6">
        <f t="shared" si="7"/>
        <v>201</v>
      </c>
      <c r="B202" s="21">
        <v>45315</v>
      </c>
      <c r="C202" s="17" t="s">
        <v>1338</v>
      </c>
      <c r="D202" s="65" t="s">
        <v>1334</v>
      </c>
      <c r="E202" s="65"/>
      <c r="F202" s="37" t="s">
        <v>1339</v>
      </c>
      <c r="G202" s="161">
        <f>MONTH(EJECUTADO[[#This Row],[FECHA]])</f>
        <v>1</v>
      </c>
      <c r="H202" s="163" t="str">
        <f>MID(EJECUTADO[[#This Row],[CUENTA]],1,4)</f>
        <v>E-18</v>
      </c>
      <c r="I202" s="163" t="str">
        <f>INDEX(CATALOGO[Descripción],MATCH(EJECUTADO[[#This Row],[APLICACIÓN]]&amp;"-00-00-00",CATALOGO[Código],0))</f>
        <v>COMUNICACIÓN INSTITUCIONAL</v>
      </c>
      <c r="J2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Com. Interna - Estipendio pasante (Maria José Arteaga) </v>
      </c>
      <c r="K202" s="161" t="str">
        <f>IF((EJECUTADO[[#This Row],[MONTO DISPONIBLE ]]-EJECUTADO[[#This Row],[MONTO SOLICITADO]])&gt;=0,"PRESUPUESTO: SI","PRESUPUESTO: NO")</f>
        <v>PRESUPUESTO: SI</v>
      </c>
      <c r="L202" s="162">
        <f>SUMIF(PRESUPUESTO[CUENTA],EJECUTADO[[#This Row],[CUENTA]],PRESUPUESTO[MONTO])-SUMIF($F$1:F201,EJECUTADO[[#This Row],[CUENTA]],$M$1:M201)</f>
        <v>1200</v>
      </c>
      <c r="M202" s="2">
        <v>100</v>
      </c>
      <c r="N202" s="2"/>
      <c r="O202" s="2"/>
      <c r="P202" s="162">
        <f>+EJECUTADO[[#This Row],[MONTO SOLICITADO]]-EJECUTADO[[#This Row],[RETENCION IVA]]-EJECUTADO[[#This Row],[RETENCION ISR]]</f>
        <v>100</v>
      </c>
      <c r="Q202" s="84" t="s">
        <v>1000</v>
      </c>
      <c r="R202" s="2"/>
      <c r="S202">
        <v>1</v>
      </c>
      <c r="T202" s="168" t="str">
        <f t="shared" si="6"/>
        <v>COMUNICACIÓN INSTITUCIONAL - Com. Interna - Estipendio pasante (Maria José Arteaga)  Disponible $1200 Solicitado $100 PRESUPUESTO: SI</v>
      </c>
    </row>
    <row r="203" spans="1:20" ht="45" x14ac:dyDescent="0.25">
      <c r="A203" s="6">
        <f t="shared" si="7"/>
        <v>202</v>
      </c>
      <c r="B203" s="21">
        <v>45315</v>
      </c>
      <c r="C203" s="17" t="s">
        <v>1340</v>
      </c>
      <c r="D203" s="65" t="s">
        <v>1341</v>
      </c>
      <c r="E203" s="65"/>
      <c r="F203" t="s">
        <v>1042</v>
      </c>
      <c r="G203" s="161">
        <f>MONTH(EJECUTADO[[#This Row],[FECHA]])</f>
        <v>1</v>
      </c>
      <c r="H203" s="163" t="str">
        <f>MID(EJECUTADO[[#This Row],[CUENTA]],1,4)</f>
        <v>E-23</v>
      </c>
      <c r="I203" s="163" t="str">
        <f>INDEX(CATALOGO[Descripción],MATCH(EJECUTADO[[#This Row],[APLICACIÓN]]&amp;"-00-00-00",CATALOGO[Código],0))</f>
        <v>GASTOS DE VIAJE</v>
      </c>
      <c r="J2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3" s="161" t="str">
        <f>IF((EJECUTADO[[#This Row],[MONTO DISPONIBLE ]]-EJECUTADO[[#This Row],[MONTO SOLICITADO]])&gt;=0,"PRESUPUESTO: SI","PRESUPUESTO: NO")</f>
        <v>PRESUPUESTO: SI</v>
      </c>
      <c r="L203" s="162">
        <f>SUMIF(PRESUPUESTO[CUENTA],EJECUTADO[[#This Row],[CUENTA]],PRESUPUESTO[MONTO])-SUMIF($F$1:F202,EJECUTADO[[#This Row],[CUENTA]],$M$1:M202)</f>
        <v>3624</v>
      </c>
      <c r="M203" s="2">
        <v>97</v>
      </c>
      <c r="N203" s="2"/>
      <c r="O203" s="2"/>
      <c r="P203" s="162">
        <f>+EJECUTADO[[#This Row],[MONTO SOLICITADO]]-EJECUTADO[[#This Row],[RETENCION IVA]]-EJECUTADO[[#This Row],[RETENCION ISR]]</f>
        <v>97</v>
      </c>
      <c r="Q203" s="84" t="s">
        <v>1000</v>
      </c>
      <c r="R203" s="2"/>
      <c r="S203">
        <v>1</v>
      </c>
      <c r="T203" s="168" t="str">
        <f t="shared" si="6"/>
        <v>GASTOS DE VIAJE - OTROS VIATICOS AL PERSONAL Disponible $3624 Solicitado $97 PRESUPUESTO: SI</v>
      </c>
    </row>
    <row r="204" spans="1:20" ht="45" x14ac:dyDescent="0.25">
      <c r="A204" s="6">
        <f t="shared" si="7"/>
        <v>203</v>
      </c>
      <c r="B204" s="21">
        <v>45315</v>
      </c>
      <c r="C204" s="17" t="s">
        <v>1342</v>
      </c>
      <c r="D204" s="65" t="s">
        <v>1341</v>
      </c>
      <c r="E204" s="65"/>
      <c r="F204" t="s">
        <v>1042</v>
      </c>
      <c r="G204" s="161">
        <f>MONTH(EJECUTADO[[#This Row],[FECHA]])</f>
        <v>1</v>
      </c>
      <c r="H204" s="163" t="str">
        <f>MID(EJECUTADO[[#This Row],[CUENTA]],1,4)</f>
        <v>E-23</v>
      </c>
      <c r="I204" s="163" t="str">
        <f>INDEX(CATALOGO[Descripción],MATCH(EJECUTADO[[#This Row],[APLICACIÓN]]&amp;"-00-00-00",CATALOGO[Código],0))</f>
        <v>GASTOS DE VIAJE</v>
      </c>
      <c r="J2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4" s="161" t="str">
        <f>IF((EJECUTADO[[#This Row],[MONTO DISPONIBLE ]]-EJECUTADO[[#This Row],[MONTO SOLICITADO]])&gt;=0,"PRESUPUESTO: SI","PRESUPUESTO: NO")</f>
        <v>PRESUPUESTO: SI</v>
      </c>
      <c r="L204" s="162">
        <f>SUMIF(PRESUPUESTO[CUENTA],EJECUTADO[[#This Row],[CUENTA]],PRESUPUESTO[MONTO])-SUMIF($F$1:F203,EJECUTADO[[#This Row],[CUENTA]],$M$1:M203)</f>
        <v>3527</v>
      </c>
      <c r="M204" s="2">
        <v>97</v>
      </c>
      <c r="N204" s="2"/>
      <c r="O204" s="2"/>
      <c r="P204" s="162">
        <f>+EJECUTADO[[#This Row],[MONTO SOLICITADO]]-EJECUTADO[[#This Row],[RETENCION IVA]]-EJECUTADO[[#This Row],[RETENCION ISR]]</f>
        <v>97</v>
      </c>
      <c r="Q204" s="84" t="s">
        <v>1000</v>
      </c>
      <c r="R204" s="2"/>
      <c r="S204">
        <v>1</v>
      </c>
      <c r="T204" s="168" t="str">
        <f t="shared" si="6"/>
        <v>GASTOS DE VIAJE - OTROS VIATICOS AL PERSONAL Disponible $3527 Solicitado $97 PRESUPUESTO: SI</v>
      </c>
    </row>
    <row r="205" spans="1:20" ht="45" x14ac:dyDescent="0.25">
      <c r="A205" s="6">
        <f t="shared" si="7"/>
        <v>204</v>
      </c>
      <c r="B205" s="21">
        <v>45315</v>
      </c>
      <c r="C205" s="17" t="s">
        <v>1343</v>
      </c>
      <c r="D205" s="65" t="s">
        <v>1341</v>
      </c>
      <c r="E205" s="65"/>
      <c r="F205" t="s">
        <v>1042</v>
      </c>
      <c r="G205" s="161">
        <f>MONTH(EJECUTADO[[#This Row],[FECHA]])</f>
        <v>1</v>
      </c>
      <c r="H205" s="163" t="str">
        <f>MID(EJECUTADO[[#This Row],[CUENTA]],1,4)</f>
        <v>E-23</v>
      </c>
      <c r="I205" s="163" t="str">
        <f>INDEX(CATALOGO[Descripción],MATCH(EJECUTADO[[#This Row],[APLICACIÓN]]&amp;"-00-00-00",CATALOGO[Código],0))</f>
        <v>GASTOS DE VIAJE</v>
      </c>
      <c r="J2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5" s="161" t="str">
        <f>IF((EJECUTADO[[#This Row],[MONTO DISPONIBLE ]]-EJECUTADO[[#This Row],[MONTO SOLICITADO]])&gt;=0,"PRESUPUESTO: SI","PRESUPUESTO: NO")</f>
        <v>PRESUPUESTO: SI</v>
      </c>
      <c r="L205" s="162">
        <f>SUMIF(PRESUPUESTO[CUENTA],EJECUTADO[[#This Row],[CUENTA]],PRESUPUESTO[MONTO])-SUMIF($F$1:F204,EJECUTADO[[#This Row],[CUENTA]],$M$1:M204)</f>
        <v>3430</v>
      </c>
      <c r="M205" s="2">
        <v>97</v>
      </c>
      <c r="N205" s="2"/>
      <c r="O205" s="2"/>
      <c r="P205" s="162">
        <f>+EJECUTADO[[#This Row],[MONTO SOLICITADO]]-EJECUTADO[[#This Row],[RETENCION IVA]]-EJECUTADO[[#This Row],[RETENCION ISR]]</f>
        <v>97</v>
      </c>
      <c r="Q205" s="84" t="s">
        <v>1000</v>
      </c>
      <c r="R205" s="2"/>
      <c r="S205">
        <v>1</v>
      </c>
      <c r="T205" s="168" t="str">
        <f t="shared" si="6"/>
        <v>GASTOS DE VIAJE - OTROS VIATICOS AL PERSONAL Disponible $3430 Solicitado $97 PRESUPUESTO: SI</v>
      </c>
    </row>
    <row r="206" spans="1:20" ht="45" x14ac:dyDescent="0.25">
      <c r="A206" s="6">
        <f t="shared" si="7"/>
        <v>205</v>
      </c>
      <c r="B206" s="21">
        <v>45315</v>
      </c>
      <c r="C206" s="17" t="s">
        <v>1344</v>
      </c>
      <c r="D206" s="65" t="s">
        <v>1341</v>
      </c>
      <c r="E206" s="65"/>
      <c r="F206" t="s">
        <v>1042</v>
      </c>
      <c r="G206" s="161">
        <f>MONTH(EJECUTADO[[#This Row],[FECHA]])</f>
        <v>1</v>
      </c>
      <c r="H206" s="163" t="str">
        <f>MID(EJECUTADO[[#This Row],[CUENTA]],1,4)</f>
        <v>E-23</v>
      </c>
      <c r="I206" s="163" t="str">
        <f>INDEX(CATALOGO[Descripción],MATCH(EJECUTADO[[#This Row],[APLICACIÓN]]&amp;"-00-00-00",CATALOGO[Código],0))</f>
        <v>GASTOS DE VIAJE</v>
      </c>
      <c r="J2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6" s="161" t="str">
        <f>IF((EJECUTADO[[#This Row],[MONTO DISPONIBLE ]]-EJECUTADO[[#This Row],[MONTO SOLICITADO]])&gt;=0,"PRESUPUESTO: SI","PRESUPUESTO: NO")</f>
        <v>PRESUPUESTO: SI</v>
      </c>
      <c r="L206" s="162">
        <f>SUMIF(PRESUPUESTO[CUENTA],EJECUTADO[[#This Row],[CUENTA]],PRESUPUESTO[MONTO])-SUMIF($F$1:F205,EJECUTADO[[#This Row],[CUENTA]],$M$1:M205)</f>
        <v>3333</v>
      </c>
      <c r="M206" s="2">
        <v>97</v>
      </c>
      <c r="N206" s="2"/>
      <c r="O206" s="2"/>
      <c r="P206" s="162">
        <f>+EJECUTADO[[#This Row],[MONTO SOLICITADO]]-EJECUTADO[[#This Row],[RETENCION IVA]]-EJECUTADO[[#This Row],[RETENCION ISR]]</f>
        <v>97</v>
      </c>
      <c r="Q206" s="84" t="s">
        <v>1000</v>
      </c>
      <c r="R206" s="2"/>
      <c r="S206">
        <v>1</v>
      </c>
      <c r="T206" s="168" t="str">
        <f t="shared" si="6"/>
        <v>GASTOS DE VIAJE - OTROS VIATICOS AL PERSONAL Disponible $3333 Solicitado $97 PRESUPUESTO: SI</v>
      </c>
    </row>
    <row r="207" spans="1:20" ht="45" x14ac:dyDescent="0.25">
      <c r="A207" s="6">
        <f t="shared" si="7"/>
        <v>206</v>
      </c>
      <c r="B207" s="21">
        <v>45315</v>
      </c>
      <c r="C207" s="17" t="s">
        <v>1279</v>
      </c>
      <c r="D207" s="65" t="s">
        <v>1341</v>
      </c>
      <c r="E207" s="65"/>
      <c r="F207" t="s">
        <v>1281</v>
      </c>
      <c r="G207" s="161">
        <f>MONTH(EJECUTADO[[#This Row],[FECHA]])</f>
        <v>1</v>
      </c>
      <c r="H207" s="163" t="str">
        <f>MID(EJECUTADO[[#This Row],[CUENTA]],1,4)</f>
        <v>E-03</v>
      </c>
      <c r="I207" s="163" t="str">
        <f>INDEX(CATALOGO[Descripción],MATCH(EJECUTADO[[#This Row],[APLICACIÓN]]&amp;"-00-00-00",CATALOGO[Código],0))</f>
        <v>SUELDOS ADMINISTRATIVOS</v>
      </c>
      <c r="J2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07" s="161" t="str">
        <f>IF((EJECUTADO[[#This Row],[MONTO DISPONIBLE ]]-EJECUTADO[[#This Row],[MONTO SOLICITADO]])&gt;=0,"PRESUPUESTO: SI","PRESUPUESTO: NO")</f>
        <v>PRESUPUESTO: SI</v>
      </c>
      <c r="L207" s="162">
        <f>SUMIF(PRESUPUESTO[CUENTA],EJECUTADO[[#This Row],[CUENTA]],PRESUPUESTO[MONTO])-SUMIF($F$1:F206,EJECUTADO[[#This Row],[CUENTA]],$M$1:M206)</f>
        <v>318900</v>
      </c>
      <c r="M207" s="2">
        <v>117</v>
      </c>
      <c r="N207" s="2"/>
      <c r="O207" s="2"/>
      <c r="P207" s="162">
        <f>+EJECUTADO[[#This Row],[MONTO SOLICITADO]]-EJECUTADO[[#This Row],[RETENCION IVA]]-EJECUTADO[[#This Row],[RETENCION ISR]]</f>
        <v>117</v>
      </c>
      <c r="Q207" s="84" t="s">
        <v>1000</v>
      </c>
      <c r="R207" s="2"/>
      <c r="S207">
        <v>1</v>
      </c>
      <c r="T207" s="168" t="str">
        <f t="shared" si="6"/>
        <v>SUELDOS ADMINISTRATIVOS - SUELDOS Y SALARIOS VICERRECTORÍA FINANCIERA  Disponible $318900 Solicitado $117 PRESUPUESTO: SI</v>
      </c>
    </row>
    <row r="208" spans="1:20" ht="45" x14ac:dyDescent="0.25">
      <c r="A208" s="6">
        <f t="shared" si="7"/>
        <v>207</v>
      </c>
      <c r="B208" s="21">
        <v>45315</v>
      </c>
      <c r="C208" s="17" t="s">
        <v>1345</v>
      </c>
      <c r="D208" s="65" t="s">
        <v>1341</v>
      </c>
      <c r="E208" s="65"/>
      <c r="F208" t="s">
        <v>1042</v>
      </c>
      <c r="G208" s="161">
        <f>MONTH(EJECUTADO[[#This Row],[FECHA]])</f>
        <v>1</v>
      </c>
      <c r="H208" s="163" t="str">
        <f>MID(EJECUTADO[[#This Row],[CUENTA]],1,4)</f>
        <v>E-23</v>
      </c>
      <c r="I208" s="163" t="str">
        <f>INDEX(CATALOGO[Descripción],MATCH(EJECUTADO[[#This Row],[APLICACIÓN]]&amp;"-00-00-00",CATALOGO[Código],0))</f>
        <v>GASTOS DE VIAJE</v>
      </c>
      <c r="J2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8" s="161" t="str">
        <f>IF((EJECUTADO[[#This Row],[MONTO DISPONIBLE ]]-EJECUTADO[[#This Row],[MONTO SOLICITADO]])&gt;=0,"PRESUPUESTO: SI","PRESUPUESTO: NO")</f>
        <v>PRESUPUESTO: SI</v>
      </c>
      <c r="L208" s="162">
        <f>SUMIF(PRESUPUESTO[CUENTA],EJECUTADO[[#This Row],[CUENTA]],PRESUPUESTO[MONTO])-SUMIF($F$1:F207,EJECUTADO[[#This Row],[CUENTA]],$M$1:M207)</f>
        <v>3236</v>
      </c>
      <c r="M208" s="2">
        <v>97</v>
      </c>
      <c r="N208" s="2"/>
      <c r="O208" s="2"/>
      <c r="P208" s="162">
        <f>+EJECUTADO[[#This Row],[MONTO SOLICITADO]]-EJECUTADO[[#This Row],[RETENCION IVA]]-EJECUTADO[[#This Row],[RETENCION ISR]]</f>
        <v>97</v>
      </c>
      <c r="Q208" s="84" t="s">
        <v>1000</v>
      </c>
      <c r="R208" s="2"/>
      <c r="S208">
        <v>1</v>
      </c>
      <c r="T208" s="168" t="str">
        <f t="shared" si="6"/>
        <v>GASTOS DE VIAJE - OTROS VIATICOS AL PERSONAL Disponible $3236 Solicitado $97 PRESUPUESTO: SI</v>
      </c>
    </row>
    <row r="209" spans="1:20" ht="45" x14ac:dyDescent="0.25">
      <c r="A209" s="6">
        <f t="shared" si="7"/>
        <v>208</v>
      </c>
      <c r="B209" s="21">
        <v>45315</v>
      </c>
      <c r="C209" s="17" t="s">
        <v>1282</v>
      </c>
      <c r="D209" s="65" t="s">
        <v>1341</v>
      </c>
      <c r="E209" s="65"/>
      <c r="F209" t="s">
        <v>1042</v>
      </c>
      <c r="G209" s="161">
        <f>MONTH(EJECUTADO[[#This Row],[FECHA]])</f>
        <v>1</v>
      </c>
      <c r="H209" s="163" t="str">
        <f>MID(EJECUTADO[[#This Row],[CUENTA]],1,4)</f>
        <v>E-23</v>
      </c>
      <c r="I209" s="163" t="str">
        <f>INDEX(CATALOGO[Descripción],MATCH(EJECUTADO[[#This Row],[APLICACIÓN]]&amp;"-00-00-00",CATALOGO[Código],0))</f>
        <v>GASTOS DE VIAJE</v>
      </c>
      <c r="J2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209" s="161" t="str">
        <f>IF((EJECUTADO[[#This Row],[MONTO DISPONIBLE ]]-EJECUTADO[[#This Row],[MONTO SOLICITADO]])&gt;=0,"PRESUPUESTO: SI","PRESUPUESTO: NO")</f>
        <v>PRESUPUESTO: SI</v>
      </c>
      <c r="L209" s="162">
        <f>SUMIF(PRESUPUESTO[CUENTA],EJECUTADO[[#This Row],[CUENTA]],PRESUPUESTO[MONTO])-SUMIF($F$1:F208,EJECUTADO[[#This Row],[CUENTA]],$M$1:M208)</f>
        <v>3139</v>
      </c>
      <c r="M209" s="2">
        <v>117</v>
      </c>
      <c r="N209" s="2"/>
      <c r="O209" s="2"/>
      <c r="P209" s="162">
        <f>+EJECUTADO[[#This Row],[MONTO SOLICITADO]]-EJECUTADO[[#This Row],[RETENCION IVA]]-EJECUTADO[[#This Row],[RETENCION ISR]]</f>
        <v>117</v>
      </c>
      <c r="Q209" s="84" t="s">
        <v>1000</v>
      </c>
      <c r="R209" s="2"/>
      <c r="S209">
        <v>1</v>
      </c>
      <c r="T209" s="168" t="str">
        <f t="shared" si="6"/>
        <v>GASTOS DE VIAJE - OTROS VIATICOS AL PERSONAL Disponible $3139 Solicitado $117 PRESUPUESTO: SI</v>
      </c>
    </row>
    <row r="210" spans="1:20" ht="30" x14ac:dyDescent="0.25">
      <c r="A210" s="6">
        <f t="shared" si="7"/>
        <v>209</v>
      </c>
      <c r="B210" s="21">
        <v>45315</v>
      </c>
      <c r="C210" s="17" t="s">
        <v>1346</v>
      </c>
      <c r="D210" s="65" t="s">
        <v>1080</v>
      </c>
      <c r="E210" s="65"/>
      <c r="F210" t="s">
        <v>1081</v>
      </c>
      <c r="G210" s="161">
        <f>MONTH(EJECUTADO[[#This Row],[FECHA]])</f>
        <v>1</v>
      </c>
      <c r="H210" s="163" t="str">
        <f>MID(EJECUTADO[[#This Row],[CUENTA]],1,4)</f>
        <v>E-10</v>
      </c>
      <c r="I210" s="163" t="str">
        <f>INDEX(CATALOGO[Descripción],MATCH(EJECUTADO[[#This Row],[APLICACIÓN]]&amp;"-00-00-00",CATALOGO[Código],0))</f>
        <v>SERVICIOS PUBLICOS</v>
      </c>
      <c r="J2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210" s="161" t="str">
        <f>IF((EJECUTADO[[#This Row],[MONTO DISPONIBLE ]]-EJECUTADO[[#This Row],[MONTO SOLICITADO]])&gt;=0,"PRESUPUESTO: SI","PRESUPUESTO: NO")</f>
        <v>PRESUPUESTO: SI</v>
      </c>
      <c r="L210" s="162">
        <f>SUMIF(PRESUPUESTO[CUENTA],EJECUTADO[[#This Row],[CUENTA]],PRESUPUESTO[MONTO])-SUMIF($F$1:F209,EJECUTADO[[#This Row],[CUENTA]],$M$1:M209)</f>
        <v>344171.26</v>
      </c>
      <c r="M210" s="2">
        <v>86.53</v>
      </c>
      <c r="N210" s="2"/>
      <c r="O210" s="2"/>
      <c r="P210" s="162">
        <f>+EJECUTADO[[#This Row],[MONTO SOLICITADO]]-EJECUTADO[[#This Row],[RETENCION IVA]]-EJECUTADO[[#This Row],[RETENCION ISR]]</f>
        <v>86.53</v>
      </c>
      <c r="Q210" s="84" t="s">
        <v>1000</v>
      </c>
      <c r="R210" s="2"/>
      <c r="S210">
        <v>1</v>
      </c>
      <c r="T210" s="168" t="str">
        <f t="shared" si="6"/>
        <v>SERVICIOS PUBLICOS - ENERGÍA ELÉCTRICA Disponible $344171.26 Solicitado $86.53 PRESUPUESTO: SI</v>
      </c>
    </row>
    <row r="211" spans="1:20" x14ac:dyDescent="0.25">
      <c r="A211" s="6">
        <f t="shared" si="7"/>
        <v>210</v>
      </c>
      <c r="B211" s="21">
        <v>45315</v>
      </c>
      <c r="C211" s="17" t="s">
        <v>1079</v>
      </c>
      <c r="D211" s="65" t="s">
        <v>1080</v>
      </c>
      <c r="E211" s="65"/>
      <c r="F211" t="s">
        <v>1347</v>
      </c>
      <c r="G211" s="161">
        <f>MONTH(EJECUTADO[[#This Row],[FECHA]])</f>
        <v>1</v>
      </c>
      <c r="H211" s="163" t="str">
        <f>MID(EJECUTADO[[#This Row],[CUENTA]],1,4)</f>
        <v>E-13</v>
      </c>
      <c r="I211" s="163" t="str">
        <f>INDEX(CATALOGO[Descripción],MATCH(EJECUTADO[[#This Row],[APLICACIÓN]]&amp;"-00-00-00",CATALOGO[Código],0))</f>
        <v>MAESTRIAS Y POSTGRADOS</v>
      </c>
      <c r="J2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ENERGIA ELECTRICA </v>
      </c>
      <c r="K211" s="161" t="str">
        <f>IF((EJECUTADO[[#This Row],[MONTO DISPONIBLE ]]-EJECUTADO[[#This Row],[MONTO SOLICITADO]])&gt;=0,"PRESUPUESTO: SI","PRESUPUESTO: NO")</f>
        <v>PRESUPUESTO: SI</v>
      </c>
      <c r="L211" s="162">
        <f>SUMIF(PRESUPUESTO[CUENTA],EJECUTADO[[#This Row],[CUENTA]],PRESUPUESTO[MONTO])-SUMIF($F$1:F210,EJECUTADO[[#This Row],[CUENTA]],$M$1:M210)</f>
        <v>14400</v>
      </c>
      <c r="M211" s="2">
        <v>1215.76</v>
      </c>
      <c r="N211" s="2"/>
      <c r="O211" s="2"/>
      <c r="P211" s="162">
        <f>+EJECUTADO[[#This Row],[MONTO SOLICITADO]]-EJECUTADO[[#This Row],[RETENCION IVA]]-EJECUTADO[[#This Row],[RETENCION ISR]]</f>
        <v>1215.76</v>
      </c>
      <c r="Q211" s="84" t="s">
        <v>1000</v>
      </c>
      <c r="R211" s="2"/>
      <c r="S211">
        <v>1</v>
      </c>
      <c r="T211" s="168" t="str">
        <f t="shared" si="6"/>
        <v>MAESTRIAS Y POSTGRADOS - ENERGIA ELECTRICA  Disponible $14400 Solicitado $1215.76 PRESUPUESTO: SI</v>
      </c>
    </row>
    <row r="212" spans="1:20" ht="30" x14ac:dyDescent="0.25">
      <c r="A212" s="6">
        <f t="shared" si="7"/>
        <v>211</v>
      </c>
      <c r="B212" s="21">
        <v>45315</v>
      </c>
      <c r="C212" s="17" t="s">
        <v>1079</v>
      </c>
      <c r="D212" s="65" t="s">
        <v>248</v>
      </c>
      <c r="E212" s="65"/>
      <c r="F212" t="s">
        <v>1348</v>
      </c>
      <c r="G212" s="161">
        <f>MONTH(EJECUTADO[[#This Row],[FECHA]])</f>
        <v>1</v>
      </c>
      <c r="H212" s="163" t="str">
        <f>MID(EJECUTADO[[#This Row],[CUENTA]],1,4)</f>
        <v>E-13</v>
      </c>
      <c r="I212" s="163" t="str">
        <f>INDEX(CATALOGO[Descripción],MATCH(EJECUTADO[[#This Row],[APLICACIÓN]]&amp;"-00-00-00",CATALOGO[Código],0))</f>
        <v>MAESTRIAS Y POSTGRADOS</v>
      </c>
      <c r="J2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 -MAE</v>
      </c>
      <c r="K212" s="161" t="str">
        <f>IF((EJECUTADO[[#This Row],[MONTO DISPONIBLE ]]-EJECUTADO[[#This Row],[MONTO SOLICITADO]])&gt;=0,"PRESUPUESTO: SI","PRESUPUESTO: NO")</f>
        <v>PRESUPUESTO: SI</v>
      </c>
      <c r="L212" s="162">
        <f>SUMIF(PRESUPUESTO[CUENTA],EJECUTADO[[#This Row],[CUENTA]],PRESUPUESTO[MONTO])-SUMIF($F$1:F211,EJECUTADO[[#This Row],[CUENTA]],$M$1:M211)</f>
        <v>15516</v>
      </c>
      <c r="M212" s="2">
        <v>1293.3800000000001</v>
      </c>
      <c r="N212" s="2"/>
      <c r="O212" s="2"/>
      <c r="P212" s="162">
        <f>+EJECUTADO[[#This Row],[MONTO SOLICITADO]]-EJECUTADO[[#This Row],[RETENCION IVA]]-EJECUTADO[[#This Row],[RETENCION ISR]]</f>
        <v>1293.3800000000001</v>
      </c>
      <c r="Q212" s="84" t="s">
        <v>1000</v>
      </c>
      <c r="R212" s="2"/>
      <c r="S212">
        <v>1</v>
      </c>
      <c r="T212" s="168" t="str">
        <f t="shared" si="6"/>
        <v>MAESTRIAS Y POSTGRADOS - IMPUESTOS MUNICIPALES -MAE Disponible $15516 Solicitado $1293.38 PRESUPUESTO: SI</v>
      </c>
    </row>
    <row r="213" spans="1:20" ht="60" x14ac:dyDescent="0.25">
      <c r="A213" s="6">
        <f t="shared" si="7"/>
        <v>212</v>
      </c>
      <c r="B213" s="21">
        <v>45315</v>
      </c>
      <c r="C213" s="17" t="s">
        <v>1349</v>
      </c>
      <c r="D213" s="65" t="s">
        <v>1350</v>
      </c>
      <c r="E213" s="65"/>
      <c r="F213" t="s">
        <v>1219</v>
      </c>
      <c r="G213" s="161">
        <f>MONTH(EJECUTADO[[#This Row],[FECHA]])</f>
        <v>1</v>
      </c>
      <c r="H213" s="163" t="str">
        <f>MID(EJECUTADO[[#This Row],[CUENTA]],1,4)</f>
        <v>E-33</v>
      </c>
      <c r="I213" s="163" t="str">
        <f>INDEX(CATALOGO[Descripción],MATCH(EJECUTADO[[#This Row],[APLICACIÓN]]&amp;"-00-00-00",CATALOGO[Código],0))</f>
        <v xml:space="preserve">PROVEEDORES </v>
      </c>
      <c r="J2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213" s="161" t="str">
        <f>IF((EJECUTADO[[#This Row],[MONTO DISPONIBLE ]]-EJECUTADO[[#This Row],[MONTO SOLICITADO]])&gt;=0,"PRESUPUESTO: SI","PRESUPUESTO: NO")</f>
        <v>PRESUPUESTO: SI</v>
      </c>
      <c r="L213" s="162">
        <f>SUMIF(PRESUPUESTO[CUENTA],EJECUTADO[[#This Row],[CUENTA]],PRESUPUESTO[MONTO])-SUMIF($F$1:F212,EJECUTADO[[#This Row],[CUENTA]],$M$1:M212)</f>
        <v>84600.38</v>
      </c>
      <c r="M213" s="2">
        <v>1500</v>
      </c>
      <c r="N213" s="2"/>
      <c r="O213" s="2"/>
      <c r="P213" s="162">
        <f>+EJECUTADO[[#This Row],[MONTO SOLICITADO]]-EJECUTADO[[#This Row],[RETENCION IVA]]-EJECUTADO[[#This Row],[RETENCION ISR]]</f>
        <v>1500</v>
      </c>
      <c r="Q213" s="84" t="s">
        <v>1000</v>
      </c>
      <c r="R213" s="2"/>
      <c r="S213">
        <v>1</v>
      </c>
      <c r="T213" s="168" t="str">
        <f t="shared" si="6"/>
        <v>PROVEEDORES  - OTROS Disponible $84600.38 Solicitado $1500 PRESUPUESTO: SI</v>
      </c>
    </row>
    <row r="214" spans="1:20" ht="30" x14ac:dyDescent="0.25">
      <c r="A214" s="6">
        <f t="shared" si="7"/>
        <v>213</v>
      </c>
      <c r="B214" s="21">
        <v>45315</v>
      </c>
      <c r="C214" s="17" t="s">
        <v>1351</v>
      </c>
      <c r="D214" s="65" t="s">
        <v>1186</v>
      </c>
      <c r="E214" s="65"/>
      <c r="F214" t="s">
        <v>1187</v>
      </c>
      <c r="G214" s="161">
        <f>MONTH(EJECUTADO[[#This Row],[FECHA]])</f>
        <v>1</v>
      </c>
      <c r="H214" s="163" t="str">
        <f>MID(EJECUTADO[[#This Row],[CUENTA]],1,4)</f>
        <v>E-26</v>
      </c>
      <c r="I214" s="163" t="str">
        <f>INDEX(CATALOGO[Descripción],MATCH(EJECUTADO[[#This Row],[APLICACIÓN]]&amp;"-00-00-00",CATALOGO[Código],0))</f>
        <v>EVENTOS ACADEMICOS, CULTURALES  E INSTITUCIONALES</v>
      </c>
      <c r="J2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ATENCION FLORAL  Y ESQUELAS POR DEFUNSIONES</v>
      </c>
      <c r="K214" s="161" t="str">
        <f>IF((EJECUTADO[[#This Row],[MONTO DISPONIBLE ]]-EJECUTADO[[#This Row],[MONTO SOLICITADO]])&gt;=0,"PRESUPUESTO: SI","PRESUPUESTO: NO")</f>
        <v>PRESUPUESTO: SI</v>
      </c>
      <c r="L214" s="162">
        <f>SUMIF(PRESUPUESTO[CUENTA],EJECUTADO[[#This Row],[CUENTA]],PRESUPUESTO[MONTO])-SUMIF($F$1:F213,EJECUTADO[[#This Row],[CUENTA]],$M$1:M213)</f>
        <v>8283.35</v>
      </c>
      <c r="M214" s="2">
        <v>300</v>
      </c>
      <c r="N214" s="2"/>
      <c r="O214" s="2"/>
      <c r="P214" s="162">
        <f>+EJECUTADO[[#This Row],[MONTO SOLICITADO]]-EJECUTADO[[#This Row],[RETENCION IVA]]-EJECUTADO[[#This Row],[RETENCION ISR]]</f>
        <v>300</v>
      </c>
      <c r="Q214" s="84" t="s">
        <v>1000</v>
      </c>
      <c r="R214" s="2"/>
      <c r="S214">
        <v>1</v>
      </c>
      <c r="T214" s="168" t="str">
        <f t="shared" si="6"/>
        <v>EVENTOS ACADEMICOS, CULTURALES  E INSTITUCIONALES - ATENCION FLORAL  Y ESQUELAS POR DEFUNSIONES Disponible $8283.35 Solicitado $300 PRESUPUESTO: SI</v>
      </c>
    </row>
    <row r="215" spans="1:20" ht="45" x14ac:dyDescent="0.25">
      <c r="A215" s="6">
        <f t="shared" si="7"/>
        <v>214</v>
      </c>
      <c r="B215" s="21">
        <v>45315</v>
      </c>
      <c r="C215" s="17" t="s">
        <v>1352</v>
      </c>
      <c r="D215" s="65" t="s">
        <v>1353</v>
      </c>
      <c r="E215" s="65"/>
      <c r="F215" t="s">
        <v>1354</v>
      </c>
      <c r="G215" s="161">
        <f>MONTH(EJECUTADO[[#This Row],[FECHA]])</f>
        <v>1</v>
      </c>
      <c r="H215" s="163" t="str">
        <f>MID(EJECUTADO[[#This Row],[CUENTA]],1,4)</f>
        <v>E-07</v>
      </c>
      <c r="I215" s="163" t="str">
        <f>INDEX(CATALOGO[Descripción],MATCH(EJECUTADO[[#This Row],[APLICACIÓN]]&amp;"-00-00-00",CATALOGO[Código],0))</f>
        <v>SERVICIOS TECNOLOGICOS</v>
      </c>
      <c r="J2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Partes y suministros</v>
      </c>
      <c r="K215" s="161" t="str">
        <f>IF((EJECUTADO[[#This Row],[MONTO DISPONIBLE ]]-EJECUTADO[[#This Row],[MONTO SOLICITADO]])&gt;=0,"PRESUPUESTO: SI","PRESUPUESTO: NO")</f>
        <v>PRESUPUESTO: SI</v>
      </c>
      <c r="L215" s="162">
        <f>SUMIF(PRESUPUESTO[CUENTA],EJECUTADO[[#This Row],[CUENTA]],PRESUPUESTO[MONTO])-SUMIF($F$1:F214,EJECUTADO[[#This Row],[CUENTA]],$M$1:M214)</f>
        <v>3902</v>
      </c>
      <c r="M215" s="2">
        <v>1938.4</v>
      </c>
      <c r="N215" s="2"/>
      <c r="O215" s="2"/>
      <c r="P215" s="162">
        <f>+EJECUTADO[[#This Row],[MONTO SOLICITADO]]-EJECUTADO[[#This Row],[RETENCION IVA]]-EJECUTADO[[#This Row],[RETENCION ISR]]</f>
        <v>1938.4</v>
      </c>
      <c r="Q215" s="84" t="s">
        <v>1000</v>
      </c>
      <c r="R215" s="2"/>
      <c r="S215">
        <v>1</v>
      </c>
      <c r="T215" s="168" t="str">
        <f t="shared" si="6"/>
        <v>SERVICIOS TECNOLOGICOS - Partes y suministros Disponible $3902 Solicitado $1938.4 PRESUPUESTO: SI</v>
      </c>
    </row>
    <row r="216" spans="1:20" ht="30" x14ac:dyDescent="0.25">
      <c r="A216" s="6">
        <f t="shared" si="7"/>
        <v>215</v>
      </c>
      <c r="B216" s="21">
        <v>45315</v>
      </c>
      <c r="C216" s="17" t="s">
        <v>1045</v>
      </c>
      <c r="D216" s="65" t="s">
        <v>1113</v>
      </c>
      <c r="E216" s="65"/>
      <c r="F216" t="s">
        <v>1355</v>
      </c>
      <c r="G216" s="161">
        <f>MONTH(EJECUTADO[[#This Row],[FECHA]])</f>
        <v>1</v>
      </c>
      <c r="H216" s="163" t="str">
        <f>MID(EJECUTADO[[#This Row],[CUENTA]],1,4)</f>
        <v>E-19</v>
      </c>
      <c r="I216" s="163" t="str">
        <f>INDEX(CATALOGO[Descripción],MATCH(EJECUTADO[[#This Row],[APLICACIÓN]]&amp;"-00-00-00",CATALOGO[Código],0))</f>
        <v>MANTENIMIENTO</v>
      </c>
      <c r="J21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216" s="161" t="str">
        <f>IF((EJECUTADO[[#This Row],[MONTO DISPONIBLE ]]-EJECUTADO[[#This Row],[MONTO SOLICITADO]])&gt;=0,"PRESUPUESTO: SI","PRESUPUESTO: NO")</f>
        <v>PRESUPUESTO: NO</v>
      </c>
      <c r="L216" s="162">
        <f>SUMIF(PRESUPUESTO[CUENTA],EJECUTADO[[#This Row],[CUENTA]],PRESUPUESTO[MONTO])-SUMIF($F$1:F215,EJECUTADO[[#This Row],[CUENTA]],$M$1:M215)</f>
        <v>0</v>
      </c>
      <c r="M216" s="2">
        <v>179.36</v>
      </c>
      <c r="N216" s="2"/>
      <c r="O216" s="2"/>
      <c r="P216" s="162">
        <f>+EJECUTADO[[#This Row],[MONTO SOLICITADO]]-EJECUTADO[[#This Row],[RETENCION IVA]]-EJECUTADO[[#This Row],[RETENCION ISR]]</f>
        <v>179.36</v>
      </c>
      <c r="Q216" s="84" t="s">
        <v>1000</v>
      </c>
      <c r="R216" s="2"/>
      <c r="S216">
        <v>1</v>
      </c>
      <c r="T216" s="168" t="e">
        <f t="shared" si="6"/>
        <v>#N/A</v>
      </c>
    </row>
    <row r="217" spans="1:20" x14ac:dyDescent="0.25">
      <c r="A217" s="6">
        <f t="shared" si="7"/>
        <v>216</v>
      </c>
      <c r="B217" s="21">
        <v>45315</v>
      </c>
      <c r="C217" s="17" t="s">
        <v>1045</v>
      </c>
      <c r="D217" s="65" t="s">
        <v>1356</v>
      </c>
      <c r="E217" s="65"/>
      <c r="F217" t="s">
        <v>1357</v>
      </c>
      <c r="G217" s="161">
        <f>MONTH(EJECUTADO[[#This Row],[FECHA]])</f>
        <v>1</v>
      </c>
      <c r="H217" s="163" t="str">
        <f>MID(EJECUTADO[[#This Row],[CUENTA]],1,4)</f>
        <v>E-19</v>
      </c>
      <c r="I217" s="163" t="str">
        <f>INDEX(CATALOGO[Descripción],MATCH(EJECUTADO[[#This Row],[APLICACIÓN]]&amp;"-00-00-00",CATALOGO[Código],0))</f>
        <v>MANTENIMIENTO</v>
      </c>
      <c r="J2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Pintura </v>
      </c>
      <c r="K217" s="161" t="str">
        <f>IF((EJECUTADO[[#This Row],[MONTO DISPONIBLE ]]-EJECUTADO[[#This Row],[MONTO SOLICITADO]])&gt;=0,"PRESUPUESTO: SI","PRESUPUESTO: NO")</f>
        <v>PRESUPUESTO: SI</v>
      </c>
      <c r="L217" s="162">
        <f>SUMIF(PRESUPUESTO[CUENTA],EJECUTADO[[#This Row],[CUENTA]],PRESUPUESTO[MONTO])-SUMIF($F$1:F216,EJECUTADO[[#This Row],[CUENTA]],$M$1:M216)</f>
        <v>35000</v>
      </c>
      <c r="M217" s="2">
        <v>1403.55</v>
      </c>
      <c r="N217" s="2"/>
      <c r="O217" s="2"/>
      <c r="P217" s="162">
        <f>+EJECUTADO[[#This Row],[MONTO SOLICITADO]]-EJECUTADO[[#This Row],[RETENCION IVA]]-EJECUTADO[[#This Row],[RETENCION ISR]]</f>
        <v>1403.55</v>
      </c>
      <c r="Q217" s="84" t="s">
        <v>1000</v>
      </c>
      <c r="R217" s="2"/>
      <c r="S217">
        <v>1</v>
      </c>
      <c r="T217" s="168" t="str">
        <f t="shared" si="6"/>
        <v>MANTENIMIENTO - Dir. Mantenimiento - Mantenimiento Pintura  Disponible $35000 Solicitado $1403.55 PRESUPUESTO: SI</v>
      </c>
    </row>
    <row r="218" spans="1:20" ht="30" x14ac:dyDescent="0.25">
      <c r="A218" s="6">
        <f t="shared" si="7"/>
        <v>217</v>
      </c>
      <c r="B218" s="21">
        <v>45315</v>
      </c>
      <c r="C218" s="17" t="s">
        <v>1045</v>
      </c>
      <c r="D218" s="65" t="s">
        <v>1358</v>
      </c>
      <c r="E218" s="65"/>
      <c r="F218" t="s">
        <v>1359</v>
      </c>
      <c r="G218" s="161">
        <f>MONTH(EJECUTADO[[#This Row],[FECHA]])</f>
        <v>1</v>
      </c>
      <c r="H218" s="163" t="str">
        <f>MID(EJECUTADO[[#This Row],[CUENTA]],1,4)</f>
        <v>E-19</v>
      </c>
      <c r="I218" s="163" t="str">
        <f>INDEX(CATALOGO[Descripción],MATCH(EJECUTADO[[#This Row],[APLICACIÓN]]&amp;"-00-00-00",CATALOGO[Código],0))</f>
        <v>MANTENIMIENTO</v>
      </c>
      <c r="J2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Mantenimiento El Palmarcito</v>
      </c>
      <c r="K218" s="161" t="str">
        <f>IF((EJECUTADO[[#This Row],[MONTO DISPONIBLE ]]-EJECUTADO[[#This Row],[MONTO SOLICITADO]])&gt;=0,"PRESUPUESTO: SI","PRESUPUESTO: NO")</f>
        <v>PRESUPUESTO: SI</v>
      </c>
      <c r="L218" s="162">
        <f>SUMIF(PRESUPUESTO[CUENTA],EJECUTADO[[#This Row],[CUENTA]],PRESUPUESTO[MONTO])-SUMIF($F$1:F217,EJECUTADO[[#This Row],[CUENTA]],$M$1:M217)</f>
        <v>2000</v>
      </c>
      <c r="M218" s="2">
        <v>59.5</v>
      </c>
      <c r="N218" s="2"/>
      <c r="O218" s="2"/>
      <c r="P218" s="162">
        <f>+EJECUTADO[[#This Row],[MONTO SOLICITADO]]-EJECUTADO[[#This Row],[RETENCION IVA]]-EJECUTADO[[#This Row],[RETENCION ISR]]</f>
        <v>59.5</v>
      </c>
      <c r="Q218" s="84" t="s">
        <v>1000</v>
      </c>
      <c r="R218" s="2"/>
      <c r="S218">
        <v>1</v>
      </c>
      <c r="T218" s="168" t="str">
        <f t="shared" si="6"/>
        <v>MANTENIMIENTO - Dir. Mantenimiento - Mantenimiento El Palmarcito Disponible $2000 Solicitado $59.5 PRESUPUESTO: SI</v>
      </c>
    </row>
    <row r="219" spans="1:20" ht="30" x14ac:dyDescent="0.25">
      <c r="A219" s="6">
        <f t="shared" si="7"/>
        <v>218</v>
      </c>
      <c r="B219" s="21">
        <v>45315</v>
      </c>
      <c r="C219" s="17" t="s">
        <v>1102</v>
      </c>
      <c r="D219" s="65" t="s">
        <v>1360</v>
      </c>
      <c r="E219" s="65"/>
      <c r="F219" t="s">
        <v>1361</v>
      </c>
      <c r="G219" s="161">
        <f>MONTH(EJECUTADO[[#This Row],[FECHA]])</f>
        <v>1</v>
      </c>
      <c r="H219" s="163" t="str">
        <f>MID(EJECUTADO[[#This Row],[CUENTA]],1,4)</f>
        <v>E-11</v>
      </c>
      <c r="I219" s="163" t="str">
        <f>INDEX(CATALOGO[Descripción],MATCH(EJECUTADO[[#This Row],[APLICACIÓN]]&amp;"-00-00-00",CATALOGO[Código],0))</f>
        <v>INVESTIGACIONES</v>
      </c>
      <c r="J2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Revista Entorno</v>
      </c>
      <c r="K219" s="161" t="str">
        <f>IF((EJECUTADO[[#This Row],[MONTO DISPONIBLE ]]-EJECUTADO[[#This Row],[MONTO SOLICITADO]])&gt;=0,"PRESUPUESTO: SI","PRESUPUESTO: NO")</f>
        <v>PRESUPUESTO: SI</v>
      </c>
      <c r="L219" s="162">
        <f>SUMIF(PRESUPUESTO[CUENTA],EJECUTADO[[#This Row],[CUENTA]],PRESUPUESTO[MONTO])-SUMIF($F$1:F218,EJECUTADO[[#This Row],[CUENTA]],$M$1:M218)</f>
        <v>2500</v>
      </c>
      <c r="M219" s="2">
        <v>870</v>
      </c>
      <c r="N219" s="2"/>
      <c r="O219" s="2"/>
      <c r="P219" s="162">
        <f>+EJECUTADO[[#This Row],[MONTO SOLICITADO]]-EJECUTADO[[#This Row],[RETENCION IVA]]-EJECUTADO[[#This Row],[RETENCION ISR]]</f>
        <v>870</v>
      </c>
      <c r="Q219" s="84" t="s">
        <v>1000</v>
      </c>
      <c r="R219" s="2"/>
      <c r="S219">
        <v>1</v>
      </c>
      <c r="T219" s="168" t="str">
        <f t="shared" si="6"/>
        <v>INVESTIGACIONES - Revista Entorno Disponible $2500 Solicitado $870 PRESUPUESTO: SI</v>
      </c>
    </row>
    <row r="220" spans="1:20" ht="45" x14ac:dyDescent="0.25">
      <c r="A220" s="6">
        <f t="shared" si="7"/>
        <v>219</v>
      </c>
      <c r="B220" s="21">
        <v>45315</v>
      </c>
      <c r="C220" s="17" t="s">
        <v>1102</v>
      </c>
      <c r="D220" s="65" t="s">
        <v>1362</v>
      </c>
      <c r="E220" s="65"/>
      <c r="F220" t="s">
        <v>1363</v>
      </c>
      <c r="G220" s="161">
        <f>MONTH(EJECUTADO[[#This Row],[FECHA]])</f>
        <v>1</v>
      </c>
      <c r="H220" s="163" t="str">
        <f>MID(EJECUTADO[[#This Row],[CUENTA]],1,4)</f>
        <v>E-15</v>
      </c>
      <c r="I220" s="163" t="str">
        <f>INDEX(CATALOGO[Descripción],MATCH(EJECUTADO[[#This Row],[APLICACIÓN]]&amp;"-00-00-00",CATALOGO[Código],0))</f>
        <v>ALQUILERES</v>
      </c>
      <c r="J2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Tecnoimpresos  Casa 116   $ 2,260.00 x 12</v>
      </c>
      <c r="K220" s="161" t="str">
        <f>IF((EJECUTADO[[#This Row],[MONTO DISPONIBLE ]]-EJECUTADO[[#This Row],[MONTO SOLICITADO]])&gt;=0,"PRESUPUESTO: SI","PRESUPUESTO: NO")</f>
        <v>PRESUPUESTO: SI</v>
      </c>
      <c r="L220" s="162">
        <f>SUMIF(PRESUPUESTO[CUENTA],EJECUTADO[[#This Row],[CUENTA]],PRESUPUESTO[MONTO])-SUMIF($F$1:F219,EJECUTADO[[#This Row],[CUENTA]],$M$1:M219)</f>
        <v>27120</v>
      </c>
      <c r="M220" s="2">
        <v>2260</v>
      </c>
      <c r="N220" s="2"/>
      <c r="O220" s="2"/>
      <c r="P220" s="162">
        <f>+EJECUTADO[[#This Row],[MONTO SOLICITADO]]-EJECUTADO[[#This Row],[RETENCION IVA]]-EJECUTADO[[#This Row],[RETENCION ISR]]</f>
        <v>2260</v>
      </c>
      <c r="Q220" s="84" t="s">
        <v>1000</v>
      </c>
      <c r="R220" s="2"/>
      <c r="S220">
        <v>1</v>
      </c>
      <c r="T220" s="168" t="str">
        <f t="shared" si="6"/>
        <v>ALQUILERES - Tecnoimpresos  Casa 116   $ 2,260.00 x 12 Disponible $27120 Solicitado $2260 PRESUPUESTO: SI</v>
      </c>
    </row>
    <row r="221" spans="1:20" x14ac:dyDescent="0.25">
      <c r="A221" s="6">
        <f t="shared" si="7"/>
        <v>220</v>
      </c>
      <c r="B221" s="21">
        <v>45315</v>
      </c>
      <c r="C221" s="17" t="s">
        <v>1102</v>
      </c>
      <c r="D221" s="65" t="s">
        <v>423</v>
      </c>
      <c r="E221" s="65"/>
      <c r="F221" t="s">
        <v>1364</v>
      </c>
      <c r="G221" s="161">
        <f>MONTH(EJECUTADO[[#This Row],[FECHA]])</f>
        <v>1</v>
      </c>
      <c r="H221" s="163" t="str">
        <f>MID(EJECUTADO[[#This Row],[CUENTA]],1,4)</f>
        <v>E-14</v>
      </c>
      <c r="I221" s="163" t="str">
        <f>INDEX(CATALOGO[Descripción],MATCH(EJECUTADO[[#This Row],[APLICACIÓN]]&amp;"-00-00-00",CATALOGO[Código],0))</f>
        <v>MATERIAL DIDÁCTICO</v>
      </c>
      <c r="J2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CARNET - FACULTAD DE CIENCIAS EMPRESARIALES  </v>
      </c>
      <c r="K221" s="161" t="str">
        <f>IF((EJECUTADO[[#This Row],[MONTO DISPONIBLE ]]-EJECUTADO[[#This Row],[MONTO SOLICITADO]])&gt;=0,"PRESUPUESTO: SI","PRESUPUESTO: NO")</f>
        <v>PRESUPUESTO: SI</v>
      </c>
      <c r="L221" s="162">
        <f>SUMIF(PRESUPUESTO[CUENTA],EJECUTADO[[#This Row],[CUENTA]],PRESUPUESTO[MONTO])-SUMIF($F$1:F220,EJECUTADO[[#This Row],[CUENTA]],$M$1:M220)</f>
        <v>3500</v>
      </c>
      <c r="M221" s="2">
        <v>740.58</v>
      </c>
      <c r="N221" s="2"/>
      <c r="O221" s="2"/>
      <c r="P221" s="162">
        <f>+EJECUTADO[[#This Row],[MONTO SOLICITADO]]-EJECUTADO[[#This Row],[RETENCION IVA]]-EJECUTADO[[#This Row],[RETENCION ISR]]</f>
        <v>740.58</v>
      </c>
      <c r="Q221" s="84" t="s">
        <v>1000</v>
      </c>
      <c r="R221" s="2"/>
      <c r="S221">
        <v>1</v>
      </c>
      <c r="T221" s="168" t="str">
        <f t="shared" si="6"/>
        <v>MATERIAL DIDÁCTICO - CARNET - FACULTAD DE CIENCIAS EMPRESARIALES   Disponible $3500 Solicitado $740.58 PRESUPUESTO: SI</v>
      </c>
    </row>
    <row r="222" spans="1:20" x14ac:dyDescent="0.25">
      <c r="A222" s="6">
        <f t="shared" si="7"/>
        <v>221</v>
      </c>
      <c r="B222" s="21">
        <v>45315</v>
      </c>
      <c r="C222" s="17" t="s">
        <v>1102</v>
      </c>
      <c r="D222" s="65" t="s">
        <v>423</v>
      </c>
      <c r="E222" s="65"/>
      <c r="F222" t="s">
        <v>1365</v>
      </c>
      <c r="G222" s="161">
        <f>MONTH(EJECUTADO[[#This Row],[FECHA]])</f>
        <v>1</v>
      </c>
      <c r="H222" s="163" t="str">
        <f>MID(EJECUTADO[[#This Row],[CUENTA]],1,4)</f>
        <v>E-14</v>
      </c>
      <c r="I222" s="163" t="str">
        <f>INDEX(CATALOGO[Descripción],MATCH(EJECUTADO[[#This Row],[APLICACIÓN]]&amp;"-00-00-00",CATALOGO[Código],0))</f>
        <v>MATERIAL DIDÁCTICO</v>
      </c>
      <c r="J2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INFORMATICA Y CC APLICADAS</v>
      </c>
      <c r="K222" s="161" t="str">
        <f>IF((EJECUTADO[[#This Row],[MONTO DISPONIBLE ]]-EJECUTADO[[#This Row],[MONTO SOLICITADO]])&gt;=0,"PRESUPUESTO: SI","PRESUPUESTO: NO")</f>
        <v>PRESUPUESTO: SI</v>
      </c>
      <c r="L222" s="162">
        <f>SUMIF(PRESUPUESTO[CUENTA],EJECUTADO[[#This Row],[CUENTA]],PRESUPUESTO[MONTO])-SUMIF($F$1:F221,EJECUTADO[[#This Row],[CUENTA]],$M$1:M221)</f>
        <v>3500</v>
      </c>
      <c r="M222" s="2">
        <v>694.44</v>
      </c>
      <c r="N222" s="2"/>
      <c r="O222" s="2"/>
      <c r="P222" s="162">
        <f>+EJECUTADO[[#This Row],[MONTO SOLICITADO]]-EJECUTADO[[#This Row],[RETENCION IVA]]-EJECUTADO[[#This Row],[RETENCION ISR]]</f>
        <v>694.44</v>
      </c>
      <c r="Q222" s="84" t="s">
        <v>1000</v>
      </c>
      <c r="R222" s="2"/>
      <c r="S222">
        <v>1</v>
      </c>
      <c r="T222" s="168" t="str">
        <f t="shared" si="6"/>
        <v>MATERIAL DIDÁCTICO - CARNET - FACULTAD DE INFORMATICA Y CC APLICADAS Disponible $3500 Solicitado $694.44 PRESUPUESTO: SI</v>
      </c>
    </row>
    <row r="223" spans="1:20" x14ac:dyDescent="0.25">
      <c r="A223" s="6">
        <f t="shared" si="7"/>
        <v>222</v>
      </c>
      <c r="B223" s="21">
        <v>45315</v>
      </c>
      <c r="C223" s="17" t="s">
        <v>1102</v>
      </c>
      <c r="D223" s="65" t="s">
        <v>423</v>
      </c>
      <c r="E223" s="65"/>
      <c r="F223" t="s">
        <v>1366</v>
      </c>
      <c r="G223" s="161">
        <f>MONTH(EJECUTADO[[#This Row],[FECHA]])</f>
        <v>1</v>
      </c>
      <c r="H223" s="163" t="str">
        <f>MID(EJECUTADO[[#This Row],[CUENTA]],1,4)</f>
        <v>E-14</v>
      </c>
      <c r="I223" s="163" t="str">
        <f>INDEX(CATALOGO[Descripción],MATCH(EJECUTADO[[#This Row],[APLICACIÓN]]&amp;"-00-00-00",CATALOGO[Código],0))</f>
        <v>MATERIAL DIDÁCTICO</v>
      </c>
      <c r="J2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SOCIALES</v>
      </c>
      <c r="K223" s="161" t="str">
        <f>IF((EJECUTADO[[#This Row],[MONTO DISPONIBLE ]]-EJECUTADO[[#This Row],[MONTO SOLICITADO]])&gt;=0,"PRESUPUESTO: SI","PRESUPUESTO: NO")</f>
        <v>PRESUPUESTO: SI</v>
      </c>
      <c r="L223" s="162">
        <f>SUMIF(PRESUPUESTO[CUENTA],EJECUTADO[[#This Row],[CUENTA]],PRESUPUESTO[MONTO])-SUMIF($F$1:F222,EJECUTADO[[#This Row],[CUENTA]],$M$1:M222)</f>
        <v>3000</v>
      </c>
      <c r="M223" s="2">
        <v>488.39</v>
      </c>
      <c r="N223" s="2"/>
      <c r="O223" s="2"/>
      <c r="P223" s="162">
        <f>+EJECUTADO[[#This Row],[MONTO SOLICITADO]]-EJECUTADO[[#This Row],[RETENCION IVA]]-EJECUTADO[[#This Row],[RETENCION ISR]]</f>
        <v>488.39</v>
      </c>
      <c r="Q223" s="84" t="s">
        <v>1000</v>
      </c>
      <c r="R223" s="2"/>
      <c r="S223">
        <v>1</v>
      </c>
      <c r="T223" s="168" t="str">
        <f t="shared" si="6"/>
        <v>MATERIAL DIDÁCTICO - CARNET - FACULTAD DE CIENCIAS SOCIALES Disponible $3000 Solicitado $488.39 PRESUPUESTO: SI</v>
      </c>
    </row>
    <row r="224" spans="1:20" x14ac:dyDescent="0.25">
      <c r="A224" s="6">
        <f t="shared" si="7"/>
        <v>223</v>
      </c>
      <c r="B224" s="21">
        <v>45315</v>
      </c>
      <c r="C224" s="17" t="s">
        <v>1102</v>
      </c>
      <c r="D224" s="65" t="s">
        <v>423</v>
      </c>
      <c r="E224" s="65"/>
      <c r="F224" t="s">
        <v>1367</v>
      </c>
      <c r="G224" s="161">
        <f>MONTH(EJECUTADO[[#This Row],[FECHA]])</f>
        <v>1</v>
      </c>
      <c r="H224" s="163" t="str">
        <f>MID(EJECUTADO[[#This Row],[CUENTA]],1,4)</f>
        <v>E-14</v>
      </c>
      <c r="I224" s="163" t="str">
        <f>INDEX(CATALOGO[Descripción],MATCH(EJECUTADO[[#This Row],[APLICACIÓN]]&amp;"-00-00-00",CATALOGO[Código],0))</f>
        <v>MATERIAL DIDÁCTICO</v>
      </c>
      <c r="J2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JURIDICAS</v>
      </c>
      <c r="K224" s="161" t="str">
        <f>IF((EJECUTADO[[#This Row],[MONTO DISPONIBLE ]]-EJECUTADO[[#This Row],[MONTO SOLICITADO]])&gt;=0,"PRESUPUESTO: SI","PRESUPUESTO: NO")</f>
        <v>PRESUPUESTO: SI</v>
      </c>
      <c r="L224" s="162">
        <f>SUMIF(PRESUPUESTO[CUENTA],EJECUTADO[[#This Row],[CUENTA]],PRESUPUESTO[MONTO])-SUMIF($F$1:F223,EJECUTADO[[#This Row],[CUENTA]],$M$1:M223)</f>
        <v>2000</v>
      </c>
      <c r="M224" s="2">
        <v>243.34</v>
      </c>
      <c r="N224" s="2"/>
      <c r="O224" s="2"/>
      <c r="P224" s="162">
        <f>+EJECUTADO[[#This Row],[MONTO SOLICITADO]]-EJECUTADO[[#This Row],[RETENCION IVA]]-EJECUTADO[[#This Row],[RETENCION ISR]]</f>
        <v>243.34</v>
      </c>
      <c r="Q224" s="84" t="s">
        <v>1000</v>
      </c>
      <c r="R224" s="2"/>
      <c r="S224">
        <v>1</v>
      </c>
      <c r="T224" s="168" t="str">
        <f t="shared" si="6"/>
        <v>MATERIAL DIDÁCTICO - CARNET - FACULTAD DE CIENCIAS JURIDICAS Disponible $2000 Solicitado $243.34 PRESUPUESTO: SI</v>
      </c>
    </row>
    <row r="225" spans="1:20" x14ac:dyDescent="0.25">
      <c r="A225" s="6">
        <f t="shared" si="7"/>
        <v>224</v>
      </c>
      <c r="B225" s="21">
        <v>45315</v>
      </c>
      <c r="C225" s="17" t="s">
        <v>1102</v>
      </c>
      <c r="D225" s="65" t="s">
        <v>1368</v>
      </c>
      <c r="E225" s="65"/>
      <c r="F225" t="s">
        <v>1235</v>
      </c>
      <c r="G225" s="161">
        <f>MONTH(EJECUTADO[[#This Row],[FECHA]])</f>
        <v>1</v>
      </c>
      <c r="H225" s="163" t="str">
        <f>MID(EJECUTADO[[#This Row],[CUENTA]],1,4)</f>
        <v>E-14</v>
      </c>
      <c r="I225" s="163" t="str">
        <f>INDEX(CATALOGO[Descripción],MATCH(EJECUTADO[[#This Row],[APLICACIÓN]]&amp;"-00-00-00",CATALOGO[Código],0))</f>
        <v>MATERIAL DIDÁCTICO</v>
      </c>
      <c r="J2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- FACULTAD DE CIENCIAS EMPRESARIALES  </v>
      </c>
      <c r="K225" s="161" t="str">
        <f>IF((EJECUTADO[[#This Row],[MONTO DISPONIBLE ]]-EJECUTADO[[#This Row],[MONTO SOLICITADO]])&gt;=0,"PRESUPUESTO: SI","PRESUPUESTO: NO")</f>
        <v>PRESUPUESTO: SI</v>
      </c>
      <c r="L225" s="162">
        <f>SUMIF(PRESUPUESTO[CUENTA],EJECUTADO[[#This Row],[CUENTA]],PRESUPUESTO[MONTO])-SUMIF($F$1:F224,EJECUTADO[[#This Row],[CUENTA]],$M$1:M224)</f>
        <v>38175</v>
      </c>
      <c r="M225" s="2">
        <v>3.08</v>
      </c>
      <c r="N225" s="2"/>
      <c r="O225" s="2"/>
      <c r="P225" s="162">
        <f>+EJECUTADO[[#This Row],[MONTO SOLICITADO]]-EJECUTADO[[#This Row],[RETENCION IVA]]-EJECUTADO[[#This Row],[RETENCION ISR]]</f>
        <v>3.08</v>
      </c>
      <c r="Q225" s="84" t="s">
        <v>1000</v>
      </c>
      <c r="R225" s="2"/>
      <c r="S225">
        <v>1</v>
      </c>
      <c r="T225" s="168" t="str">
        <f t="shared" si="6"/>
        <v>MATERIAL DIDÁCTICO - PAPELERIA Y UTILES - FACULTAD DE CIENCIAS EMPRESARIALES   Disponible $38175 Solicitado $3.08 PRESUPUESTO: SI</v>
      </c>
    </row>
    <row r="226" spans="1:20" ht="45" x14ac:dyDescent="0.25">
      <c r="A226" s="6">
        <f t="shared" si="7"/>
        <v>225</v>
      </c>
      <c r="B226" s="21">
        <v>45315</v>
      </c>
      <c r="C226" s="17" t="s">
        <v>1369</v>
      </c>
      <c r="D226" s="65" t="s">
        <v>1370</v>
      </c>
      <c r="E226" s="65"/>
      <c r="F226" t="s">
        <v>1371</v>
      </c>
      <c r="G226" s="161">
        <f>MONTH(EJECUTADO[[#This Row],[FECHA]])</f>
        <v>1</v>
      </c>
      <c r="H226" s="163" t="str">
        <f>MID(EJECUTADO[[#This Row],[CUENTA]],1,4)</f>
        <v>E-07</v>
      </c>
      <c r="I226" s="163" t="str">
        <f>INDEX(CATALOGO[Descripción],MATCH(EJECUTADO[[#This Row],[APLICACIÓN]]&amp;"-00-00-00",CATALOGO[Código],0))</f>
        <v>SERVICIOS TECNOLOGICOS</v>
      </c>
      <c r="J2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Certificado de seguridad utec.edu.sv, Virtual Mae y Educ Virtual- SVNet</v>
      </c>
      <c r="K226" s="161" t="str">
        <f>IF((EJECUTADO[[#This Row],[MONTO DISPONIBLE ]]-EJECUTADO[[#This Row],[MONTO SOLICITADO]])&gt;=0,"PRESUPUESTO: SI","PRESUPUESTO: NO")</f>
        <v>PRESUPUESTO: SI</v>
      </c>
      <c r="L226" s="162">
        <f>SUMIF(PRESUPUESTO[CUENTA],EJECUTADO[[#This Row],[CUENTA]],PRESUPUESTO[MONTO])-SUMIF($F$1:F225,EJECUTADO[[#This Row],[CUENTA]],$M$1:M225)</f>
        <v>3650</v>
      </c>
      <c r="M226" s="2">
        <v>226</v>
      </c>
      <c r="N226" s="2"/>
      <c r="O226" s="2"/>
      <c r="P226" s="162">
        <f>+EJECUTADO[[#This Row],[MONTO SOLICITADO]]-EJECUTADO[[#This Row],[RETENCION IVA]]-EJECUTADO[[#This Row],[RETENCION ISR]]</f>
        <v>226</v>
      </c>
      <c r="Q226" s="84" t="s">
        <v>1000</v>
      </c>
      <c r="R226" s="2"/>
      <c r="S226">
        <v>1</v>
      </c>
      <c r="T226" s="168" t="str">
        <f t="shared" si="6"/>
        <v>SERVICIOS TECNOLOGICOS - Certificado de seguridad utec.edu.sv, Virtual Mae y Educ Virtual- SVNet Disponible $3650 Solicitado $226 PRESUPUESTO: SI</v>
      </c>
    </row>
    <row r="227" spans="1:20" x14ac:dyDescent="0.25">
      <c r="A227" s="6">
        <f t="shared" si="7"/>
        <v>226</v>
      </c>
      <c r="B227" s="21">
        <v>45315</v>
      </c>
      <c r="C227" s="17" t="s">
        <v>1293</v>
      </c>
      <c r="D227" s="65" t="s">
        <v>1294</v>
      </c>
      <c r="E227" s="65"/>
      <c r="F227" t="s">
        <v>1295</v>
      </c>
      <c r="G227" s="161">
        <f>MONTH(EJECUTADO[[#This Row],[FECHA]])</f>
        <v>1</v>
      </c>
      <c r="H227" s="163" t="str">
        <f>MID(EJECUTADO[[#This Row],[CUENTA]],1,4)</f>
        <v>E-24</v>
      </c>
      <c r="I227" s="163" t="str">
        <f>INDEX(CATALOGO[Descripción],MATCH(EJECUTADO[[#This Row],[APLICACIÓN]]&amp;"-00-00-00",CATALOGO[Código],0))</f>
        <v>NUEVO INGRESO</v>
      </c>
      <c r="J2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227" s="161" t="str">
        <f>IF((EJECUTADO[[#This Row],[MONTO DISPONIBLE ]]-EJECUTADO[[#This Row],[MONTO SOLICITADO]])&gt;=0,"PRESUPUESTO: SI","PRESUPUESTO: NO")</f>
        <v>PRESUPUESTO: SI</v>
      </c>
      <c r="L227" s="162">
        <f>SUMIF(PRESUPUESTO[CUENTA],EJECUTADO[[#This Row],[CUENTA]],PRESUPUESTO[MONTO])-SUMIF($F$1:F226,EJECUTADO[[#This Row],[CUENTA]],$M$1:M226)</f>
        <v>605</v>
      </c>
      <c r="M227" s="2">
        <v>55</v>
      </c>
      <c r="N227" s="2"/>
      <c r="O227" s="2"/>
      <c r="P227" s="162">
        <f>+EJECUTADO[[#This Row],[MONTO SOLICITADO]]-EJECUTADO[[#This Row],[RETENCION IVA]]-EJECUTADO[[#This Row],[RETENCION ISR]]</f>
        <v>55</v>
      </c>
      <c r="Q227" s="84" t="s">
        <v>1000</v>
      </c>
      <c r="R227" s="2"/>
      <c r="S227">
        <v>1</v>
      </c>
      <c r="T227" s="168" t="str">
        <f t="shared" si="6"/>
        <v>NUEVO INGRESO - Plaza Mundo - Aromatización $ 55.00 * 12 Disponible $605 Solicitado $55 PRESUPUESTO: SI</v>
      </c>
    </row>
    <row r="228" spans="1:20" ht="30" x14ac:dyDescent="0.25">
      <c r="A228" s="6">
        <f t="shared" si="7"/>
        <v>227</v>
      </c>
      <c r="B228" s="21">
        <v>45315</v>
      </c>
      <c r="C228" s="17" t="s">
        <v>1372</v>
      </c>
      <c r="D228" s="65" t="s">
        <v>1373</v>
      </c>
      <c r="E228" s="65"/>
      <c r="F228" t="s">
        <v>1374</v>
      </c>
      <c r="G228" s="161">
        <f>MONTH(EJECUTADO[[#This Row],[FECHA]])</f>
        <v>1</v>
      </c>
      <c r="H228" s="163" t="str">
        <f>MID(EJECUTADO[[#This Row],[CUENTA]],1,4)</f>
        <v>E-19</v>
      </c>
      <c r="I228" s="163" t="str">
        <f>INDEX(CATALOGO[Descripción],MATCH(EJECUTADO[[#This Row],[APLICACIÓN]]&amp;"-00-00-00",CATALOGO[Código],0))</f>
        <v>MANTENIMIENTO</v>
      </c>
      <c r="J2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Materiales Mantenimiento A/A</v>
      </c>
      <c r="K228" s="161" t="str">
        <f>IF((EJECUTADO[[#This Row],[MONTO DISPONIBLE ]]-EJECUTADO[[#This Row],[MONTO SOLICITADO]])&gt;=0,"PRESUPUESTO: SI","PRESUPUESTO: NO")</f>
        <v>PRESUPUESTO: SI</v>
      </c>
      <c r="L228" s="162">
        <f>SUMIF(PRESUPUESTO[CUENTA],EJECUTADO[[#This Row],[CUENTA]],PRESUPUESTO[MONTO])-SUMIF($F$1:F227,EJECUTADO[[#This Row],[CUENTA]],$M$1:M227)</f>
        <v>8000</v>
      </c>
      <c r="M228" s="2">
        <v>103.45</v>
      </c>
      <c r="N228" s="2"/>
      <c r="O228" s="2"/>
      <c r="P228" s="162">
        <f>+EJECUTADO[[#This Row],[MONTO SOLICITADO]]-EJECUTADO[[#This Row],[RETENCION IVA]]-EJECUTADO[[#This Row],[RETENCION ISR]]</f>
        <v>103.45</v>
      </c>
      <c r="Q228" s="84" t="s">
        <v>1000</v>
      </c>
      <c r="R228" s="2"/>
      <c r="S228">
        <v>1</v>
      </c>
      <c r="T228" s="168" t="str">
        <f t="shared" si="6"/>
        <v>MANTENIMIENTO - Dir. Mantenimiento - Materiales Mantenimiento A/A Disponible $8000 Solicitado $103.45 PRESUPUESTO: SI</v>
      </c>
    </row>
    <row r="229" spans="1:20" ht="45" x14ac:dyDescent="0.25">
      <c r="A229" s="6">
        <f t="shared" si="7"/>
        <v>228</v>
      </c>
      <c r="B229" s="21">
        <v>45315</v>
      </c>
      <c r="C229" s="17" t="s">
        <v>1375</v>
      </c>
      <c r="D229" s="65" t="s">
        <v>1376</v>
      </c>
      <c r="E229" s="65"/>
      <c r="F229" t="s">
        <v>1377</v>
      </c>
      <c r="G229" s="161">
        <f>MONTH(EJECUTADO[[#This Row],[FECHA]])</f>
        <v>1</v>
      </c>
      <c r="H229" s="163" t="str">
        <f>MID(EJECUTADO[[#This Row],[CUENTA]],1,4)</f>
        <v>E-07</v>
      </c>
      <c r="I229" s="163" t="str">
        <f>INDEX(CATALOGO[Descripción],MATCH(EJECUTADO[[#This Row],[APLICACIÓN]]&amp;"-00-00-00",CATALOGO[Código],0))</f>
        <v>SERVICIOS TECNOLOGICOS</v>
      </c>
      <c r="J2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Antivirus Académico - ESET NOD 32</v>
      </c>
      <c r="K229" s="161" t="str">
        <f>IF((EJECUTADO[[#This Row],[MONTO DISPONIBLE ]]-EJECUTADO[[#This Row],[MONTO SOLICITADO]])&gt;=0,"PRESUPUESTO: SI","PRESUPUESTO: NO")</f>
        <v>PRESUPUESTO: SI</v>
      </c>
      <c r="L229" s="162">
        <f>SUMIF(PRESUPUESTO[CUENTA],EJECUTADO[[#This Row],[CUENTA]],PRESUPUESTO[MONTO])-SUMIF($F$1:F228,EJECUTADO[[#This Row],[CUENTA]],$M$1:M228)</f>
        <v>8925</v>
      </c>
      <c r="M229" s="2">
        <v>8039.39</v>
      </c>
      <c r="N229" s="2"/>
      <c r="O229" s="2"/>
      <c r="P229" s="162">
        <f>+EJECUTADO[[#This Row],[MONTO SOLICITADO]]-EJECUTADO[[#This Row],[RETENCION IVA]]-EJECUTADO[[#This Row],[RETENCION ISR]]</f>
        <v>8039.39</v>
      </c>
      <c r="Q229" s="84" t="s">
        <v>1000</v>
      </c>
      <c r="R229" s="2"/>
      <c r="S229">
        <v>1</v>
      </c>
      <c r="T229" s="168" t="str">
        <f t="shared" si="6"/>
        <v>SERVICIOS TECNOLOGICOS - Antivirus Académico - ESET NOD 32 Disponible $8925 Solicitado $8039.39 PRESUPUESTO: SI</v>
      </c>
    </row>
    <row r="230" spans="1:20" ht="45" x14ac:dyDescent="0.25">
      <c r="A230" s="6">
        <f t="shared" si="7"/>
        <v>229</v>
      </c>
      <c r="B230" s="21">
        <v>45315</v>
      </c>
      <c r="C230" s="17" t="s">
        <v>1375</v>
      </c>
      <c r="D230" s="65" t="s">
        <v>1378</v>
      </c>
      <c r="E230" s="65"/>
      <c r="F230" t="s">
        <v>1379</v>
      </c>
      <c r="G230" s="161">
        <f>MONTH(EJECUTADO[[#This Row],[FECHA]])</f>
        <v>1</v>
      </c>
      <c r="H230" s="163" t="str">
        <f>MID(EJECUTADO[[#This Row],[CUENTA]],1,4)</f>
        <v>E-07</v>
      </c>
      <c r="I230" s="163" t="str">
        <f>INDEX(CATALOGO[Descripción],MATCH(EJECUTADO[[#This Row],[APLICACIÓN]]&amp;"-00-00-00",CATALOGO[Código],0))</f>
        <v>SERVICIOS TECNOLOGICOS</v>
      </c>
      <c r="J2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Antivirus administrativo ESET NOD 32</v>
      </c>
      <c r="K230" s="161" t="str">
        <f>IF((EJECUTADO[[#This Row],[MONTO DISPONIBLE ]]-EJECUTADO[[#This Row],[MONTO SOLICITADO]])&gt;=0,"PRESUPUESTO: SI","PRESUPUESTO: NO")</f>
        <v>PRESUPUESTO: SI</v>
      </c>
      <c r="L230" s="162">
        <f>SUMIF(PRESUPUESTO[CUENTA],EJECUTADO[[#This Row],[CUENTA]],PRESUPUESTO[MONTO])-SUMIF($F$1:F229,EJECUTADO[[#This Row],[CUENTA]],$M$1:M229)</f>
        <v>9000</v>
      </c>
      <c r="M230" s="2">
        <v>5536.43</v>
      </c>
      <c r="N230" s="2"/>
      <c r="O230" s="2"/>
      <c r="P230" s="162">
        <f>+EJECUTADO[[#This Row],[MONTO SOLICITADO]]-EJECUTADO[[#This Row],[RETENCION IVA]]-EJECUTADO[[#This Row],[RETENCION ISR]]</f>
        <v>5536.43</v>
      </c>
      <c r="Q230" s="84" t="s">
        <v>1000</v>
      </c>
      <c r="R230" s="2"/>
      <c r="S230">
        <v>1</v>
      </c>
      <c r="T230" s="168" t="str">
        <f t="shared" si="6"/>
        <v>SERVICIOS TECNOLOGICOS - Antivirus administrativo ESET NOD 32 Disponible $9000 Solicitado $5536.43 PRESUPUESTO: SI</v>
      </c>
    </row>
    <row r="231" spans="1:20" ht="90" x14ac:dyDescent="0.25">
      <c r="A231" s="6">
        <f t="shared" si="7"/>
        <v>230</v>
      </c>
      <c r="B231" s="21">
        <v>45317</v>
      </c>
      <c r="C231" s="17" t="s">
        <v>1380</v>
      </c>
      <c r="D231" s="65" t="s">
        <v>1381</v>
      </c>
      <c r="E231" s="65"/>
      <c r="F231" t="s">
        <v>1183</v>
      </c>
      <c r="G231" s="161">
        <f>MONTH(EJECUTADO[[#This Row],[FECHA]])</f>
        <v>1</v>
      </c>
      <c r="H231" s="163" t="str">
        <f>MID(EJECUTADO[[#This Row],[CUENTA]],1,4)</f>
        <v>E-22</v>
      </c>
      <c r="I231" s="163" t="str">
        <f>INDEX(CATALOGO[Descripción],MATCH(EJECUTADO[[#This Row],[APLICACIÓN]]&amp;"-00-00-00",CATALOGO[Código],0))</f>
        <v>CAPACITACIÓN AL PERSONAL</v>
      </c>
      <c r="J2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231" s="161" t="str">
        <f>IF((EJECUTADO[[#This Row],[MONTO DISPONIBLE ]]-EJECUTADO[[#This Row],[MONTO SOLICITADO]])&gt;=0,"PRESUPUESTO: SI","PRESUPUESTO: NO")</f>
        <v>PRESUPUESTO: SI</v>
      </c>
      <c r="L231" s="162">
        <f>SUMIF(PRESUPUESTO[CUENTA],EJECUTADO[[#This Row],[CUENTA]],PRESUPUESTO[MONTO])-SUMIF($F$1:F230,EJECUTADO[[#This Row],[CUENTA]],$M$1:M230)</f>
        <v>11664</v>
      </c>
      <c r="M231" s="2">
        <v>3994.9</v>
      </c>
      <c r="N231" s="2"/>
      <c r="O231" s="2"/>
      <c r="P231" s="162">
        <f>+EJECUTADO[[#This Row],[MONTO SOLICITADO]]-EJECUTADO[[#This Row],[RETENCION IVA]]-EJECUTADO[[#This Row],[RETENCION ISR]]</f>
        <v>3994.9</v>
      </c>
      <c r="Q231" s="84" t="s">
        <v>1000</v>
      </c>
      <c r="R231" s="2"/>
      <c r="S231">
        <v>1</v>
      </c>
      <c r="T231" s="168" t="str">
        <f t="shared" si="6"/>
        <v>CAPACITACIÓN AL PERSONAL - Otras capacitaciones Disponible $11664 Solicitado $3994.9 PRESUPUESTO: SI</v>
      </c>
    </row>
    <row r="232" spans="1:20" ht="30" x14ac:dyDescent="0.25">
      <c r="A232" s="6">
        <f t="shared" si="7"/>
        <v>231</v>
      </c>
      <c r="B232" s="21">
        <v>45317</v>
      </c>
      <c r="C232" s="17" t="s">
        <v>1382</v>
      </c>
      <c r="D232" s="65" t="s">
        <v>1383</v>
      </c>
      <c r="E232" s="65"/>
      <c r="F232" t="s">
        <v>1384</v>
      </c>
      <c r="G232" s="161">
        <f>MONTH(EJECUTADO[[#This Row],[FECHA]])</f>
        <v>1</v>
      </c>
      <c r="H232" s="163" t="str">
        <f>MID(EJECUTADO[[#This Row],[CUENTA]],1,4)</f>
        <v>E-19</v>
      </c>
      <c r="I232" s="163" t="str">
        <f>INDEX(CATALOGO[Descripción],MATCH(EJECUTADO[[#This Row],[APLICACIÓN]]&amp;"-00-00-00",CATALOGO[Código],0))</f>
        <v>MANTENIMIENTO</v>
      </c>
      <c r="J2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232" s="161" t="str">
        <f>IF((EJECUTADO[[#This Row],[MONTO DISPONIBLE ]]-EJECUTADO[[#This Row],[MONTO SOLICITADO]])&gt;=0,"PRESUPUESTO: SI","PRESUPUESTO: NO")</f>
        <v>PRESUPUESTO: SI</v>
      </c>
      <c r="L232" s="162">
        <f>SUMIF(PRESUPUESTO[CUENTA],EJECUTADO[[#This Row],[CUENTA]],PRESUPUESTO[MONTO])-SUMIF($F$1:F231,EJECUTADO[[#This Row],[CUENTA]],$M$1:M231)</f>
        <v>20000</v>
      </c>
      <c r="M232" s="2">
        <v>395</v>
      </c>
      <c r="N232" s="2"/>
      <c r="O232" s="2"/>
      <c r="P232" s="162">
        <f>+EJECUTADO[[#This Row],[MONTO SOLICITADO]]-EJECUTADO[[#This Row],[RETENCION IVA]]-EJECUTADO[[#This Row],[RETENCION ISR]]</f>
        <v>395</v>
      </c>
      <c r="Q232" s="84" t="s">
        <v>1000</v>
      </c>
      <c r="R232" s="2"/>
      <c r="S232">
        <v>1</v>
      </c>
      <c r="T232" s="168" t="str">
        <f t="shared" si="6"/>
        <v>MANTENIMIENTO - Mantenimiento de Limpieza Disponible $20000 Solicitado $395 PRESUPUESTO: SI</v>
      </c>
    </row>
    <row r="233" spans="1:20" ht="45" x14ac:dyDescent="0.25">
      <c r="A233" s="6">
        <f t="shared" si="7"/>
        <v>232</v>
      </c>
      <c r="B233" s="21">
        <v>45317</v>
      </c>
      <c r="C233" s="17" t="s">
        <v>1385</v>
      </c>
      <c r="D233" s="65" t="s">
        <v>1386</v>
      </c>
      <c r="E233" s="65"/>
      <c r="F233" t="s">
        <v>1387</v>
      </c>
      <c r="G233" s="161">
        <f>MONTH(EJECUTADO[[#This Row],[FECHA]])</f>
        <v>1</v>
      </c>
      <c r="H233" s="163" t="str">
        <f>MID(EJECUTADO[[#This Row],[CUENTA]],1,4)</f>
        <v>E-13</v>
      </c>
      <c r="I233" s="163" t="str">
        <f>INDEX(CATALOGO[Descripción],MATCH(EJECUTADO[[#This Row],[APLICACIÓN]]&amp;"-00-00-00",CATALOGO[Código],0))</f>
        <v>MAESTRIAS Y POSTGRADOS</v>
      </c>
      <c r="J2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DE PLANTA EMERGENCIA </v>
      </c>
      <c r="K233" s="161" t="str">
        <f>IF((EJECUTADO[[#This Row],[MONTO DISPONIBLE ]]-EJECUTADO[[#This Row],[MONTO SOLICITADO]])&gt;=0,"PRESUPUESTO: SI","PRESUPUESTO: NO")</f>
        <v>PRESUPUESTO: SI</v>
      </c>
      <c r="L233" s="162">
        <f>SUMIF(PRESUPUESTO[CUENTA],EJECUTADO[[#This Row],[CUENTA]],PRESUPUESTO[MONTO])-SUMIF($F$1:F232,EJECUTADO[[#This Row],[CUENTA]],$M$1:M232)</f>
        <v>3481</v>
      </c>
      <c r="M233" s="2">
        <v>497.2</v>
      </c>
      <c r="N233" s="2"/>
      <c r="O233" s="2"/>
      <c r="P233" s="162">
        <f>+EJECUTADO[[#This Row],[MONTO SOLICITADO]]-EJECUTADO[[#This Row],[RETENCION IVA]]-EJECUTADO[[#This Row],[RETENCION ISR]]</f>
        <v>497.2</v>
      </c>
      <c r="Q233" s="84" t="s">
        <v>1000</v>
      </c>
      <c r="R233" s="2"/>
      <c r="S233">
        <v>1</v>
      </c>
      <c r="T233" s="168" t="str">
        <f>_xlfn.CONCAT(I233," - ",J233," Disponible $",L233," Solicitado $",M233," ",K233,)</f>
        <v>MAESTRIAS Y POSTGRADOS - MANTENIMIENTO DE PLANTA EMERGENCIA  Disponible $3481 Solicitado $497.2 PRESUPUESTO: SI</v>
      </c>
    </row>
    <row r="234" spans="1:20" ht="45" x14ac:dyDescent="0.25">
      <c r="A234" s="6">
        <f t="shared" si="7"/>
        <v>233</v>
      </c>
      <c r="B234" s="21">
        <v>45317</v>
      </c>
      <c r="C234" s="17" t="s">
        <v>1227</v>
      </c>
      <c r="D234" s="65" t="s">
        <v>1388</v>
      </c>
      <c r="F234" t="s">
        <v>1229</v>
      </c>
      <c r="G234" s="161">
        <f>MONTH(EJECUTADO[[#This Row],[FECHA]])</f>
        <v>1</v>
      </c>
      <c r="H234" s="163" t="str">
        <f>MID(EJECUTADO[[#This Row],[CUENTA]],1,4)</f>
        <v>E-03</v>
      </c>
      <c r="I234" s="163" t="str">
        <f>INDEX(CATALOGO[Descripción],MATCH(EJECUTADO[[#This Row],[APLICACIÓN]]&amp;"-00-00-00",CATALOGO[Código],0))</f>
        <v>SUELDOS ADMINISTRATIVOS</v>
      </c>
      <c r="J2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234" s="161" t="str">
        <f>IF((EJECUTADO[[#This Row],[MONTO DISPONIBLE ]]-EJECUTADO[[#This Row],[MONTO SOLICITADO]])&gt;=0,"PRESUPUESTO: SI","PRESUPUESTO: NO")</f>
        <v>PRESUPUESTO: SI</v>
      </c>
      <c r="L234" s="162">
        <f>SUMIF(PRESUPUESTO[CUENTA],EJECUTADO[[#This Row],[CUENTA]],PRESUPUESTO[MONTO])-SUMIF($F$1:F233,EJECUTADO[[#This Row],[CUENTA]],$M$1:M233)</f>
        <v>134650</v>
      </c>
      <c r="M234" s="2">
        <v>350</v>
      </c>
      <c r="N234" s="2"/>
      <c r="O234" s="2">
        <v>35</v>
      </c>
      <c r="P234" s="162">
        <f>+EJECUTADO[[#This Row],[MONTO SOLICITADO]]-EJECUTADO[[#This Row],[RETENCION IVA]]-EJECUTADO[[#This Row],[RETENCION ISR]]</f>
        <v>315</v>
      </c>
      <c r="Q234" s="84" t="s">
        <v>1000</v>
      </c>
      <c r="R234" s="2"/>
      <c r="S234">
        <v>1</v>
      </c>
      <c r="T234" s="168" t="str">
        <f t="shared" si="6"/>
        <v>SUELDOS ADMINISTRATIVOS - SUELDOS Y SALARIOS DIRECCIÓN DE COMUNICACIONES Disponible $134650 Solicitado $350 PRESUPUESTO: SI</v>
      </c>
    </row>
    <row r="235" spans="1:20" ht="60" x14ac:dyDescent="0.25">
      <c r="A235" s="6">
        <f t="shared" si="7"/>
        <v>234</v>
      </c>
      <c r="B235" s="21">
        <v>45317</v>
      </c>
      <c r="C235" s="17" t="s">
        <v>1389</v>
      </c>
      <c r="D235" s="65" t="s">
        <v>1390</v>
      </c>
      <c r="F235" t="s">
        <v>1008</v>
      </c>
      <c r="G235" s="161">
        <f>MONTH(EJECUTADO[[#This Row],[FECHA]])</f>
        <v>1</v>
      </c>
      <c r="H235" s="163" t="str">
        <f>MID(EJECUTADO[[#This Row],[CUENTA]],1,4)</f>
        <v>E-19</v>
      </c>
      <c r="I235" s="163" t="str">
        <f>INDEX(CATALOGO[Descripción],MATCH(EJECUTADO[[#This Row],[APLICACIÓN]]&amp;"-00-00-00",CATALOGO[Código],0))</f>
        <v>MANTENIMIENTO</v>
      </c>
      <c r="J2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235" s="161" t="str">
        <f>IF((EJECUTADO[[#This Row],[MONTO DISPONIBLE ]]-EJECUTADO[[#This Row],[MONTO SOLICITADO]])&gt;=0,"PRESUPUESTO: SI","PRESUPUESTO: NO")</f>
        <v>PRESUPUESTO: SI</v>
      </c>
      <c r="L235" s="162">
        <f>SUMIF(PRESUPUESTO[CUENTA],EJECUTADO[[#This Row],[CUENTA]],PRESUPUESTO[MONTO])-SUMIF($F$1:F234,EJECUTADO[[#This Row],[CUENTA]],$M$1:M234)</f>
        <v>9944.73</v>
      </c>
      <c r="M235" s="2">
        <v>618.75</v>
      </c>
      <c r="N235" s="2"/>
      <c r="O235" s="2"/>
      <c r="P235" s="162">
        <f>+EJECUTADO[[#This Row],[MONTO SOLICITADO]]-EJECUTADO[[#This Row],[RETENCION IVA]]-EJECUTADO[[#This Row],[RETENCION ISR]]</f>
        <v>618.75</v>
      </c>
      <c r="Q235" s="84" t="s">
        <v>1000</v>
      </c>
      <c r="R235" s="2"/>
      <c r="S235">
        <v>1</v>
      </c>
      <c r="T235" s="168" t="str">
        <f t="shared" si="6"/>
        <v>MANTENIMIENTO - Dir. Mantenimiento - Manto. Oficinas, Mobiliario y equipos Disponible $9944.73 Solicitado $618.75 PRESUPUESTO: SI</v>
      </c>
    </row>
    <row r="236" spans="1:20" ht="30" x14ac:dyDescent="0.25">
      <c r="A236" s="6">
        <f t="shared" si="7"/>
        <v>235</v>
      </c>
      <c r="B236" s="21">
        <v>45317</v>
      </c>
      <c r="C236" s="17" t="s">
        <v>1391</v>
      </c>
      <c r="D236" s="65" t="s">
        <v>1392</v>
      </c>
      <c r="F236" t="s">
        <v>1393</v>
      </c>
      <c r="G236" s="161">
        <f>MONTH(EJECUTADO[[#This Row],[FECHA]])</f>
        <v>1</v>
      </c>
      <c r="H236" s="163" t="str">
        <f>MID(EJECUTADO[[#This Row],[CUENTA]],1,4)</f>
        <v>E-21</v>
      </c>
      <c r="I236" s="163" t="str">
        <f>INDEX(CATALOGO[Descripción],MATCH(EJECUTADO[[#This Row],[APLICACIÓN]]&amp;"-00-00-00",CATALOGO[Código],0))</f>
        <v>CENTRO DE FORMACION PROFESIONAL y EXT U</v>
      </c>
      <c r="J2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Diplomados FCCE - Ponente </v>
      </c>
      <c r="K236" s="161" t="str">
        <f>IF((EJECUTADO[[#This Row],[MONTO DISPONIBLE ]]-EJECUTADO[[#This Row],[MONTO SOLICITADO]])&gt;=0,"PRESUPUESTO: SI","PRESUPUESTO: NO")</f>
        <v>PRESUPUESTO: SI</v>
      </c>
      <c r="L236" s="162">
        <f>SUMIF(PRESUPUESTO[CUENTA],EJECUTADO[[#This Row],[CUENTA]],PRESUPUESTO[MONTO])-SUMIF($F$1:F235,EJECUTADO[[#This Row],[CUENTA]],$M$1:M235)</f>
        <v>5800</v>
      </c>
      <c r="M236" s="2">
        <v>600</v>
      </c>
      <c r="N236" s="2"/>
      <c r="O236" s="2"/>
      <c r="P236" s="162">
        <f>+EJECUTADO[[#This Row],[MONTO SOLICITADO]]-EJECUTADO[[#This Row],[RETENCION IVA]]-EJECUTADO[[#This Row],[RETENCION ISR]]</f>
        <v>600</v>
      </c>
      <c r="Q236" s="84" t="s">
        <v>1000</v>
      </c>
      <c r="R236" s="2"/>
      <c r="S236">
        <v>1</v>
      </c>
      <c r="T236" s="168" t="str">
        <f t="shared" si="6"/>
        <v>CENTRO DE FORMACION PROFESIONAL y EXT U - Diplomados FCCE - Ponente  Disponible $5800 Solicitado $600 PRESUPUESTO: SI</v>
      </c>
    </row>
    <row r="237" spans="1:20" ht="30" x14ac:dyDescent="0.25">
      <c r="A237" s="6">
        <f t="shared" si="7"/>
        <v>236</v>
      </c>
      <c r="B237" s="21">
        <v>45317</v>
      </c>
      <c r="C237" s="17" t="s">
        <v>1394</v>
      </c>
      <c r="D237" s="65" t="s">
        <v>764</v>
      </c>
      <c r="F237" t="s">
        <v>1032</v>
      </c>
      <c r="G237" s="161">
        <f>MONTH(EJECUTADO[[#This Row],[FECHA]])</f>
        <v>1</v>
      </c>
      <c r="H237" s="163" t="str">
        <f>MID(EJECUTADO[[#This Row],[CUENTA]],1,4)</f>
        <v>E-09</v>
      </c>
      <c r="I237" s="163" t="str">
        <f>INDEX(CATALOGO[Descripción],MATCH(EJECUTADO[[#This Row],[APLICACIÓN]]&amp;"-00-00-00",CATALOGO[Código],0))</f>
        <v>PRESTACIONES AL PERSONAL</v>
      </c>
      <c r="J2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237" s="161" t="str">
        <f>IF((EJECUTADO[[#This Row],[MONTO DISPONIBLE ]]-EJECUTADO[[#This Row],[MONTO SOLICITADO]])&gt;=0,"PRESUPUESTO: SI","PRESUPUESTO: NO")</f>
        <v>PRESUPUESTO: SI</v>
      </c>
      <c r="L237" s="162">
        <f>SUMIF(PRESUPUESTO[CUENTA],EJECUTADO[[#This Row],[CUENTA]],PRESUPUESTO[MONTO])-SUMIF($F$1:F236,EJECUTADO[[#This Row],[CUENTA]],$M$1:M236)</f>
        <v>112947.41</v>
      </c>
      <c r="M237" s="2">
        <v>586.85</v>
      </c>
      <c r="N237" s="2"/>
      <c r="O237" s="2"/>
      <c r="P237" s="162">
        <f>+EJECUTADO[[#This Row],[MONTO SOLICITADO]]-EJECUTADO[[#This Row],[RETENCION IVA]]-EJECUTADO[[#This Row],[RETENCION ISR]]</f>
        <v>586.85</v>
      </c>
      <c r="Q237" s="84" t="s">
        <v>1000</v>
      </c>
      <c r="R237" s="2"/>
      <c r="S237">
        <v>1</v>
      </c>
      <c r="T237" s="168" t="str">
        <f t="shared" si="6"/>
        <v>PRESTACIONES AL PERSONAL - Liquidaciones laborales y compensaciones Disponible $112947.41 Solicitado $586.85 PRESUPUESTO: SI</v>
      </c>
    </row>
    <row r="238" spans="1:20" ht="30" x14ac:dyDescent="0.25">
      <c r="A238" s="6">
        <f t="shared" si="7"/>
        <v>237</v>
      </c>
      <c r="B238" s="21">
        <v>45317</v>
      </c>
      <c r="C238" s="17" t="s">
        <v>1394</v>
      </c>
      <c r="D238" s="65" t="s">
        <v>1395</v>
      </c>
      <c r="F238" t="s">
        <v>1396</v>
      </c>
      <c r="G238" s="161">
        <f>MONTH(EJECUTADO[[#This Row],[FECHA]])</f>
        <v>1</v>
      </c>
      <c r="H238" s="163" t="str">
        <f>MID(EJECUTADO[[#This Row],[CUENTA]],1,4)</f>
        <v>E-04</v>
      </c>
      <c r="I238" s="163" t="str">
        <f>INDEX(CATALOGO[Descripción],MATCH(EJECUTADO[[#This Row],[APLICACIÓN]]&amp;"-00-00-00",CATALOGO[Código],0))</f>
        <v>SUELDOS ACADÉMICOS</v>
      </c>
      <c r="J2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238" s="161" t="str">
        <f>IF((EJECUTADO[[#This Row],[MONTO DISPONIBLE ]]-EJECUTADO[[#This Row],[MONTO SOLICITADO]])&gt;=0,"PRESUPUESTO: SI","PRESUPUESTO: NO")</f>
        <v>PRESUPUESTO: SI</v>
      </c>
      <c r="L238" s="162">
        <f>SUMIF(PRESUPUESTO[CUENTA],EJECUTADO[[#This Row],[CUENTA]],PRESUPUESTO[MONTO])-SUMIF($F$1:F237,EJECUTADO[[#This Row],[CUENTA]],$M$1:M237)</f>
        <v>79400</v>
      </c>
      <c r="M238" s="2">
        <v>65.099999999999994</v>
      </c>
      <c r="N238" s="2"/>
      <c r="O238" s="2"/>
      <c r="P238" s="162">
        <f>+EJECUTADO[[#This Row],[MONTO SOLICITADO]]-EJECUTADO[[#This Row],[RETENCION IVA]]-EJECUTADO[[#This Row],[RETENCION ISR]]</f>
        <v>65.099999999999994</v>
      </c>
      <c r="Q238" s="84" t="s">
        <v>1000</v>
      </c>
      <c r="R238" s="2"/>
      <c r="S238">
        <v>1</v>
      </c>
      <c r="T238" s="168" t="str">
        <f t="shared" si="6"/>
        <v>SUELDOS ACADÉMICOS - SUELDOS Y SALARIOS NUEVO INGRESO Disponible $79400 Solicitado $65.1 PRESUPUESTO: SI</v>
      </c>
    </row>
    <row r="239" spans="1:20" ht="45" x14ac:dyDescent="0.25">
      <c r="A239" s="6">
        <f t="shared" si="7"/>
        <v>238</v>
      </c>
      <c r="B239" s="21">
        <v>45317</v>
      </c>
      <c r="C239" s="17" t="s">
        <v>1128</v>
      </c>
      <c r="D239" s="65" t="s">
        <v>1397</v>
      </c>
      <c r="F239" t="s">
        <v>1126</v>
      </c>
      <c r="G239" s="161">
        <f>MONTH(EJECUTADO[[#This Row],[FECHA]])</f>
        <v>1</v>
      </c>
      <c r="H239" s="163" t="str">
        <f>MID(EJECUTADO[[#This Row],[CUENTA]],1,4)</f>
        <v>E-15</v>
      </c>
      <c r="I239" s="163" t="str">
        <f>INDEX(CATALOGO[Descripción],MATCH(EJECUTADO[[#This Row],[APLICACIÓN]]&amp;"-00-00-00",CATALOGO[Código],0))</f>
        <v>ALQUILERES</v>
      </c>
      <c r="J2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239" s="161" t="str">
        <f>IF((EJECUTADO[[#This Row],[MONTO DISPONIBLE ]]-EJECUTADO[[#This Row],[MONTO SOLICITADO]])&gt;=0,"PRESUPUESTO: SI","PRESUPUESTO: NO")</f>
        <v>PRESUPUESTO: SI</v>
      </c>
      <c r="L239" s="162">
        <f>SUMIF(PRESUPUESTO[CUENTA],EJECUTADO[[#This Row],[CUENTA]],PRESUPUESTO[MONTO])-SUMIF($F$1:F238,EJECUTADO[[#This Row],[CUENTA]],$M$1:M238)</f>
        <v>51700</v>
      </c>
      <c r="M239" s="2">
        <v>1200</v>
      </c>
      <c r="N239" s="2"/>
      <c r="O239" s="2"/>
      <c r="P239" s="162">
        <f>+EJECUTADO[[#This Row],[MONTO SOLICITADO]]-EJECUTADO[[#This Row],[RETENCION IVA]]-EJECUTADO[[#This Row],[RETENCION ISR]]</f>
        <v>1200</v>
      </c>
      <c r="Q239" s="84" t="s">
        <v>1000</v>
      </c>
      <c r="R239" s="2"/>
      <c r="S239">
        <v>1</v>
      </c>
      <c r="T239" s="168" t="str">
        <f t="shared" si="6"/>
        <v>ALQUILERES - Alquiler de edificio Thomas Jefferson Disponible $51700 Solicitado $1200 PRESUPUESTO: SI</v>
      </c>
    </row>
    <row r="240" spans="1:20" ht="30" x14ac:dyDescent="0.25">
      <c r="A240" s="6">
        <f t="shared" si="7"/>
        <v>239</v>
      </c>
      <c r="B240" s="21">
        <v>45320</v>
      </c>
      <c r="C240" s="17" t="s">
        <v>1149</v>
      </c>
      <c r="D240" s="65" t="s">
        <v>1398</v>
      </c>
      <c r="F240" t="s">
        <v>1151</v>
      </c>
      <c r="G240" s="161">
        <f>MONTH(EJECUTADO[[#This Row],[FECHA]])</f>
        <v>1</v>
      </c>
      <c r="H240" s="163" t="str">
        <f>MID(EJECUTADO[[#This Row],[CUENTA]],1,4)</f>
        <v>E-20</v>
      </c>
      <c r="I240" s="163" t="str">
        <f>INDEX(CATALOGO[Descripción],MATCH(EJECUTADO[[#This Row],[APLICACIÓN]]&amp;"-00-00-00",CATALOGO[Código],0))</f>
        <v>SEGUROS</v>
      </c>
      <c r="J2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de Incendio- ACSA Aseguradora Agri 8 cuo</v>
      </c>
      <c r="K240" s="161" t="str">
        <f>IF((EJECUTADO[[#This Row],[MONTO DISPONIBLE ]]-EJECUTADO[[#This Row],[MONTO SOLICITADO]])&gt;=0,"PRESUPUESTO: SI","PRESUPUESTO: NO")</f>
        <v>PRESUPUESTO: SI</v>
      </c>
      <c r="L240" s="162">
        <f>SUMIF(PRESUPUESTO[CUENTA],EJECUTADO[[#This Row],[CUENTA]],PRESUPUESTO[MONTO])-SUMIF($F$1:F239,EJECUTADO[[#This Row],[CUENTA]],$M$1:M239)</f>
        <v>204196.79</v>
      </c>
      <c r="M240" s="2">
        <v>27566.93</v>
      </c>
      <c r="N240" s="2"/>
      <c r="O240" s="2"/>
      <c r="P240" s="162">
        <f>+EJECUTADO[[#This Row],[MONTO SOLICITADO]]-EJECUTADO[[#This Row],[RETENCION IVA]]-EJECUTADO[[#This Row],[RETENCION ISR]]</f>
        <v>27566.93</v>
      </c>
      <c r="Q240" s="84" t="s">
        <v>1000</v>
      </c>
      <c r="R240" s="2"/>
      <c r="S240">
        <v>1</v>
      </c>
      <c r="T240" s="168" t="str">
        <f t="shared" si="6"/>
        <v>SEGUROS - Seguro de Incendio- ACSA Aseguradora Agri 8 cuo Disponible $204196.79 Solicitado $27566.93 PRESUPUESTO: SI</v>
      </c>
    </row>
    <row r="241" spans="1:20" ht="30" x14ac:dyDescent="0.25">
      <c r="A241" s="6">
        <f t="shared" si="7"/>
        <v>240</v>
      </c>
      <c r="B241" s="21">
        <v>45320</v>
      </c>
      <c r="C241" s="17" t="s">
        <v>1149</v>
      </c>
      <c r="D241" s="65" t="s">
        <v>1398</v>
      </c>
      <c r="F241" t="s">
        <v>1399</v>
      </c>
      <c r="G241" s="161">
        <f>MONTH(EJECUTADO[[#This Row],[FECHA]])</f>
        <v>1</v>
      </c>
      <c r="H241" s="163" t="str">
        <f>MID(EJECUTADO[[#This Row],[CUENTA]],1,4)</f>
        <v>E-20</v>
      </c>
      <c r="I241" s="163" t="str">
        <f>INDEX(CATALOGO[Descripción],MATCH(EJECUTADO[[#This Row],[APLICACIÓN]]&amp;"-00-00-00",CATALOGO[Código],0))</f>
        <v>SEGUROS</v>
      </c>
      <c r="J2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Lucro Cesante</v>
      </c>
      <c r="K241" s="161" t="str">
        <f>IF((EJECUTADO[[#This Row],[MONTO DISPONIBLE ]]-EJECUTADO[[#This Row],[MONTO SOLICITADO]])&gt;=0,"PRESUPUESTO: SI","PRESUPUESTO: NO")</f>
        <v>PRESUPUESTO: SI</v>
      </c>
      <c r="L241" s="162">
        <f>SUMIF(PRESUPUESTO[CUENTA],EJECUTADO[[#This Row],[CUENTA]],PRESUPUESTO[MONTO])-SUMIF($F$1:F240,EJECUTADO[[#This Row],[CUENTA]],$M$1:M240)</f>
        <v>3032</v>
      </c>
      <c r="M241" s="2">
        <v>1048.8900000000001</v>
      </c>
      <c r="N241" s="2"/>
      <c r="O241" s="2"/>
      <c r="P241" s="162">
        <f>+EJECUTADO[[#This Row],[MONTO SOLICITADO]]-EJECUTADO[[#This Row],[RETENCION IVA]]-EJECUTADO[[#This Row],[RETENCION ISR]]</f>
        <v>1048.8900000000001</v>
      </c>
      <c r="Q241" s="84" t="s">
        <v>1000</v>
      </c>
      <c r="R241" s="2"/>
      <c r="S241">
        <v>1</v>
      </c>
      <c r="T241" s="168" t="str">
        <f t="shared" si="6"/>
        <v>SEGUROS - Lucro Cesante Disponible $3032 Solicitado $1048.89 PRESUPUESTO: SI</v>
      </c>
    </row>
    <row r="242" spans="1:20" ht="30" x14ac:dyDescent="0.25">
      <c r="A242" s="6">
        <f t="shared" si="7"/>
        <v>241</v>
      </c>
      <c r="B242" s="21">
        <v>45320</v>
      </c>
      <c r="C242" s="17" t="s">
        <v>1149</v>
      </c>
      <c r="D242" s="65" t="s">
        <v>1398</v>
      </c>
      <c r="F242" t="s">
        <v>1400</v>
      </c>
      <c r="G242" s="161">
        <f>MONTH(EJECUTADO[[#This Row],[FECHA]])</f>
        <v>1</v>
      </c>
      <c r="H242" s="163" t="str">
        <f>MID(EJECUTADO[[#This Row],[CUENTA]],1,4)</f>
        <v>E-20</v>
      </c>
      <c r="I242" s="163" t="str">
        <f>INDEX(CATALOGO[Descripción],MATCH(EJECUTADO[[#This Row],[APLICACIÓN]]&amp;"-00-00-00",CATALOGO[Código],0))</f>
        <v>SEGUROS</v>
      </c>
      <c r="J2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Vida Colectivo-  SISA 6 cuotas</v>
      </c>
      <c r="K242" s="161" t="str">
        <f>IF((EJECUTADO[[#This Row],[MONTO DISPONIBLE ]]-EJECUTADO[[#This Row],[MONTO SOLICITADO]])&gt;=0,"PRESUPUESTO: SI","PRESUPUESTO: NO")</f>
        <v>PRESUPUESTO: SI</v>
      </c>
      <c r="L242" s="162">
        <f>SUMIF(PRESUPUESTO[CUENTA],EJECUTADO[[#This Row],[CUENTA]],PRESUPUESTO[MONTO])-SUMIF($F$1:F241,EJECUTADO[[#This Row],[CUENTA]],$M$1:M241)</f>
        <v>54883</v>
      </c>
      <c r="M242" s="2">
        <v>3920.95</v>
      </c>
      <c r="N242" s="2"/>
      <c r="O242" s="2"/>
      <c r="P242" s="162">
        <f>+EJECUTADO[[#This Row],[MONTO SOLICITADO]]-EJECUTADO[[#This Row],[RETENCION IVA]]-EJECUTADO[[#This Row],[RETENCION ISR]]</f>
        <v>3920.95</v>
      </c>
      <c r="Q242" s="84" t="s">
        <v>1000</v>
      </c>
      <c r="R242" s="2"/>
      <c r="S242">
        <v>1</v>
      </c>
      <c r="T242" s="168" t="str">
        <f t="shared" si="6"/>
        <v>SEGUROS - Seguro Vida Colectivo-  SISA 6 cuotas Disponible $54883 Solicitado $3920.95 PRESUPUESTO: SI</v>
      </c>
    </row>
    <row r="243" spans="1:20" ht="30" x14ac:dyDescent="0.25">
      <c r="A243" s="6">
        <f t="shared" si="7"/>
        <v>242</v>
      </c>
      <c r="B243" s="21">
        <v>45320</v>
      </c>
      <c r="C243" s="17" t="s">
        <v>1401</v>
      </c>
      <c r="D243" s="65" t="s">
        <v>1398</v>
      </c>
      <c r="F243" t="s">
        <v>1402</v>
      </c>
      <c r="G243" s="161">
        <f>MONTH(EJECUTADO[[#This Row],[FECHA]])</f>
        <v>1</v>
      </c>
      <c r="H243" s="163" t="str">
        <f>MID(EJECUTADO[[#This Row],[CUENTA]],1,4)</f>
        <v>E-20</v>
      </c>
      <c r="I243" s="163" t="str">
        <f>INDEX(CATALOGO[Descripción],MATCH(EJECUTADO[[#This Row],[APLICACIÓN]]&amp;"-00-00-00",CATALOGO[Código],0))</f>
        <v>SEGUROS</v>
      </c>
      <c r="J2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Valores ACSA 8 cuotas</v>
      </c>
      <c r="K243" s="161" t="str">
        <f>IF((EJECUTADO[[#This Row],[MONTO DISPONIBLE ]]-EJECUTADO[[#This Row],[MONTO SOLICITADO]])&gt;=0,"PRESUPUESTO: SI","PRESUPUESTO: NO")</f>
        <v>PRESUPUESTO: NO</v>
      </c>
      <c r="L243" s="162">
        <f>SUMIF(PRESUPUESTO[CUENTA],EJECUTADO[[#This Row],[CUENTA]],PRESUPUESTO[MONTO])-SUMIF($F$1:F242,EJECUTADO[[#This Row],[CUENTA]],$M$1:M242)</f>
        <v>8393</v>
      </c>
      <c r="M243" s="2">
        <v>9147.1</v>
      </c>
      <c r="N243" s="2"/>
      <c r="O243" s="2"/>
      <c r="P243" s="162">
        <f>+EJECUTADO[[#This Row],[MONTO SOLICITADO]]-EJECUTADO[[#This Row],[RETENCION IVA]]-EJECUTADO[[#This Row],[RETENCION ISR]]</f>
        <v>9147.1</v>
      </c>
      <c r="Q243" s="84" t="s">
        <v>1000</v>
      </c>
      <c r="R243" s="2"/>
      <c r="S243">
        <v>1</v>
      </c>
      <c r="T243" s="168" t="str">
        <f t="shared" si="6"/>
        <v>SEGUROS - Seguro Valores ACSA 8 cuotas Disponible $8393 Solicitado $9147.1 PRESUPUESTO: NO</v>
      </c>
    </row>
    <row r="244" spans="1:20" ht="30" x14ac:dyDescent="0.25">
      <c r="A244" s="6">
        <f t="shared" si="7"/>
        <v>243</v>
      </c>
      <c r="B244" s="21">
        <v>45320</v>
      </c>
      <c r="C244" s="17" t="s">
        <v>1401</v>
      </c>
      <c r="D244" s="65" t="s">
        <v>1398</v>
      </c>
      <c r="F244" t="s">
        <v>1403</v>
      </c>
      <c r="G244" s="161">
        <f>MONTH(EJECUTADO[[#This Row],[FECHA]])</f>
        <v>1</v>
      </c>
      <c r="H244" s="163" t="str">
        <f>MID(EJECUTADO[[#This Row],[CUENTA]],1,4)</f>
        <v>E-20</v>
      </c>
      <c r="I244" s="163" t="str">
        <f>INDEX(CATALOGO[Descripción],MATCH(EJECUTADO[[#This Row],[APLICACIÓN]]&amp;"-00-00-00",CATALOGO[Código],0))</f>
        <v>SEGUROS</v>
      </c>
      <c r="J2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VehÍculos ACSA 8 cuotas</v>
      </c>
      <c r="K244" s="161" t="str">
        <f>IF((EJECUTADO[[#This Row],[MONTO DISPONIBLE ]]-EJECUTADO[[#This Row],[MONTO SOLICITADO]])&gt;=0,"PRESUPUESTO: SI","PRESUPUESTO: NO")</f>
        <v>PRESUPUESTO: SI</v>
      </c>
      <c r="L244" s="162">
        <f>SUMIF(PRESUPUESTO[CUENTA],EJECUTADO[[#This Row],[CUENTA]],PRESUPUESTO[MONTO])-SUMIF($F$1:F243,EJECUTADO[[#This Row],[CUENTA]],$M$1:M243)</f>
        <v>31368</v>
      </c>
      <c r="M244" s="2">
        <v>18110.82</v>
      </c>
      <c r="N244" s="2"/>
      <c r="O244" s="2"/>
      <c r="P244" s="162">
        <f>+EJECUTADO[[#This Row],[MONTO SOLICITADO]]-EJECUTADO[[#This Row],[RETENCION IVA]]-EJECUTADO[[#This Row],[RETENCION ISR]]</f>
        <v>18110.82</v>
      </c>
      <c r="Q244" s="84" t="s">
        <v>1000</v>
      </c>
      <c r="R244" s="2"/>
      <c r="S244">
        <v>1</v>
      </c>
      <c r="T244" s="168" t="str">
        <f t="shared" si="6"/>
        <v>SEGUROS - Seguro VehÍculos ACSA 8 cuotas Disponible $31368 Solicitado $18110.82 PRESUPUESTO: SI</v>
      </c>
    </row>
    <row r="245" spans="1:20" ht="60" x14ac:dyDescent="0.25">
      <c r="A245" s="6">
        <f t="shared" si="7"/>
        <v>244</v>
      </c>
      <c r="B245" s="21">
        <v>45322</v>
      </c>
      <c r="C245" s="17" t="s">
        <v>1404</v>
      </c>
      <c r="D245" s="65" t="s">
        <v>1405</v>
      </c>
      <c r="F245" t="s">
        <v>1406</v>
      </c>
      <c r="G245" s="161">
        <f>MONTH(EJECUTADO[[#This Row],[FECHA]])</f>
        <v>1</v>
      </c>
      <c r="H245" s="163" t="str">
        <f>MID(EJECUTADO[[#This Row],[CUENTA]],1,4)</f>
        <v>E-22</v>
      </c>
      <c r="I245" s="163" t="str">
        <f>INDEX(CATALOGO[Descripción],MATCH(EJECUTADO[[#This Row],[APLICACIÓN]]&amp;"-00-00-00",CATALOGO[Código],0))</f>
        <v>CAPACITACIÓN AL PERSONAL</v>
      </c>
      <c r="J2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FICA - Maestría Lic. Henry  Cerritos</v>
      </c>
      <c r="K245" s="161" t="str">
        <f>IF((EJECUTADO[[#This Row],[MONTO DISPONIBLE ]]-EJECUTADO[[#This Row],[MONTO SOLICITADO]])&gt;=0,"PRESUPUESTO: SI","PRESUPUESTO: NO")</f>
        <v>PRESUPUESTO: SI</v>
      </c>
      <c r="L245" s="162">
        <f>SUMIF(PRESUPUESTO[CUENTA],EJECUTADO[[#This Row],[CUENTA]],PRESUPUESTO[MONTO])-SUMIF($F$1:F244,EJECUTADO[[#This Row],[CUENTA]],$M$1:M244)</f>
        <v>1125</v>
      </c>
      <c r="M245" s="2">
        <v>150</v>
      </c>
      <c r="N245" s="2"/>
      <c r="O245" s="2"/>
      <c r="P245" s="162">
        <f>+EJECUTADO[[#This Row],[MONTO SOLICITADO]]-EJECUTADO[[#This Row],[RETENCION IVA]]-EJECUTADO[[#This Row],[RETENCION ISR]]</f>
        <v>150</v>
      </c>
      <c r="Q245" s="84" t="s">
        <v>1000</v>
      </c>
      <c r="R245" s="2"/>
      <c r="S245">
        <v>1</v>
      </c>
      <c r="T245" s="168" t="str">
        <f t="shared" si="6"/>
        <v>CAPACITACIÓN AL PERSONAL - FICA - Maestría Lic. Henry  Cerritos Disponible $1125 Solicitado $150 PRESUPUESTO: SI</v>
      </c>
    </row>
    <row r="246" spans="1:20" ht="45" x14ac:dyDescent="0.25">
      <c r="A246" s="6">
        <f t="shared" si="7"/>
        <v>245</v>
      </c>
      <c r="B246" s="21">
        <v>45322</v>
      </c>
      <c r="C246" s="17" t="s">
        <v>1404</v>
      </c>
      <c r="D246" s="65" t="s">
        <v>1407</v>
      </c>
      <c r="F246" t="s">
        <v>1180</v>
      </c>
      <c r="G246" s="161">
        <f>MONTH(EJECUTADO[[#This Row],[FECHA]])</f>
        <v>1</v>
      </c>
      <c r="H246" s="163" t="str">
        <f>MID(EJECUTADO[[#This Row],[CUENTA]],1,4)</f>
        <v>E-08</v>
      </c>
      <c r="I246" s="163" t="str">
        <f>INDEX(CATALOGO[Descripción],MATCH(EJECUTADO[[#This Row],[APLICACIÓN]]&amp;"-00-00-00",CATALOGO[Código],0))</f>
        <v>INVERSIONES Y PROYECTOS ESPECIALES</v>
      </c>
      <c r="J2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246" s="161" t="str">
        <f>IF((EJECUTADO[[#This Row],[MONTO DISPONIBLE ]]-EJECUTADO[[#This Row],[MONTO SOLICITADO]])&gt;=0,"PRESUPUESTO: SI","PRESUPUESTO: NO")</f>
        <v>PRESUPUESTO: NO</v>
      </c>
      <c r="L246" s="162">
        <f>SUMIF(PRESUPUESTO[CUENTA],EJECUTADO[[#This Row],[CUENTA]],PRESUPUESTO[MONTO])-SUMIF($F$1:F245,EJECUTADO[[#This Row],[CUENTA]],$M$1:M245)</f>
        <v>-400.40999999999997</v>
      </c>
      <c r="M246" s="2">
        <v>50</v>
      </c>
      <c r="N246" s="2"/>
      <c r="O246" s="2"/>
      <c r="P246" s="162">
        <f>+EJECUTADO[[#This Row],[MONTO SOLICITADO]]-EJECUTADO[[#This Row],[RETENCION IVA]]-EJECUTADO[[#This Row],[RETENCION ISR]]</f>
        <v>50</v>
      </c>
      <c r="Q246" s="84" t="s">
        <v>1000</v>
      </c>
      <c r="R246" s="2"/>
      <c r="S246">
        <v>1</v>
      </c>
      <c r="T246" s="168" t="str">
        <f t="shared" si="6"/>
        <v>INVERSIONES Y PROYECTOS ESPECIALES - LA CUENTA SELECCIONADA NO PERMITE MOVIMIENTO Disponible $-400.41 Solicitado $50 PRESUPUESTO: NO</v>
      </c>
    </row>
    <row r="247" spans="1:20" ht="60" x14ac:dyDescent="0.25">
      <c r="A247" s="6">
        <f t="shared" si="7"/>
        <v>246</v>
      </c>
      <c r="B247" s="21">
        <v>45322</v>
      </c>
      <c r="C247" s="17" t="s">
        <v>1408</v>
      </c>
      <c r="D247" s="65" t="s">
        <v>1409</v>
      </c>
      <c r="F247" t="s">
        <v>1410</v>
      </c>
      <c r="G247" s="161">
        <f>MONTH(EJECUTADO[[#This Row],[FECHA]])</f>
        <v>1</v>
      </c>
      <c r="H247" s="163" t="str">
        <f>MID(EJECUTADO[[#This Row],[CUENTA]],1,4)</f>
        <v>E-22</v>
      </c>
      <c r="I247" s="163" t="str">
        <f>INDEX(CATALOGO[Descripción],MATCH(EJECUTADO[[#This Row],[APLICACIÓN]]&amp;"-00-00-00",CATALOGO[Código],0))</f>
        <v>CAPACITACIÓN AL PERSONAL</v>
      </c>
      <c r="J2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MAE - Maestría: Adriana Baires</v>
      </c>
      <c r="K247" s="161" t="str">
        <f>IF((EJECUTADO[[#This Row],[MONTO DISPONIBLE ]]-EJECUTADO[[#This Row],[MONTO SOLICITADO]])&gt;=0,"PRESUPUESTO: SI","PRESUPUESTO: NO")</f>
        <v>PRESUPUESTO: SI</v>
      </c>
      <c r="L247" s="162">
        <f>SUMIF(PRESUPUESTO[CUENTA],EJECUTADO[[#This Row],[CUENTA]],PRESUPUESTO[MONTO])-SUMIF($F$1:F246,EJECUTADO[[#This Row],[CUENTA]],$M$1:M246)</f>
        <v>150</v>
      </c>
      <c r="M247" s="2">
        <v>112.5</v>
      </c>
      <c r="N247" s="2"/>
      <c r="O247" s="2"/>
      <c r="P247" s="162">
        <f>+EJECUTADO[[#This Row],[MONTO SOLICITADO]]-EJECUTADO[[#This Row],[RETENCION IVA]]-EJECUTADO[[#This Row],[RETENCION ISR]]</f>
        <v>112.5</v>
      </c>
      <c r="Q247" s="84" t="s">
        <v>1000</v>
      </c>
      <c r="R247" s="2"/>
      <c r="S247">
        <v>1</v>
      </c>
      <c r="T247" s="168" t="str">
        <f t="shared" si="6"/>
        <v>CAPACITACIÓN AL PERSONAL - MAE - Maestría: Adriana Baires Disponible $150 Solicitado $112.5 PRESUPUESTO: SI</v>
      </c>
    </row>
    <row r="248" spans="1:20" ht="60" x14ac:dyDescent="0.25">
      <c r="A248" s="6">
        <f t="shared" si="7"/>
        <v>247</v>
      </c>
      <c r="B248" s="21">
        <v>45322</v>
      </c>
      <c r="C248" s="17" t="s">
        <v>1408</v>
      </c>
      <c r="D248" s="65" t="s">
        <v>1411</v>
      </c>
      <c r="F248" t="s">
        <v>1180</v>
      </c>
      <c r="G248" s="161">
        <f>MONTH(EJECUTADO[[#This Row],[FECHA]])</f>
        <v>1</v>
      </c>
      <c r="H248" s="163" t="str">
        <f>MID(EJECUTADO[[#This Row],[CUENTA]],1,4)</f>
        <v>E-08</v>
      </c>
      <c r="I248" s="163" t="str">
        <f>INDEX(CATALOGO[Descripción],MATCH(EJECUTADO[[#This Row],[APLICACIÓN]]&amp;"-00-00-00",CATALOGO[Código],0))</f>
        <v>INVERSIONES Y PROYECTOS ESPECIALES</v>
      </c>
      <c r="J2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248" s="161" t="str">
        <f>IF((EJECUTADO[[#This Row],[MONTO DISPONIBLE ]]-EJECUTADO[[#This Row],[MONTO SOLICITADO]])&gt;=0,"PRESUPUESTO: SI","PRESUPUESTO: NO")</f>
        <v>PRESUPUESTO: NO</v>
      </c>
      <c r="L248" s="162">
        <f>SUMIF(PRESUPUESTO[CUENTA],EJECUTADO[[#This Row],[CUENTA]],PRESUPUESTO[MONTO])-SUMIF($F$1:F247,EJECUTADO[[#This Row],[CUENTA]],$M$1:M247)</f>
        <v>-450.40999999999997</v>
      </c>
      <c r="M248" s="2">
        <v>37.5</v>
      </c>
      <c r="N248" s="2"/>
      <c r="O248" s="2"/>
      <c r="P248" s="162">
        <f>+EJECUTADO[[#This Row],[MONTO SOLICITADO]]-EJECUTADO[[#This Row],[RETENCION IVA]]-EJECUTADO[[#This Row],[RETENCION ISR]]</f>
        <v>37.5</v>
      </c>
      <c r="Q248" s="84" t="s">
        <v>1000</v>
      </c>
      <c r="R248" s="2"/>
      <c r="S248">
        <v>1</v>
      </c>
      <c r="T248" s="168" t="str">
        <f t="shared" si="6"/>
        <v>INVERSIONES Y PROYECTOS ESPECIALES - LA CUENTA SELECCIONADA NO PERMITE MOVIMIENTO Disponible $-450.41 Solicitado $37.5 PRESUPUESTO: NO</v>
      </c>
    </row>
    <row r="249" spans="1:20" ht="45" x14ac:dyDescent="0.25">
      <c r="A249" s="6">
        <f t="shared" si="7"/>
        <v>248</v>
      </c>
      <c r="B249" s="21">
        <v>45322</v>
      </c>
      <c r="C249" s="17" t="s">
        <v>1412</v>
      </c>
      <c r="D249" s="65" t="s">
        <v>1080</v>
      </c>
      <c r="F249" t="s">
        <v>1413</v>
      </c>
      <c r="G249" s="161">
        <f>MONTH(EJECUTADO[[#This Row],[FECHA]])</f>
        <v>1</v>
      </c>
      <c r="H249" s="163" t="str">
        <f>MID(EJECUTADO[[#This Row],[CUENTA]],1,4)</f>
        <v>E-24</v>
      </c>
      <c r="I249" s="163" t="str">
        <f>INDEX(CATALOGO[Descripción],MATCH(EJECUTADO[[#This Row],[APLICACIÓN]]&amp;"-00-00-00",CATALOGO[Código],0))</f>
        <v>NUEVO INGRESO</v>
      </c>
      <c r="J2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de agua $ 10.00</v>
      </c>
      <c r="K249" s="161" t="str">
        <f>IF((EJECUTADO[[#This Row],[MONTO DISPONIBLE ]]-EJECUTADO[[#This Row],[MONTO SOLICITADO]])&gt;=0,"PRESUPUESTO: SI","PRESUPUESTO: NO")</f>
        <v>PRESUPUESTO: NO</v>
      </c>
      <c r="L249" s="162">
        <f>SUMIF(PRESUPUESTO[CUENTA],EJECUTADO[[#This Row],[CUENTA]],PRESUPUESTO[MONTO])-SUMIF($F$1:F248,EJECUTADO[[#This Row],[CUENTA]],$M$1:M248)</f>
        <v>120</v>
      </c>
      <c r="M249" s="2">
        <v>303.44</v>
      </c>
      <c r="N249" s="2"/>
      <c r="O249" s="2"/>
      <c r="P249" s="162">
        <f>+EJECUTADO[[#This Row],[MONTO SOLICITADO]]-EJECUTADO[[#This Row],[RETENCION IVA]]-EJECUTADO[[#This Row],[RETENCION ISR]]</f>
        <v>303.44</v>
      </c>
      <c r="Q249" s="84" t="s">
        <v>1000</v>
      </c>
      <c r="R249" s="2"/>
      <c r="S249">
        <v>1</v>
      </c>
      <c r="T249" s="168" t="str">
        <f t="shared" si="6"/>
        <v>NUEVO INGRESO - Plaza Mundo - Servicio de agua $ 10.00 Disponible $120 Solicitado $303.44 PRESUPUESTO: NO</v>
      </c>
    </row>
    <row r="250" spans="1:20" ht="60" x14ac:dyDescent="0.25">
      <c r="A250" s="6">
        <f t="shared" si="7"/>
        <v>249</v>
      </c>
      <c r="B250" s="21">
        <v>45322</v>
      </c>
      <c r="C250" s="17" t="s">
        <v>1157</v>
      </c>
      <c r="D250" s="65" t="s">
        <v>1414</v>
      </c>
      <c r="F250" t="s">
        <v>1295</v>
      </c>
      <c r="G250" s="161">
        <f>MONTH(EJECUTADO[[#This Row],[FECHA]])</f>
        <v>1</v>
      </c>
      <c r="H250" s="163" t="str">
        <f>MID(EJECUTADO[[#This Row],[CUENTA]],1,4)</f>
        <v>E-24</v>
      </c>
      <c r="I250" s="163" t="str">
        <f>INDEX(CATALOGO[Descripción],MATCH(EJECUTADO[[#This Row],[APLICACIÓN]]&amp;"-00-00-00",CATALOGO[Código],0))</f>
        <v>NUEVO INGRESO</v>
      </c>
      <c r="J2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250" s="161" t="str">
        <f>IF((EJECUTADO[[#This Row],[MONTO DISPONIBLE ]]-EJECUTADO[[#This Row],[MONTO SOLICITADO]])&gt;=0,"PRESUPUESTO: SI","PRESUPUESTO: NO")</f>
        <v>PRESUPUESTO: SI</v>
      </c>
      <c r="L250" s="162">
        <f>SUMIF(PRESUPUESTO[CUENTA],EJECUTADO[[#This Row],[CUENTA]],PRESUPUESTO[MONTO])-SUMIF($F$1:F249,EJECUTADO[[#This Row],[CUENTA]],$M$1:M249)</f>
        <v>550</v>
      </c>
      <c r="M250" s="2">
        <v>35.35</v>
      </c>
      <c r="N250" s="2"/>
      <c r="O250" s="2"/>
      <c r="P250" s="162">
        <f>+EJECUTADO[[#This Row],[MONTO SOLICITADO]]-EJECUTADO[[#This Row],[RETENCION IVA]]-EJECUTADO[[#This Row],[RETENCION ISR]]</f>
        <v>35.35</v>
      </c>
      <c r="Q250" s="84" t="s">
        <v>1000</v>
      </c>
      <c r="R250" s="2"/>
      <c r="S250">
        <v>1</v>
      </c>
      <c r="T250" s="168" t="str">
        <f t="shared" si="6"/>
        <v>NUEVO INGRESO - Plaza Mundo - Aromatización $ 55.00 * 12 Disponible $550 Solicitado $35.35 PRESUPUESTO: SI</v>
      </c>
    </row>
    <row r="251" spans="1:20" x14ac:dyDescent="0.25">
      <c r="A251" s="6">
        <f t="shared" si="7"/>
        <v>250</v>
      </c>
      <c r="B251" s="21">
        <v>45322</v>
      </c>
      <c r="C251" s="17" t="s">
        <v>1157</v>
      </c>
      <c r="D251" s="65" t="s">
        <v>249</v>
      </c>
      <c r="F251" t="s">
        <v>1087</v>
      </c>
      <c r="G251" s="161">
        <f>MONTH(EJECUTADO[[#This Row],[FECHA]])</f>
        <v>1</v>
      </c>
      <c r="H251" s="163" t="str">
        <f>MID(EJECUTADO[[#This Row],[CUENTA]],1,4)</f>
        <v>E-24</v>
      </c>
      <c r="I251" s="163" t="str">
        <f>INDEX(CATALOGO[Descripción],MATCH(EJECUTADO[[#This Row],[APLICACIÓN]]&amp;"-00-00-00",CATALOGO[Código],0))</f>
        <v>NUEVO INGRESO</v>
      </c>
      <c r="J2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Energia electrica $ 200 X 12</v>
      </c>
      <c r="K251" s="161" t="str">
        <f>IF((EJECUTADO[[#This Row],[MONTO DISPONIBLE ]]-EJECUTADO[[#This Row],[MONTO SOLICITADO]])&gt;=0,"PRESUPUESTO: SI","PRESUPUESTO: NO")</f>
        <v>PRESUPUESTO: SI</v>
      </c>
      <c r="L251" s="162">
        <f>SUMIF(PRESUPUESTO[CUENTA],EJECUTADO[[#This Row],[CUENTA]],PRESUPUESTO[MONTO])-SUMIF($F$1:F250,EJECUTADO[[#This Row],[CUENTA]],$M$1:M250)</f>
        <v>2103.59</v>
      </c>
      <c r="M251" s="2">
        <v>12.43</v>
      </c>
      <c r="N251" s="2"/>
      <c r="O251" s="2"/>
      <c r="P251" s="162">
        <f>+EJECUTADO[[#This Row],[MONTO SOLICITADO]]-EJECUTADO[[#This Row],[RETENCION IVA]]-EJECUTADO[[#This Row],[RETENCION ISR]]</f>
        <v>12.43</v>
      </c>
      <c r="Q251" s="84" t="s">
        <v>1000</v>
      </c>
      <c r="R251" s="2"/>
      <c r="S251">
        <v>1</v>
      </c>
      <c r="T251" s="168" t="str">
        <f t="shared" si="6"/>
        <v>NUEVO INGRESO - Plaza Mundo - Energia electrica $ 200 X 12 Disponible $2103.59 Solicitado $12.43 PRESUPUESTO: SI</v>
      </c>
    </row>
    <row r="252" spans="1:20" ht="30" x14ac:dyDescent="0.25">
      <c r="A252" s="6">
        <f t="shared" si="7"/>
        <v>251</v>
      </c>
      <c r="B252" s="21">
        <v>45322</v>
      </c>
      <c r="C252" s="17" t="s">
        <v>1415</v>
      </c>
      <c r="D252" s="65" t="s">
        <v>1416</v>
      </c>
      <c r="F252" t="s">
        <v>1417</v>
      </c>
      <c r="G252" s="161">
        <f>MONTH(EJECUTADO[[#This Row],[FECHA]])</f>
        <v>1</v>
      </c>
      <c r="H252" s="163" t="str">
        <f>MID(EJECUTADO[[#This Row],[CUENTA]],1,4)</f>
        <v>E-24</v>
      </c>
      <c r="I252" s="163" t="str">
        <f>INDEX(CATALOGO[Descripción],MATCH(EJECUTADO[[#This Row],[APLICACIÓN]]&amp;"-00-00-00",CATALOGO[Código],0))</f>
        <v>NUEVO INGRESO</v>
      </c>
      <c r="J2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 de colegios -Participación en ferias: Counter, Viáticos y hospedaje Ferias</v>
      </c>
      <c r="K252" s="161" t="str">
        <f>IF((EJECUTADO[[#This Row],[MONTO DISPONIBLE ]]-EJECUTADO[[#This Row],[MONTO SOLICITADO]])&gt;=0,"PRESUPUESTO: SI","PRESUPUESTO: NO")</f>
        <v>PRESUPUESTO: SI</v>
      </c>
      <c r="L252" s="162">
        <f>SUMIF(PRESUPUESTO[CUENTA],EJECUTADO[[#This Row],[CUENTA]],PRESUPUESTO[MONTO])-SUMIF($F$1:F251,EJECUTADO[[#This Row],[CUENTA]],$M$1:M251)</f>
        <v>7000</v>
      </c>
      <c r="M252" s="2">
        <v>226</v>
      </c>
      <c r="N252" s="2"/>
      <c r="O252" s="2"/>
      <c r="P252" s="162">
        <f>+EJECUTADO[[#This Row],[MONTO SOLICITADO]]-EJECUTADO[[#This Row],[RETENCION IVA]]-EJECUTADO[[#This Row],[RETENCION ISR]]</f>
        <v>226</v>
      </c>
      <c r="Q252" s="84" t="s">
        <v>1000</v>
      </c>
      <c r="R252" s="2"/>
      <c r="S252">
        <v>1</v>
      </c>
      <c r="T252" s="168" t="str">
        <f t="shared" si="6"/>
        <v>NUEVO INGRESO - Red de colegios -Participación en ferias: Counter, Viáticos y hospedaje Ferias Disponible $7000 Solicitado $226 PRESUPUESTO: SI</v>
      </c>
    </row>
    <row r="253" spans="1:20" x14ac:dyDescent="0.25">
      <c r="A253" s="6">
        <f t="shared" si="7"/>
        <v>252</v>
      </c>
      <c r="B253" s="21">
        <v>45322</v>
      </c>
      <c r="C253" s="17" t="s">
        <v>1212</v>
      </c>
      <c r="D253" s="65" t="s">
        <v>1010</v>
      </c>
      <c r="F253" t="s">
        <v>1265</v>
      </c>
      <c r="G253" s="161">
        <f>MONTH(EJECUTADO[[#This Row],[FECHA]])</f>
        <v>1</v>
      </c>
      <c r="H253" s="163" t="str">
        <f>MID(EJECUTADO[[#This Row],[CUENTA]],1,4)</f>
        <v>E-23</v>
      </c>
      <c r="I253" s="163" t="str">
        <f>INDEX(CATALOGO[Descripción],MATCH(EJECUTADO[[#This Row],[APLICACIÓN]]&amp;"-00-00-00",CATALOGO[Código],0))</f>
        <v>GASTOS DE VIAJE</v>
      </c>
      <c r="J2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253" s="161" t="str">
        <f>IF((EJECUTADO[[#This Row],[MONTO DISPONIBLE ]]-EJECUTADO[[#This Row],[MONTO SOLICITADO]])&gt;=0,"PRESUPUESTO: SI","PRESUPUESTO: NO")</f>
        <v>PRESUPUESTO: SI</v>
      </c>
      <c r="L253" s="162">
        <f>SUMIF(PRESUPUESTO[CUENTA],EJECUTADO[[#This Row],[CUENTA]],PRESUPUESTO[MONTO])-SUMIF($F$1:F252,EJECUTADO[[#This Row],[CUENTA]],$M$1:M252)</f>
        <v>24600</v>
      </c>
      <c r="M253" s="2">
        <v>400</v>
      </c>
      <c r="N253" s="2"/>
      <c r="O253" s="2"/>
      <c r="P253" s="162">
        <f>+EJECUTADO[[#This Row],[MONTO SOLICITADO]]-EJECUTADO[[#This Row],[RETENCION IVA]]-EJECUTADO[[#This Row],[RETENCION ISR]]</f>
        <v>400</v>
      </c>
      <c r="Q253" s="84" t="s">
        <v>1000</v>
      </c>
      <c r="R253" s="2"/>
      <c r="S253">
        <v>1</v>
      </c>
      <c r="T253" s="168" t="str">
        <f t="shared" si="6"/>
        <v>GASTOS DE VIAJE - Servicio combustible Disponible $24600 Solicitado $400 PRESUPUESTO: SI</v>
      </c>
    </row>
    <row r="254" spans="1:20" x14ac:dyDescent="0.25">
      <c r="A254" s="6">
        <f t="shared" si="7"/>
        <v>253</v>
      </c>
      <c r="B254" s="21">
        <v>45322</v>
      </c>
      <c r="C254" s="17" t="s">
        <v>1418</v>
      </c>
      <c r="D254" s="65" t="s">
        <v>1419</v>
      </c>
      <c r="F254" t="s">
        <v>1420</v>
      </c>
      <c r="G254" s="161">
        <f>MONTH(EJECUTADO[[#This Row],[FECHA]])</f>
        <v>1</v>
      </c>
      <c r="H254" s="163" t="str">
        <f>MID(EJECUTADO[[#This Row],[CUENTA]],1,4)</f>
        <v>E-03</v>
      </c>
      <c r="I254" s="163" t="str">
        <f>INDEX(CATALOGO[Descripción],MATCH(EJECUTADO[[#This Row],[APLICACIÓN]]&amp;"-00-00-00",CATALOGO[Código],0))</f>
        <v>SUELDOS ADMINISTRATIVOS</v>
      </c>
      <c r="J2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254" s="161" t="str">
        <f>IF((EJECUTADO[[#This Row],[MONTO DISPONIBLE ]]-EJECUTADO[[#This Row],[MONTO SOLICITADO]])&gt;=0,"PRESUPUESTO: SI","PRESUPUESTO: NO")</f>
        <v>PRESUPUESTO: SI</v>
      </c>
      <c r="L254" s="162">
        <f>SUMIF(PRESUPUESTO[CUENTA],EJECUTADO[[#This Row],[CUENTA]],PRESUPUESTO[MONTO])-SUMIF($F$1:F253,EJECUTADO[[#This Row],[CUENTA]],$M$1:M253)</f>
        <v>985000</v>
      </c>
      <c r="M254" s="2">
        <v>17750</v>
      </c>
      <c r="N254" s="2"/>
      <c r="O254" s="2"/>
      <c r="P254" s="162">
        <f>+EJECUTADO[[#This Row],[MONTO SOLICITADO]]-EJECUTADO[[#This Row],[RETENCION IVA]]-EJECUTADO[[#This Row],[RETENCION ISR]]</f>
        <v>17750</v>
      </c>
      <c r="Q254" s="84" t="s">
        <v>1000</v>
      </c>
      <c r="R254" s="2"/>
      <c r="S254">
        <v>1</v>
      </c>
      <c r="T254" s="168" t="str">
        <f t="shared" si="6"/>
        <v>SUELDOS ADMINISTRATIVOS - SUELDOS Y SALARIOS PRESIDENCIA JUNTA GU Disponible $985000 Solicitado $17750 PRESUPUESTO: SI</v>
      </c>
    </row>
    <row r="255" spans="1:20" x14ac:dyDescent="0.25">
      <c r="A255" s="6">
        <f t="shared" si="7"/>
        <v>254</v>
      </c>
      <c r="B255" s="21">
        <v>45322</v>
      </c>
      <c r="C255" s="17" t="s">
        <v>1418</v>
      </c>
      <c r="D255" s="65" t="s">
        <v>1421</v>
      </c>
      <c r="F255" t="s">
        <v>1422</v>
      </c>
      <c r="G255" s="161">
        <f>MONTH(EJECUTADO[[#This Row],[FECHA]])</f>
        <v>1</v>
      </c>
      <c r="H255" s="163" t="str">
        <f>MID(EJECUTADO[[#This Row],[CUENTA]],1,4)</f>
        <v>E-03</v>
      </c>
      <c r="I255" s="163" t="str">
        <f>INDEX(CATALOGO[Descripción],MATCH(EJECUTADO[[#This Row],[APLICACIÓN]]&amp;"-00-00-00",CATALOGO[Código],0))</f>
        <v>SUELDOS ADMINISTRATIVOS</v>
      </c>
      <c r="J2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</v>
      </c>
      <c r="K255" s="161" t="str">
        <f>IF((EJECUTADO[[#This Row],[MONTO DISPONIBLE ]]-EJECUTADO[[#This Row],[MONTO SOLICITADO]])&gt;=0,"PRESUPUESTO: SI","PRESUPUESTO: NO")</f>
        <v>PRESUPUESTO: SI</v>
      </c>
      <c r="L255" s="162">
        <f>SUMIF(PRESUPUESTO[CUENTA],EJECUTADO[[#This Row],[CUENTA]],PRESUPUESTO[MONTO])-SUMIF($F$1:F254,EJECUTADO[[#This Row],[CUENTA]],$M$1:M254)</f>
        <v>226000</v>
      </c>
      <c r="M255" s="2">
        <v>73689.56</v>
      </c>
      <c r="N255" s="2"/>
      <c r="O255" s="2"/>
      <c r="P255" s="162">
        <f>+EJECUTADO[[#This Row],[MONTO SOLICITADO]]-EJECUTADO[[#This Row],[RETENCION IVA]]-EJECUTADO[[#This Row],[RETENCION ISR]]</f>
        <v>73689.56</v>
      </c>
      <c r="Q255" s="84" t="s">
        <v>1000</v>
      </c>
      <c r="R255" s="2"/>
      <c r="S255">
        <v>1</v>
      </c>
      <c r="T255" s="168" t="str">
        <f t="shared" si="6"/>
        <v>SUELDOS ADMINISTRATIVOS - SUELDOS Y SALARIOS PRESIDENCIA Disponible $226000 Solicitado $73689.56 PRESUPUESTO: SI</v>
      </c>
    </row>
    <row r="256" spans="1:20" ht="30" x14ac:dyDescent="0.25">
      <c r="A256" s="6">
        <f t="shared" si="7"/>
        <v>255</v>
      </c>
      <c r="B256" s="21">
        <v>45322</v>
      </c>
      <c r="C256" s="17" t="s">
        <v>1418</v>
      </c>
      <c r="D256" s="65" t="s">
        <v>1423</v>
      </c>
      <c r="F256" t="s">
        <v>1424</v>
      </c>
      <c r="G256" s="161">
        <f>MONTH(EJECUTADO[[#This Row],[FECHA]])</f>
        <v>1</v>
      </c>
      <c r="H256" s="163" t="str">
        <f>MID(EJECUTADO[[#This Row],[CUENTA]],1,4)</f>
        <v>E-03</v>
      </c>
      <c r="I256" s="163" t="str">
        <f>INDEX(CATALOGO[Descripción],MATCH(EJECUTADO[[#This Row],[APLICACIÓN]]&amp;"-00-00-00",CATALOGO[Código],0))</f>
        <v>SUELDOS ADMINISTRATIVOS</v>
      </c>
      <c r="J2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SECRETARIA GENERAL</v>
      </c>
      <c r="K256" s="161" t="str">
        <f>IF((EJECUTADO[[#This Row],[MONTO DISPONIBLE ]]-EJECUTADO[[#This Row],[MONTO SOLICITADO]])&gt;=0,"PRESUPUESTO: SI","PRESUPUESTO: NO")</f>
        <v>PRESUPUESTO: SI</v>
      </c>
      <c r="L256" s="162">
        <f>SUMIF(PRESUPUESTO[CUENTA],EJECUTADO[[#This Row],[CUENTA]],PRESUPUESTO[MONTO])-SUMIF($F$1:F255,EJECUTADO[[#This Row],[CUENTA]],$M$1:M255)</f>
        <v>84000</v>
      </c>
      <c r="M256" s="2">
        <v>6450</v>
      </c>
      <c r="N256" s="2"/>
      <c r="O256" s="2"/>
      <c r="P256" s="162">
        <f>+EJECUTADO[[#This Row],[MONTO SOLICITADO]]-EJECUTADO[[#This Row],[RETENCION IVA]]-EJECUTADO[[#This Row],[RETENCION ISR]]</f>
        <v>6450</v>
      </c>
      <c r="Q256" s="84" t="s">
        <v>1000</v>
      </c>
      <c r="R256" s="2"/>
      <c r="S256">
        <v>1</v>
      </c>
      <c r="T256" s="168" t="str">
        <f t="shared" si="6"/>
        <v>SUELDOS ADMINISTRATIVOS - SUELDOS Y SALARIOS SECRETARIA GENERAL Disponible $84000 Solicitado $6450 PRESUPUESTO: SI</v>
      </c>
    </row>
    <row r="257" spans="1:20" x14ac:dyDescent="0.25">
      <c r="A257" s="6">
        <f t="shared" si="7"/>
        <v>256</v>
      </c>
      <c r="B257" s="21">
        <v>45322</v>
      </c>
      <c r="C257" s="17" t="s">
        <v>1418</v>
      </c>
      <c r="D257" s="65" t="s">
        <v>1425</v>
      </c>
      <c r="F257" t="s">
        <v>1281</v>
      </c>
      <c r="G257" s="161">
        <f>MONTH(EJECUTADO[[#This Row],[FECHA]])</f>
        <v>1</v>
      </c>
      <c r="H257" s="163" t="str">
        <f>MID(EJECUTADO[[#This Row],[CUENTA]],1,4)</f>
        <v>E-03</v>
      </c>
      <c r="I257" s="163" t="str">
        <f>INDEX(CATALOGO[Descripción],MATCH(EJECUTADO[[#This Row],[APLICACIÓN]]&amp;"-00-00-00",CATALOGO[Código],0))</f>
        <v>SUELDOS ADMINISTRATIVOS</v>
      </c>
      <c r="J2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57" s="161" t="str">
        <f>IF((EJECUTADO[[#This Row],[MONTO DISPONIBLE ]]-EJECUTADO[[#This Row],[MONTO SOLICITADO]])&gt;=0,"PRESUPUESTO: SI","PRESUPUESTO: NO")</f>
        <v>PRESUPUESTO: SI</v>
      </c>
      <c r="L257" s="162">
        <f>SUMIF(PRESUPUESTO[CUENTA],EJECUTADO[[#This Row],[CUENTA]],PRESUPUESTO[MONTO])-SUMIF($F$1:F256,EJECUTADO[[#This Row],[CUENTA]],$M$1:M256)</f>
        <v>318783</v>
      </c>
      <c r="M257" s="2">
        <v>3650</v>
      </c>
      <c r="N257" s="2"/>
      <c r="O257" s="2"/>
      <c r="P257" s="162">
        <f>+EJECUTADO[[#This Row],[MONTO SOLICITADO]]-EJECUTADO[[#This Row],[RETENCION IVA]]-EJECUTADO[[#This Row],[RETENCION ISR]]</f>
        <v>3650</v>
      </c>
      <c r="Q257" s="84" t="s">
        <v>1000</v>
      </c>
      <c r="R257" s="2"/>
      <c r="S257">
        <v>1</v>
      </c>
      <c r="T257" s="168" t="str">
        <f t="shared" si="6"/>
        <v>SUELDOS ADMINISTRATIVOS - SUELDOS Y SALARIOS VICERRECTORÍA FINANCIERA  Disponible $318783 Solicitado $3650 PRESUPUESTO: SI</v>
      </c>
    </row>
    <row r="258" spans="1:20" x14ac:dyDescent="0.25">
      <c r="A258" s="6">
        <f t="shared" si="7"/>
        <v>257</v>
      </c>
      <c r="B258" s="21">
        <v>45322</v>
      </c>
      <c r="C258" s="17" t="s">
        <v>1418</v>
      </c>
      <c r="D258" s="65" t="s">
        <v>1426</v>
      </c>
      <c r="F258" t="s">
        <v>1281</v>
      </c>
      <c r="G258" s="161">
        <f>MONTH(EJECUTADO[[#This Row],[FECHA]])</f>
        <v>1</v>
      </c>
      <c r="H258" s="163" t="str">
        <f>MID(EJECUTADO[[#This Row],[CUENTA]],1,4)</f>
        <v>E-03</v>
      </c>
      <c r="I258" s="163" t="str">
        <f>INDEX(CATALOGO[Descripción],MATCH(EJECUTADO[[#This Row],[APLICACIÓN]]&amp;"-00-00-00",CATALOGO[Código],0))</f>
        <v>SUELDOS ADMINISTRATIVOS</v>
      </c>
      <c r="J2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58" s="161" t="str">
        <f>IF((EJECUTADO[[#This Row],[MONTO DISPONIBLE ]]-EJECUTADO[[#This Row],[MONTO SOLICITADO]])&gt;=0,"PRESUPUESTO: SI","PRESUPUESTO: NO")</f>
        <v>PRESUPUESTO: SI</v>
      </c>
      <c r="L258" s="162">
        <f>SUMIF(PRESUPUESTO[CUENTA],EJECUTADO[[#This Row],[CUENTA]],PRESUPUESTO[MONTO])-SUMIF($F$1:F257,EJECUTADO[[#This Row],[CUENTA]],$M$1:M257)</f>
        <v>315133</v>
      </c>
      <c r="M258" s="2">
        <v>900</v>
      </c>
      <c r="N258" s="2"/>
      <c r="O258" s="2"/>
      <c r="P258" s="162">
        <f>+EJECUTADO[[#This Row],[MONTO SOLICITADO]]-EJECUTADO[[#This Row],[RETENCION IVA]]-EJECUTADO[[#This Row],[RETENCION ISR]]</f>
        <v>900</v>
      </c>
      <c r="Q258" s="84" t="s">
        <v>1000</v>
      </c>
      <c r="R258" s="2"/>
      <c r="S258">
        <v>1</v>
      </c>
      <c r="T258" s="168" t="str">
        <f t="shared" ref="T258:T321" si="8">_xlfn.CONCAT(I258," - ",J258," Disponible $",L258," Solicitado $",M258," ",K258,)</f>
        <v>SUELDOS ADMINISTRATIVOS - SUELDOS Y SALARIOS VICERRECTORÍA FINANCIERA  Disponible $315133 Solicitado $900 PRESUPUESTO: SI</v>
      </c>
    </row>
    <row r="259" spans="1:20" x14ac:dyDescent="0.25">
      <c r="A259" s="6">
        <f t="shared" si="7"/>
        <v>258</v>
      </c>
      <c r="B259" s="21">
        <v>45322</v>
      </c>
      <c r="C259" s="17" t="s">
        <v>1418</v>
      </c>
      <c r="D259" s="65" t="s">
        <v>1427</v>
      </c>
      <c r="F259" t="s">
        <v>1281</v>
      </c>
      <c r="G259" s="161">
        <f>MONTH(EJECUTADO[[#This Row],[FECHA]])</f>
        <v>1</v>
      </c>
      <c r="H259" s="163" t="str">
        <f>MID(EJECUTADO[[#This Row],[CUENTA]],1,4)</f>
        <v>E-03</v>
      </c>
      <c r="I259" s="163" t="str">
        <f>INDEX(CATALOGO[Descripción],MATCH(EJECUTADO[[#This Row],[APLICACIÓN]]&amp;"-00-00-00",CATALOGO[Código],0))</f>
        <v>SUELDOS ADMINISTRATIVOS</v>
      </c>
      <c r="J2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59" s="161" t="str">
        <f>IF((EJECUTADO[[#This Row],[MONTO DISPONIBLE ]]-EJECUTADO[[#This Row],[MONTO SOLICITADO]])&gt;=0,"PRESUPUESTO: SI","PRESUPUESTO: NO")</f>
        <v>PRESUPUESTO: SI</v>
      </c>
      <c r="L259" s="162">
        <f>SUMIF(PRESUPUESTO[CUENTA],EJECUTADO[[#This Row],[CUENTA]],PRESUPUESTO[MONTO])-SUMIF($F$1:F258,EJECUTADO[[#This Row],[CUENTA]],$M$1:M258)</f>
        <v>314233</v>
      </c>
      <c r="M259" s="2">
        <v>8301.2800000000007</v>
      </c>
      <c r="N259" s="2"/>
      <c r="O259" s="2"/>
      <c r="P259" s="162">
        <f>+EJECUTADO[[#This Row],[MONTO SOLICITADO]]-EJECUTADO[[#This Row],[RETENCION IVA]]-EJECUTADO[[#This Row],[RETENCION ISR]]</f>
        <v>8301.2800000000007</v>
      </c>
      <c r="Q259" s="84" t="s">
        <v>1000</v>
      </c>
      <c r="R259" s="2"/>
      <c r="S259">
        <v>1</v>
      </c>
      <c r="T259" s="168" t="str">
        <f t="shared" si="8"/>
        <v>SUELDOS ADMINISTRATIVOS - SUELDOS Y SALARIOS VICERRECTORÍA FINANCIERA  Disponible $314233 Solicitado $8301.28 PRESUPUESTO: SI</v>
      </c>
    </row>
    <row r="260" spans="1:20" x14ac:dyDescent="0.25">
      <c r="A260" s="6">
        <f t="shared" ref="A260:A323" si="9">+A259+1</f>
        <v>259</v>
      </c>
      <c r="B260" s="21">
        <v>45322</v>
      </c>
      <c r="C260" s="17" t="s">
        <v>1418</v>
      </c>
      <c r="D260" s="65" t="s">
        <v>1428</v>
      </c>
      <c r="F260" t="s">
        <v>1281</v>
      </c>
      <c r="G260" s="161">
        <f>MONTH(EJECUTADO[[#This Row],[FECHA]])</f>
        <v>1</v>
      </c>
      <c r="H260" s="163" t="str">
        <f>MID(EJECUTADO[[#This Row],[CUENTA]],1,4)</f>
        <v>E-03</v>
      </c>
      <c r="I260" s="163" t="str">
        <f>INDEX(CATALOGO[Descripción],MATCH(EJECUTADO[[#This Row],[APLICACIÓN]]&amp;"-00-00-00",CATALOGO[Código],0))</f>
        <v>SUELDOS ADMINISTRATIVOS</v>
      </c>
      <c r="J2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0" s="161" t="str">
        <f>IF((EJECUTADO[[#This Row],[MONTO DISPONIBLE ]]-EJECUTADO[[#This Row],[MONTO SOLICITADO]])&gt;=0,"PRESUPUESTO: SI","PRESUPUESTO: NO")</f>
        <v>PRESUPUESTO: SI</v>
      </c>
      <c r="L260" s="162">
        <f>SUMIF(PRESUPUESTO[CUENTA],EJECUTADO[[#This Row],[CUENTA]],PRESUPUESTO[MONTO])-SUMIF($F$1:F259,EJECUTADO[[#This Row],[CUENTA]],$M$1:M259)</f>
        <v>305931.71999999997</v>
      </c>
      <c r="M260" s="2">
        <v>2144.06</v>
      </c>
      <c r="N260" s="2"/>
      <c r="O260" s="2"/>
      <c r="P260" s="162">
        <f>+EJECUTADO[[#This Row],[MONTO SOLICITADO]]-EJECUTADO[[#This Row],[RETENCION IVA]]-EJECUTADO[[#This Row],[RETENCION ISR]]</f>
        <v>2144.06</v>
      </c>
      <c r="Q260" s="84" t="s">
        <v>1000</v>
      </c>
      <c r="R260" s="2"/>
      <c r="S260">
        <v>1</v>
      </c>
      <c r="T260" s="168" t="str">
        <f t="shared" si="8"/>
        <v>SUELDOS ADMINISTRATIVOS - SUELDOS Y SALARIOS VICERRECTORÍA FINANCIERA  Disponible $305931.72 Solicitado $2144.06 PRESUPUESTO: SI</v>
      </c>
    </row>
    <row r="261" spans="1:20" x14ac:dyDescent="0.25">
      <c r="A261" s="6">
        <f t="shared" si="9"/>
        <v>260</v>
      </c>
      <c r="B261" s="21">
        <v>45322</v>
      </c>
      <c r="C261" s="17" t="s">
        <v>1418</v>
      </c>
      <c r="D261" s="65" t="s">
        <v>1429</v>
      </c>
      <c r="F261" t="s">
        <v>1281</v>
      </c>
      <c r="G261" s="161">
        <f>MONTH(EJECUTADO[[#This Row],[FECHA]])</f>
        <v>1</v>
      </c>
      <c r="H261" s="163" t="str">
        <f>MID(EJECUTADO[[#This Row],[CUENTA]],1,4)</f>
        <v>E-03</v>
      </c>
      <c r="I261" s="163" t="str">
        <f>INDEX(CATALOGO[Descripción],MATCH(EJECUTADO[[#This Row],[APLICACIÓN]]&amp;"-00-00-00",CATALOGO[Código],0))</f>
        <v>SUELDOS ADMINISTRATIVOS</v>
      </c>
      <c r="J2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1" s="161" t="str">
        <f>IF((EJECUTADO[[#This Row],[MONTO DISPONIBLE ]]-EJECUTADO[[#This Row],[MONTO SOLICITADO]])&gt;=0,"PRESUPUESTO: SI","PRESUPUESTO: NO")</f>
        <v>PRESUPUESTO: SI</v>
      </c>
      <c r="L261" s="162">
        <f>SUMIF(PRESUPUESTO[CUENTA],EJECUTADO[[#This Row],[CUENTA]],PRESUPUESTO[MONTO])-SUMIF($F$1:F260,EJECUTADO[[#This Row],[CUENTA]],$M$1:M260)</f>
        <v>303787.65999999997</v>
      </c>
      <c r="M261" s="2">
        <v>4969.1499999999996</v>
      </c>
      <c r="N261" s="2"/>
      <c r="O261" s="2"/>
      <c r="P261" s="162">
        <f>+EJECUTADO[[#This Row],[MONTO SOLICITADO]]-EJECUTADO[[#This Row],[RETENCION IVA]]-EJECUTADO[[#This Row],[RETENCION ISR]]</f>
        <v>4969.1499999999996</v>
      </c>
      <c r="Q261" s="84" t="s">
        <v>1000</v>
      </c>
      <c r="R261" s="2"/>
      <c r="S261">
        <v>1</v>
      </c>
      <c r="T261" s="168" t="str">
        <f t="shared" si="8"/>
        <v>SUELDOS ADMINISTRATIVOS - SUELDOS Y SALARIOS VICERRECTORÍA FINANCIERA  Disponible $303787.66 Solicitado $4969.15 PRESUPUESTO: SI</v>
      </c>
    </row>
    <row r="262" spans="1:20" x14ac:dyDescent="0.25">
      <c r="A262" s="6">
        <f t="shared" si="9"/>
        <v>261</v>
      </c>
      <c r="B262" s="21">
        <v>45322</v>
      </c>
      <c r="C262" s="17" t="s">
        <v>1418</v>
      </c>
      <c r="D262" s="65" t="s">
        <v>1430</v>
      </c>
      <c r="F262" t="s">
        <v>1281</v>
      </c>
      <c r="G262" s="161">
        <f>MONTH(EJECUTADO[[#This Row],[FECHA]])</f>
        <v>1</v>
      </c>
      <c r="H262" s="163" t="str">
        <f>MID(EJECUTADO[[#This Row],[CUENTA]],1,4)</f>
        <v>E-03</v>
      </c>
      <c r="I262" s="163" t="str">
        <f>INDEX(CATALOGO[Descripción],MATCH(EJECUTADO[[#This Row],[APLICACIÓN]]&amp;"-00-00-00",CATALOGO[Código],0))</f>
        <v>SUELDOS ADMINISTRATIVOS</v>
      </c>
      <c r="J2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2" s="161" t="str">
        <f>IF((EJECUTADO[[#This Row],[MONTO DISPONIBLE ]]-EJECUTADO[[#This Row],[MONTO SOLICITADO]])&gt;=0,"PRESUPUESTO: SI","PRESUPUESTO: NO")</f>
        <v>PRESUPUESTO: SI</v>
      </c>
      <c r="L262" s="162">
        <f>SUMIF(PRESUPUESTO[CUENTA],EJECUTADO[[#This Row],[CUENTA]],PRESUPUESTO[MONTO])-SUMIF($F$1:F261,EJECUTADO[[#This Row],[CUENTA]],$M$1:M261)</f>
        <v>298818.51</v>
      </c>
      <c r="M262" s="2">
        <v>2500</v>
      </c>
      <c r="N262" s="2"/>
      <c r="O262" s="2"/>
      <c r="P262" s="162">
        <f>+EJECUTADO[[#This Row],[MONTO SOLICITADO]]-EJECUTADO[[#This Row],[RETENCION IVA]]-EJECUTADO[[#This Row],[RETENCION ISR]]</f>
        <v>2500</v>
      </c>
      <c r="Q262" s="84" t="s">
        <v>1000</v>
      </c>
      <c r="R262" s="2"/>
      <c r="S262">
        <v>1</v>
      </c>
      <c r="T262" s="168" t="str">
        <f t="shared" si="8"/>
        <v>SUELDOS ADMINISTRATIVOS - SUELDOS Y SALARIOS VICERRECTORÍA FINANCIERA  Disponible $298818.51 Solicitado $2500 PRESUPUESTO: SI</v>
      </c>
    </row>
    <row r="263" spans="1:20" x14ac:dyDescent="0.25">
      <c r="A263" s="6">
        <f t="shared" si="9"/>
        <v>262</v>
      </c>
      <c r="B263" s="21">
        <v>45322</v>
      </c>
      <c r="C263" s="17" t="s">
        <v>1418</v>
      </c>
      <c r="D263" s="65" t="s">
        <v>1431</v>
      </c>
      <c r="F263" t="s">
        <v>1281</v>
      </c>
      <c r="G263" s="161">
        <f>MONTH(EJECUTADO[[#This Row],[FECHA]])</f>
        <v>1</v>
      </c>
      <c r="H263" s="163" t="str">
        <f>MID(EJECUTADO[[#This Row],[CUENTA]],1,4)</f>
        <v>E-03</v>
      </c>
      <c r="I263" s="163" t="str">
        <f>INDEX(CATALOGO[Descripción],MATCH(EJECUTADO[[#This Row],[APLICACIÓN]]&amp;"-00-00-00",CATALOGO[Código],0))</f>
        <v>SUELDOS ADMINISTRATIVOS</v>
      </c>
      <c r="J2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3" s="161" t="str">
        <f>IF((EJECUTADO[[#This Row],[MONTO DISPONIBLE ]]-EJECUTADO[[#This Row],[MONTO SOLICITADO]])&gt;=0,"PRESUPUESTO: SI","PRESUPUESTO: NO")</f>
        <v>PRESUPUESTO: SI</v>
      </c>
      <c r="L263" s="162">
        <f>SUMIF(PRESUPUESTO[CUENTA],EJECUTADO[[#This Row],[CUENTA]],PRESUPUESTO[MONTO])-SUMIF($F$1:F262,EJECUTADO[[#This Row],[CUENTA]],$M$1:M262)</f>
        <v>296318.51</v>
      </c>
      <c r="M263" s="2">
        <v>1400</v>
      </c>
      <c r="N263" s="2"/>
      <c r="O263" s="2"/>
      <c r="P263" s="162">
        <f>+EJECUTADO[[#This Row],[MONTO SOLICITADO]]-EJECUTADO[[#This Row],[RETENCION IVA]]-EJECUTADO[[#This Row],[RETENCION ISR]]</f>
        <v>1400</v>
      </c>
      <c r="Q263" s="84" t="s">
        <v>1000</v>
      </c>
      <c r="R263" s="2"/>
      <c r="S263">
        <v>1</v>
      </c>
      <c r="T263" s="168" t="str">
        <f t="shared" si="8"/>
        <v>SUELDOS ADMINISTRATIVOS - SUELDOS Y SALARIOS VICERRECTORÍA FINANCIERA  Disponible $296318.51 Solicitado $1400 PRESUPUESTO: SI</v>
      </c>
    </row>
    <row r="264" spans="1:20" x14ac:dyDescent="0.25">
      <c r="A264" s="6">
        <f t="shared" si="9"/>
        <v>263</v>
      </c>
      <c r="B264" s="21">
        <v>45322</v>
      </c>
      <c r="C264" s="17" t="s">
        <v>1418</v>
      </c>
      <c r="D264" s="65" t="s">
        <v>1432</v>
      </c>
      <c r="F264" t="s">
        <v>1281</v>
      </c>
      <c r="G264" s="161">
        <f>MONTH(EJECUTADO[[#This Row],[FECHA]])</f>
        <v>1</v>
      </c>
      <c r="H264" s="163" t="str">
        <f>MID(EJECUTADO[[#This Row],[CUENTA]],1,4)</f>
        <v>E-03</v>
      </c>
      <c r="I264" s="163" t="str">
        <f>INDEX(CATALOGO[Descripción],MATCH(EJECUTADO[[#This Row],[APLICACIÓN]]&amp;"-00-00-00",CATALOGO[Código],0))</f>
        <v>SUELDOS ADMINISTRATIVOS</v>
      </c>
      <c r="J2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4" s="161" t="str">
        <f>IF((EJECUTADO[[#This Row],[MONTO DISPONIBLE ]]-EJECUTADO[[#This Row],[MONTO SOLICITADO]])&gt;=0,"PRESUPUESTO: SI","PRESUPUESTO: NO")</f>
        <v>PRESUPUESTO: SI</v>
      </c>
      <c r="L264" s="162">
        <f>SUMIF(PRESUPUESTO[CUENTA],EJECUTADO[[#This Row],[CUENTA]],PRESUPUESTO[MONTO])-SUMIF($F$1:F263,EJECUTADO[[#This Row],[CUENTA]],$M$1:M263)</f>
        <v>294918.51</v>
      </c>
      <c r="M264" s="2">
        <v>1150</v>
      </c>
      <c r="N264" s="2"/>
      <c r="O264" s="2"/>
      <c r="P264" s="162">
        <f>+EJECUTADO[[#This Row],[MONTO SOLICITADO]]-EJECUTADO[[#This Row],[RETENCION IVA]]-EJECUTADO[[#This Row],[RETENCION ISR]]</f>
        <v>1150</v>
      </c>
      <c r="Q264" s="84" t="s">
        <v>1000</v>
      </c>
      <c r="R264" s="2"/>
      <c r="S264">
        <v>1</v>
      </c>
      <c r="T264" s="168" t="str">
        <f t="shared" si="8"/>
        <v>SUELDOS ADMINISTRATIVOS - SUELDOS Y SALARIOS VICERRECTORÍA FINANCIERA  Disponible $294918.51 Solicitado $1150 PRESUPUESTO: SI</v>
      </c>
    </row>
    <row r="265" spans="1:20" ht="45" x14ac:dyDescent="0.25">
      <c r="A265" s="6">
        <f t="shared" si="9"/>
        <v>264</v>
      </c>
      <c r="B265" s="21">
        <v>45322</v>
      </c>
      <c r="C265" s="17" t="s">
        <v>1418</v>
      </c>
      <c r="D265" s="65" t="s">
        <v>1433</v>
      </c>
      <c r="F265" t="s">
        <v>1434</v>
      </c>
      <c r="G265" s="161">
        <f>MONTH(EJECUTADO[[#This Row],[FECHA]])</f>
        <v>1</v>
      </c>
      <c r="H265" s="163" t="str">
        <f>MID(EJECUTADO[[#This Row],[CUENTA]],1,4)</f>
        <v>E-03</v>
      </c>
      <c r="I265" s="163" t="str">
        <f>INDEX(CATALOGO[Descripción],MATCH(EJECUTADO[[#This Row],[APLICACIÓN]]&amp;"-00-00-00",CATALOGO[Código],0))</f>
        <v>SUELDOS ADMINISTRATIVOS</v>
      </c>
      <c r="J2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RECURSOS HUMANOS</v>
      </c>
      <c r="K265" s="161" t="str">
        <f>IF((EJECUTADO[[#This Row],[MONTO DISPONIBLE ]]-EJECUTADO[[#This Row],[MONTO SOLICITADO]])&gt;=0,"PRESUPUESTO: SI","PRESUPUESTO: NO")</f>
        <v>PRESUPUESTO: SI</v>
      </c>
      <c r="L265" s="162">
        <f>SUMIF(PRESUPUESTO[CUENTA],EJECUTADO[[#This Row],[CUENTA]],PRESUPUESTO[MONTO])-SUMIF($F$1:F264,EJECUTADO[[#This Row],[CUENTA]],$M$1:M264)</f>
        <v>136500</v>
      </c>
      <c r="M265" s="2">
        <v>9450</v>
      </c>
      <c r="N265" s="2"/>
      <c r="O265" s="2"/>
      <c r="P265" s="162">
        <f>+EJECUTADO[[#This Row],[MONTO SOLICITADO]]-EJECUTADO[[#This Row],[RETENCION IVA]]-EJECUTADO[[#This Row],[RETENCION ISR]]</f>
        <v>9450</v>
      </c>
      <c r="Q265" s="84" t="s">
        <v>1000</v>
      </c>
      <c r="R265" s="2"/>
      <c r="S265">
        <v>1</v>
      </c>
      <c r="T265" s="168" t="str">
        <f t="shared" si="8"/>
        <v>SUELDOS ADMINISTRATIVOS - SUELDOS Y SALARIOS DIRECCIÓN DE RECURSOS HUMANOS Disponible $136500 Solicitado $9450 PRESUPUESTO: SI</v>
      </c>
    </row>
    <row r="266" spans="1:20" ht="30" x14ac:dyDescent="0.25">
      <c r="A266" s="6">
        <f t="shared" si="9"/>
        <v>265</v>
      </c>
      <c r="B266" s="21">
        <v>45322</v>
      </c>
      <c r="C266" s="17" t="s">
        <v>1418</v>
      </c>
      <c r="D266" s="65" t="s">
        <v>1435</v>
      </c>
      <c r="F266" t="s">
        <v>1229</v>
      </c>
      <c r="G266" s="161">
        <f>MONTH(EJECUTADO[[#This Row],[FECHA]])</f>
        <v>1</v>
      </c>
      <c r="H266" s="163" t="str">
        <f>MID(EJECUTADO[[#This Row],[CUENTA]],1,4)</f>
        <v>E-03</v>
      </c>
      <c r="I266" s="163" t="str">
        <f>INDEX(CATALOGO[Descripción],MATCH(EJECUTADO[[#This Row],[APLICACIÓN]]&amp;"-00-00-00",CATALOGO[Código],0))</f>
        <v>SUELDOS ADMINISTRATIVOS</v>
      </c>
      <c r="J2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266" s="161" t="str">
        <f>IF((EJECUTADO[[#This Row],[MONTO DISPONIBLE ]]-EJECUTADO[[#This Row],[MONTO SOLICITADO]])&gt;=0,"PRESUPUESTO: SI","PRESUPUESTO: NO")</f>
        <v>PRESUPUESTO: SI</v>
      </c>
      <c r="L266" s="162">
        <f>SUMIF(PRESUPUESTO[CUENTA],EJECUTADO[[#This Row],[CUENTA]],PRESUPUESTO[MONTO])-SUMIF($F$1:F265,EJECUTADO[[#This Row],[CUENTA]],$M$1:M265)</f>
        <v>134300</v>
      </c>
      <c r="M266" s="2">
        <v>9500</v>
      </c>
      <c r="N266" s="2"/>
      <c r="O266" s="2"/>
      <c r="P266" s="162">
        <f>+EJECUTADO[[#This Row],[MONTO SOLICITADO]]-EJECUTADO[[#This Row],[RETENCION IVA]]-EJECUTADO[[#This Row],[RETENCION ISR]]</f>
        <v>9500</v>
      </c>
      <c r="Q266" s="84" t="s">
        <v>1000</v>
      </c>
      <c r="R266" s="2"/>
      <c r="S266">
        <v>1</v>
      </c>
      <c r="T266" s="168" t="str">
        <f t="shared" si="8"/>
        <v>SUELDOS ADMINISTRATIVOS - SUELDOS Y SALARIOS DIRECCIÓN DE COMUNICACIONES Disponible $134300 Solicitado $9500 PRESUPUESTO: SI</v>
      </c>
    </row>
    <row r="267" spans="1:20" ht="30" x14ac:dyDescent="0.25">
      <c r="A267" s="6">
        <f t="shared" si="9"/>
        <v>266</v>
      </c>
      <c r="B267" s="21">
        <v>45322</v>
      </c>
      <c r="C267" s="17" t="s">
        <v>1418</v>
      </c>
      <c r="D267" s="65" t="s">
        <v>881</v>
      </c>
      <c r="F267" t="s">
        <v>1436</v>
      </c>
      <c r="G267" s="161">
        <f>MONTH(EJECUTADO[[#This Row],[FECHA]])</f>
        <v>1</v>
      </c>
      <c r="H267" s="163" t="str">
        <f>MID(EJECUTADO[[#This Row],[CUENTA]],1,4)</f>
        <v>E-28</v>
      </c>
      <c r="I267" s="163" t="str">
        <f>INDEX(CATALOGO[Descripción],MATCH(EJECUTADO[[#This Row],[APLICACIÓN]]&amp;"-00-00-00",CATALOGO[Código],0))</f>
        <v>INSTITUTO DE GRADUADOS</v>
      </c>
      <c r="J2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67" s="161" t="str">
        <f>IF((EJECUTADO[[#This Row],[MONTO DISPONIBLE ]]-EJECUTADO[[#This Row],[MONTO SOLICITADO]])&gt;=0,"PRESUPUESTO: SI","PRESUPUESTO: NO")</f>
        <v>PRESUPUESTO: SI</v>
      </c>
      <c r="L267" s="162">
        <f>SUMIF(PRESUPUESTO[CUENTA],EJECUTADO[[#This Row],[CUENTA]],PRESUPUESTO[MONTO])-SUMIF($F$1:F266,EJECUTADO[[#This Row],[CUENTA]],$M$1:M266)</f>
        <v>46150</v>
      </c>
      <c r="M267" s="2">
        <v>3550</v>
      </c>
      <c r="N267" s="2"/>
      <c r="O267" s="2"/>
      <c r="P267" s="162">
        <f>+EJECUTADO[[#This Row],[MONTO SOLICITADO]]-EJECUTADO[[#This Row],[RETENCION IVA]]-EJECUTADO[[#This Row],[RETENCION ISR]]</f>
        <v>3550</v>
      </c>
      <c r="Q267" s="84" t="s">
        <v>1000</v>
      </c>
      <c r="R267" s="2"/>
      <c r="S267">
        <v>1</v>
      </c>
      <c r="T267" s="168" t="str">
        <f t="shared" si="8"/>
        <v>INSTITUTO DE GRADUADOS - SUELDOS Y SALARIOS Disponible $46150 Solicitado $3550 PRESUPUESTO: SI</v>
      </c>
    </row>
    <row r="268" spans="1:20" ht="30" x14ac:dyDescent="0.25">
      <c r="A268" s="6">
        <f t="shared" si="9"/>
        <v>267</v>
      </c>
      <c r="B268" s="21">
        <v>45322</v>
      </c>
      <c r="C268" s="17" t="s">
        <v>1418</v>
      </c>
      <c r="D268" s="65" t="s">
        <v>1437</v>
      </c>
      <c r="F268" t="s">
        <v>1281</v>
      </c>
      <c r="G268" s="161">
        <f>MONTH(EJECUTADO[[#This Row],[FECHA]])</f>
        <v>1</v>
      </c>
      <c r="H268" s="163" t="str">
        <f>MID(EJECUTADO[[#This Row],[CUENTA]],1,4)</f>
        <v>E-03</v>
      </c>
      <c r="I268" s="163" t="str">
        <f>INDEX(CATALOGO[Descripción],MATCH(EJECUTADO[[#This Row],[APLICACIÓN]]&amp;"-00-00-00",CATALOGO[Código],0))</f>
        <v>SUELDOS ADMINISTRATIVOS</v>
      </c>
      <c r="J2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268" s="161" t="str">
        <f>IF((EJECUTADO[[#This Row],[MONTO DISPONIBLE ]]-EJECUTADO[[#This Row],[MONTO SOLICITADO]])&gt;=0,"PRESUPUESTO: SI","PRESUPUESTO: NO")</f>
        <v>PRESUPUESTO: SI</v>
      </c>
      <c r="L268" s="162">
        <f>SUMIF(PRESUPUESTO[CUENTA],EJECUTADO[[#This Row],[CUENTA]],PRESUPUESTO[MONTO])-SUMIF($F$1:F267,EJECUTADO[[#This Row],[CUENTA]],$M$1:M267)</f>
        <v>293768.51</v>
      </c>
      <c r="M268" s="2">
        <v>2000</v>
      </c>
      <c r="N268" s="2"/>
      <c r="O268" s="2"/>
      <c r="P268" s="162">
        <f>+EJECUTADO[[#This Row],[MONTO SOLICITADO]]-EJECUTADO[[#This Row],[RETENCION IVA]]-EJECUTADO[[#This Row],[RETENCION ISR]]</f>
        <v>2000</v>
      </c>
      <c r="Q268" s="84" t="s">
        <v>1000</v>
      </c>
      <c r="R268" s="2"/>
      <c r="S268">
        <v>1</v>
      </c>
      <c r="T268" s="168" t="str">
        <f t="shared" si="8"/>
        <v>SUELDOS ADMINISTRATIVOS - SUELDOS Y SALARIOS VICERRECTORÍA FINANCIERA  Disponible $293768.51 Solicitado $2000 PRESUPUESTO: SI</v>
      </c>
    </row>
    <row r="269" spans="1:20" x14ac:dyDescent="0.25">
      <c r="A269" s="6">
        <f t="shared" si="9"/>
        <v>268</v>
      </c>
      <c r="B269" s="21">
        <v>45322</v>
      </c>
      <c r="C269" s="17" t="s">
        <v>1418</v>
      </c>
      <c r="D269" s="65" t="s">
        <v>1438</v>
      </c>
      <c r="F269" t="s">
        <v>1439</v>
      </c>
      <c r="G269" s="161">
        <f>MONTH(EJECUTADO[[#This Row],[FECHA]])</f>
        <v>1</v>
      </c>
      <c r="H269" s="163" t="str">
        <f>MID(EJECUTADO[[#This Row],[CUENTA]],1,4)</f>
        <v>E-03</v>
      </c>
      <c r="I269" s="163" t="str">
        <f>INDEX(CATALOGO[Descripción],MATCH(EJECUTADO[[#This Row],[APLICACIÓN]]&amp;"-00-00-00",CATALOGO[Código],0))</f>
        <v>SUELDOS ADMINISTRATIVOS</v>
      </c>
      <c r="J2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VICEPRESIDENCIA </v>
      </c>
      <c r="K269" s="161" t="str">
        <f>IF((EJECUTADO[[#This Row],[MONTO DISPONIBLE ]]-EJECUTADO[[#This Row],[MONTO SOLICITADO]])&gt;=0,"PRESUPUESTO: SI","PRESUPUESTO: NO")</f>
        <v>PRESUPUESTO: SI</v>
      </c>
      <c r="L269" s="162">
        <f>SUMIF(PRESUPUESTO[CUENTA],EJECUTADO[[#This Row],[CUENTA]],PRESUPUESTO[MONTO])-SUMIF($F$1:F268,EJECUTADO[[#This Row],[CUENTA]],$M$1:M268)</f>
        <v>518000</v>
      </c>
      <c r="M269" s="2">
        <v>39853.040000000001</v>
      </c>
      <c r="N269" s="2"/>
      <c r="O269" s="2"/>
      <c r="P269" s="162">
        <f>+EJECUTADO[[#This Row],[MONTO SOLICITADO]]-EJECUTADO[[#This Row],[RETENCION IVA]]-EJECUTADO[[#This Row],[RETENCION ISR]]</f>
        <v>39853.040000000001</v>
      </c>
      <c r="Q269" s="84" t="s">
        <v>1000</v>
      </c>
      <c r="R269" s="2"/>
      <c r="S269">
        <v>1</v>
      </c>
      <c r="T269" s="168" t="str">
        <f t="shared" si="8"/>
        <v>SUELDOS ADMINISTRATIVOS - SUELDOS Y SALARIOS VICEPRESIDENCIA  Disponible $518000 Solicitado $39853.04 PRESUPUESTO: SI</v>
      </c>
    </row>
    <row r="270" spans="1:20" ht="30" x14ac:dyDescent="0.25">
      <c r="A270" s="6">
        <f t="shared" si="9"/>
        <v>269</v>
      </c>
      <c r="B270" s="21">
        <v>45322</v>
      </c>
      <c r="C270" s="17" t="s">
        <v>1418</v>
      </c>
      <c r="D270" s="65" t="s">
        <v>305</v>
      </c>
      <c r="F270" t="s">
        <v>1440</v>
      </c>
      <c r="G270" s="161">
        <f>MONTH(EJECUTADO[[#This Row],[FECHA]])</f>
        <v>1</v>
      </c>
      <c r="H270" s="163" t="str">
        <f>MID(EJECUTADO[[#This Row],[CUENTA]],1,4)</f>
        <v>E-04</v>
      </c>
      <c r="I270" s="163" t="str">
        <f>INDEX(CATALOGO[Descripción],MATCH(EJECUTADO[[#This Row],[APLICACIÓN]]&amp;"-00-00-00",CATALOGO[Código],0))</f>
        <v>SUELDOS ACADÉMICOS</v>
      </c>
      <c r="J2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CULTURA</v>
      </c>
      <c r="K270" s="161" t="str">
        <f>IF((EJECUTADO[[#This Row],[MONTO DISPONIBLE ]]-EJECUTADO[[#This Row],[MONTO SOLICITADO]])&gt;=0,"PRESUPUESTO: SI","PRESUPUESTO: NO")</f>
        <v>PRESUPUESTO: SI</v>
      </c>
      <c r="L270" s="162">
        <f>SUMIF(PRESUPUESTO[CUENTA],EJECUTADO[[#This Row],[CUENTA]],PRESUPUESTO[MONTO])-SUMIF($F$1:F269,EJECUTADO[[#This Row],[CUENTA]],$M$1:M269)</f>
        <v>87000</v>
      </c>
      <c r="M270" s="2">
        <v>6700</v>
      </c>
      <c r="N270" s="2"/>
      <c r="O270" s="2"/>
      <c r="P270" s="162">
        <f>+EJECUTADO[[#This Row],[MONTO SOLICITADO]]-EJECUTADO[[#This Row],[RETENCION IVA]]-EJECUTADO[[#This Row],[RETENCION ISR]]</f>
        <v>6700</v>
      </c>
      <c r="Q270" s="84" t="s">
        <v>1000</v>
      </c>
      <c r="R270" s="2"/>
      <c r="S270">
        <v>1</v>
      </c>
      <c r="T270" s="168" t="str">
        <f t="shared" si="8"/>
        <v>SUELDOS ACADÉMICOS - SUELDOS Y SALARIOS DIRECCIÓN DE CULTURA Disponible $87000 Solicitado $6700 PRESUPUESTO: SI</v>
      </c>
    </row>
    <row r="271" spans="1:20" ht="30" x14ac:dyDescent="0.25">
      <c r="A271" s="6">
        <f t="shared" si="9"/>
        <v>270</v>
      </c>
      <c r="B271" s="21">
        <v>45322</v>
      </c>
      <c r="C271" s="17" t="s">
        <v>1418</v>
      </c>
      <c r="D271" s="65" t="s">
        <v>1441</v>
      </c>
      <c r="F271" t="s">
        <v>1442</v>
      </c>
      <c r="G271" s="161">
        <f>MONTH(EJECUTADO[[#This Row],[FECHA]])</f>
        <v>1</v>
      </c>
      <c r="H271" s="163" t="str">
        <f>MID(EJECUTADO[[#This Row],[CUENTA]],1,4)</f>
        <v>E-03</v>
      </c>
      <c r="I271" s="163" t="str">
        <f>INDEX(CATALOGO[Descripción],MATCH(EJECUTADO[[#This Row],[APLICACIÓN]]&amp;"-00-00-00",CATALOGO[Código],0))</f>
        <v>SUELDOS ADMINISTRATIVOS</v>
      </c>
      <c r="J2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SERVICIOS GENERALES </v>
      </c>
      <c r="K271" s="161" t="str">
        <f>IF((EJECUTADO[[#This Row],[MONTO DISPONIBLE ]]-EJECUTADO[[#This Row],[MONTO SOLICITADO]])&gt;=0,"PRESUPUESTO: SI","PRESUPUESTO: NO")</f>
        <v>PRESUPUESTO: SI</v>
      </c>
      <c r="L271" s="162">
        <f>SUMIF(PRESUPUESTO[CUENTA],EJECUTADO[[#This Row],[CUENTA]],PRESUPUESTO[MONTO])-SUMIF($F$1:F270,EJECUTADO[[#This Row],[CUENTA]],$M$1:M270)</f>
        <v>87000</v>
      </c>
      <c r="M271" s="2">
        <v>6596.24</v>
      </c>
      <c r="N271" s="2"/>
      <c r="O271" s="2"/>
      <c r="P271" s="162">
        <f>+EJECUTADO[[#This Row],[MONTO SOLICITADO]]-EJECUTADO[[#This Row],[RETENCION IVA]]-EJECUTADO[[#This Row],[RETENCION ISR]]</f>
        <v>6596.24</v>
      </c>
      <c r="Q271" s="84" t="s">
        <v>1000</v>
      </c>
      <c r="R271" s="2"/>
      <c r="S271">
        <v>1</v>
      </c>
      <c r="T271" s="168" t="str">
        <f t="shared" si="8"/>
        <v>SUELDOS ADMINISTRATIVOS - SUELDOS Y SALARIOS SERVICIOS GENERALES  Disponible $87000 Solicitado $6596.24 PRESUPUESTO: SI</v>
      </c>
    </row>
    <row r="272" spans="1:20" x14ac:dyDescent="0.25">
      <c r="A272" s="6">
        <f t="shared" si="9"/>
        <v>271</v>
      </c>
      <c r="B272" s="21">
        <v>45322</v>
      </c>
      <c r="C272" s="17" t="s">
        <v>1418</v>
      </c>
      <c r="D272" s="65" t="s">
        <v>670</v>
      </c>
      <c r="F272" t="s">
        <v>1443</v>
      </c>
      <c r="G272" s="161">
        <f>MONTH(EJECUTADO[[#This Row],[FECHA]])</f>
        <v>1</v>
      </c>
      <c r="H272" s="163" t="str">
        <f>MID(EJECUTADO[[#This Row],[CUENTA]],1,4)</f>
        <v>E-04</v>
      </c>
      <c r="I272" s="163" t="str">
        <f>INDEX(CATALOGO[Descripción],MATCH(EJECUTADO[[#This Row],[APLICACIÓN]]&amp;"-00-00-00",CATALOGO[Código],0))</f>
        <v>SUELDOS ACADÉMICOS</v>
      </c>
      <c r="J2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SISTEMA BIBLIOTECARIO</v>
      </c>
      <c r="K272" s="161" t="str">
        <f>IF((EJECUTADO[[#This Row],[MONTO DISPONIBLE ]]-EJECUTADO[[#This Row],[MONTO SOLICITADO]])&gt;=0,"PRESUPUESTO: SI","PRESUPUESTO: NO")</f>
        <v>PRESUPUESTO: SI</v>
      </c>
      <c r="L272" s="162">
        <f>SUMIF(PRESUPUESTO[CUENTA],EJECUTADO[[#This Row],[CUENTA]],PRESUPUESTO[MONTO])-SUMIF($F$1:F271,EJECUTADO[[#This Row],[CUENTA]],$M$1:M271)</f>
        <v>93000</v>
      </c>
      <c r="M272" s="2">
        <v>7107.14</v>
      </c>
      <c r="N272" s="2"/>
      <c r="O272" s="2"/>
      <c r="P272" s="162">
        <f>+EJECUTADO[[#This Row],[MONTO SOLICITADO]]-EJECUTADO[[#This Row],[RETENCION IVA]]-EJECUTADO[[#This Row],[RETENCION ISR]]</f>
        <v>7107.14</v>
      </c>
      <c r="Q272" s="84" t="s">
        <v>1000</v>
      </c>
      <c r="R272" s="2"/>
      <c r="S272">
        <v>1</v>
      </c>
      <c r="T272" s="168" t="str">
        <f t="shared" si="8"/>
        <v>SUELDOS ACADÉMICOS - SUELDOS Y SALARIOS SISTEMA BIBLIOTECARIO Disponible $93000 Solicitado $7107.14 PRESUPUESTO: SI</v>
      </c>
    </row>
    <row r="273" spans="1:20" x14ac:dyDescent="0.25">
      <c r="A273" s="6">
        <f t="shared" si="9"/>
        <v>272</v>
      </c>
      <c r="B273" s="21">
        <v>45322</v>
      </c>
      <c r="C273" s="17" t="s">
        <v>1418</v>
      </c>
      <c r="D273" s="65" t="s">
        <v>323</v>
      </c>
      <c r="F273" t="s">
        <v>1444</v>
      </c>
      <c r="G273" s="161">
        <f>MONTH(EJECUTADO[[#This Row],[FECHA]])</f>
        <v>1</v>
      </c>
      <c r="H273" s="163" t="str">
        <f>MID(EJECUTADO[[#This Row],[CUENTA]],1,4)</f>
        <v>E-03</v>
      </c>
      <c r="I273" s="163" t="str">
        <f>INDEX(CATALOGO[Descripción],MATCH(EJECUTADO[[#This Row],[APLICACIÓN]]&amp;"-00-00-00",CATALOGO[Código],0))</f>
        <v>SUELDOS ADMINISTRATIVOS</v>
      </c>
      <c r="J2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MANTENIMIENTO</v>
      </c>
      <c r="K273" s="161" t="str">
        <f>IF((EJECUTADO[[#This Row],[MONTO DISPONIBLE ]]-EJECUTADO[[#This Row],[MONTO SOLICITADO]])&gt;=0,"PRESUPUESTO: SI","PRESUPUESTO: NO")</f>
        <v>PRESUPUESTO: SI</v>
      </c>
      <c r="L273" s="162">
        <f>SUMIF(PRESUPUESTO[CUENTA],EJECUTADO[[#This Row],[CUENTA]],PRESUPUESTO[MONTO])-SUMIF($F$1:F272,EJECUTADO[[#This Row],[CUENTA]],$M$1:M272)</f>
        <v>192000</v>
      </c>
      <c r="M273" s="2">
        <v>15177.83</v>
      </c>
      <c r="N273" s="2"/>
      <c r="O273" s="2"/>
      <c r="P273" s="162">
        <f>+EJECUTADO[[#This Row],[MONTO SOLICITADO]]-EJECUTADO[[#This Row],[RETENCION IVA]]-EJECUTADO[[#This Row],[RETENCION ISR]]</f>
        <v>15177.83</v>
      </c>
      <c r="Q273" s="84" t="s">
        <v>1000</v>
      </c>
      <c r="R273" s="2"/>
      <c r="S273">
        <v>1</v>
      </c>
      <c r="T273" s="168" t="str">
        <f t="shared" si="8"/>
        <v>SUELDOS ADMINISTRATIVOS - SUELDOS Y SALARIOS MANTENIMIENTO Disponible $192000 Solicitado $15177.83 PRESUPUESTO: SI</v>
      </c>
    </row>
    <row r="274" spans="1:20" x14ac:dyDescent="0.25">
      <c r="A274" s="6">
        <f t="shared" si="9"/>
        <v>273</v>
      </c>
      <c r="B274" s="21">
        <v>45322</v>
      </c>
      <c r="C274" s="17" t="s">
        <v>1418</v>
      </c>
      <c r="D274" s="65" t="s">
        <v>1445</v>
      </c>
      <c r="F274" t="s">
        <v>1446</v>
      </c>
      <c r="G274" s="161">
        <f>MONTH(EJECUTADO[[#This Row],[FECHA]])</f>
        <v>1</v>
      </c>
      <c r="H274" s="163" t="str">
        <f>MID(EJECUTADO[[#This Row],[CUENTA]],1,4)</f>
        <v>E-04</v>
      </c>
      <c r="I274" s="163" t="str">
        <f>INDEX(CATALOGO[Descripción],MATCH(EJECUTADO[[#This Row],[APLICACIÓN]]&amp;"-00-00-00",CATALOGO[Código],0))</f>
        <v>SUELDOS ACADÉMICOS</v>
      </c>
      <c r="J2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RECTORÍA</v>
      </c>
      <c r="K274" s="161" t="str">
        <f>IF((EJECUTADO[[#This Row],[MONTO DISPONIBLE ]]-EJECUTADO[[#This Row],[MONTO SOLICITADO]])&gt;=0,"PRESUPUESTO: SI","PRESUPUESTO: NO")</f>
        <v>PRESUPUESTO: SI</v>
      </c>
      <c r="L274" s="162">
        <f>SUMIF(PRESUPUESTO[CUENTA],EJECUTADO[[#This Row],[CUENTA]],PRESUPUESTO[MONTO])-SUMIF($F$1:F273,EJECUTADO[[#This Row],[CUENTA]],$M$1:M273)</f>
        <v>202800</v>
      </c>
      <c r="M274" s="2">
        <v>15600</v>
      </c>
      <c r="N274" s="2"/>
      <c r="O274" s="2"/>
      <c r="P274" s="162">
        <f>+EJECUTADO[[#This Row],[MONTO SOLICITADO]]-EJECUTADO[[#This Row],[RETENCION IVA]]-EJECUTADO[[#This Row],[RETENCION ISR]]</f>
        <v>15600</v>
      </c>
      <c r="Q274" s="84" t="s">
        <v>1000</v>
      </c>
      <c r="R274" s="2"/>
      <c r="S274">
        <v>1</v>
      </c>
      <c r="T274" s="168" t="str">
        <f t="shared" si="8"/>
        <v>SUELDOS ACADÉMICOS - SUELDOS Y SALARIOS RECTORÍA Disponible $202800 Solicitado $15600 PRESUPUESTO: SI</v>
      </c>
    </row>
    <row r="275" spans="1:20" x14ac:dyDescent="0.25">
      <c r="A275" s="6">
        <f t="shared" si="9"/>
        <v>274</v>
      </c>
      <c r="B275" s="21">
        <v>45322</v>
      </c>
      <c r="C275" s="17" t="s">
        <v>1418</v>
      </c>
      <c r="D275" s="65" t="s">
        <v>1447</v>
      </c>
      <c r="F275" t="s">
        <v>1253</v>
      </c>
      <c r="G275" s="161">
        <f>MONTH(EJECUTADO[[#This Row],[FECHA]])</f>
        <v>1</v>
      </c>
      <c r="H275" s="163" t="str">
        <f>MID(EJECUTADO[[#This Row],[CUENTA]],1,4)</f>
        <v>E-04</v>
      </c>
      <c r="I275" s="163" t="str">
        <f>INDEX(CATALOGO[Descripción],MATCH(EJECUTADO[[#This Row],[APLICACIÓN]]&amp;"-00-00-00",CATALOGO[Código],0))</f>
        <v>SUELDOS ACADÉMICOS</v>
      </c>
      <c r="J2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275" s="161" t="str">
        <f>IF((EJECUTADO[[#This Row],[MONTO DISPONIBLE ]]-EJECUTADO[[#This Row],[MONTO SOLICITADO]])&gt;=0,"PRESUPUESTO: SI","PRESUPUESTO: NO")</f>
        <v>PRESUPUESTO: SI</v>
      </c>
      <c r="L275" s="162">
        <f>SUMIF(PRESUPUESTO[CUENTA],EJECUTADO[[#This Row],[CUENTA]],PRESUPUESTO[MONTO])-SUMIF($F$1:F274,EJECUTADO[[#This Row],[CUENTA]],$M$1:M274)</f>
        <v>131000</v>
      </c>
      <c r="M275" s="2">
        <v>10100</v>
      </c>
      <c r="N275" s="2"/>
      <c r="O275" s="2"/>
      <c r="P275" s="162">
        <f>+EJECUTADO[[#This Row],[MONTO SOLICITADO]]-EJECUTADO[[#This Row],[RETENCION IVA]]-EJECUTADO[[#This Row],[RETENCION ISR]]</f>
        <v>10100</v>
      </c>
      <c r="Q275" s="84" t="s">
        <v>1000</v>
      </c>
      <c r="R275" s="2"/>
      <c r="S275">
        <v>1</v>
      </c>
      <c r="T275" s="168" t="str">
        <f t="shared" si="8"/>
        <v>SUELDOS ACADÉMICOS - SUELDOS Y SALARIOS VR ACADÉMICA Disponible $131000 Solicitado $10100 PRESUPUESTO: SI</v>
      </c>
    </row>
    <row r="276" spans="1:20" ht="45" x14ac:dyDescent="0.25">
      <c r="A276" s="6">
        <f t="shared" si="9"/>
        <v>275</v>
      </c>
      <c r="B276" s="21">
        <v>45322</v>
      </c>
      <c r="C276" s="17" t="s">
        <v>1418</v>
      </c>
      <c r="D276" s="65" t="s">
        <v>1448</v>
      </c>
      <c r="F276" t="s">
        <v>1253</v>
      </c>
      <c r="G276" s="161">
        <f>MONTH(EJECUTADO[[#This Row],[FECHA]])</f>
        <v>1</v>
      </c>
      <c r="H276" s="163" t="str">
        <f>MID(EJECUTADO[[#This Row],[CUENTA]],1,4)</f>
        <v>E-04</v>
      </c>
      <c r="I276" s="163" t="str">
        <f>INDEX(CATALOGO[Descripción],MATCH(EJECUTADO[[#This Row],[APLICACIÓN]]&amp;"-00-00-00",CATALOGO[Código],0))</f>
        <v>SUELDOS ACADÉMICOS</v>
      </c>
      <c r="J2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276" s="161" t="str">
        <f>IF((EJECUTADO[[#This Row],[MONTO DISPONIBLE ]]-EJECUTADO[[#This Row],[MONTO SOLICITADO]])&gt;=0,"PRESUPUESTO: SI","PRESUPUESTO: NO")</f>
        <v>PRESUPUESTO: SI</v>
      </c>
      <c r="L276" s="162">
        <f>SUMIF(PRESUPUESTO[CUENTA],EJECUTADO[[#This Row],[CUENTA]],PRESUPUESTO[MONTO])-SUMIF($F$1:F275,EJECUTADO[[#This Row],[CUENTA]],$M$1:M275)</f>
        <v>120900</v>
      </c>
      <c r="M276" s="2">
        <v>1200</v>
      </c>
      <c r="N276" s="2"/>
      <c r="O276" s="2"/>
      <c r="P276" s="162">
        <f>+EJECUTADO[[#This Row],[MONTO SOLICITADO]]-EJECUTADO[[#This Row],[RETENCION IVA]]-EJECUTADO[[#This Row],[RETENCION ISR]]</f>
        <v>1200</v>
      </c>
      <c r="Q276" s="84" t="s">
        <v>1000</v>
      </c>
      <c r="R276" s="2"/>
      <c r="S276">
        <v>1</v>
      </c>
      <c r="T276" s="168" t="str">
        <f t="shared" si="8"/>
        <v>SUELDOS ACADÉMICOS - SUELDOS Y SALARIOS VR ACADÉMICA Disponible $120900 Solicitado $1200 PRESUPUESTO: SI</v>
      </c>
    </row>
    <row r="277" spans="1:20" ht="45" x14ac:dyDescent="0.25">
      <c r="A277" s="6">
        <f t="shared" si="9"/>
        <v>276</v>
      </c>
      <c r="B277" s="21">
        <v>45322</v>
      </c>
      <c r="C277" s="17" t="s">
        <v>1418</v>
      </c>
      <c r="D277" s="65" t="s">
        <v>1449</v>
      </c>
      <c r="F277" t="s">
        <v>1253</v>
      </c>
      <c r="G277" s="161">
        <f>MONTH(EJECUTADO[[#This Row],[FECHA]])</f>
        <v>1</v>
      </c>
      <c r="H277" s="163" t="str">
        <f>MID(EJECUTADO[[#This Row],[CUENTA]],1,4)</f>
        <v>E-04</v>
      </c>
      <c r="I277" s="163" t="str">
        <f>INDEX(CATALOGO[Descripción],MATCH(EJECUTADO[[#This Row],[APLICACIÓN]]&amp;"-00-00-00",CATALOGO[Código],0))</f>
        <v>SUELDOS ACADÉMICOS</v>
      </c>
      <c r="J2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277" s="161" t="str">
        <f>IF((EJECUTADO[[#This Row],[MONTO DISPONIBLE ]]-EJECUTADO[[#This Row],[MONTO SOLICITADO]])&gt;=0,"PRESUPUESTO: SI","PRESUPUESTO: NO")</f>
        <v>PRESUPUESTO: SI</v>
      </c>
      <c r="L277" s="162">
        <f>SUMIF(PRESUPUESTO[CUENTA],EJECUTADO[[#This Row],[CUENTA]],PRESUPUESTO[MONTO])-SUMIF($F$1:F276,EJECUTADO[[#This Row],[CUENTA]],$M$1:M276)</f>
        <v>119700</v>
      </c>
      <c r="M277" s="2">
        <v>400</v>
      </c>
      <c r="N277" s="2"/>
      <c r="O277" s="2"/>
      <c r="P277" s="162">
        <f>+EJECUTADO[[#This Row],[MONTO SOLICITADO]]-EJECUTADO[[#This Row],[RETENCION IVA]]-EJECUTADO[[#This Row],[RETENCION ISR]]</f>
        <v>400</v>
      </c>
      <c r="Q277" s="84" t="s">
        <v>1000</v>
      </c>
      <c r="R277" s="2"/>
      <c r="S277">
        <v>1</v>
      </c>
      <c r="T277" s="168" t="str">
        <f t="shared" si="8"/>
        <v>SUELDOS ACADÉMICOS - SUELDOS Y SALARIOS VR ACADÉMICA Disponible $119700 Solicitado $400 PRESUPUESTO: SI</v>
      </c>
    </row>
    <row r="278" spans="1:20" ht="45" x14ac:dyDescent="0.25">
      <c r="A278" s="6">
        <f t="shared" si="9"/>
        <v>277</v>
      </c>
      <c r="B278" s="21">
        <v>45322</v>
      </c>
      <c r="C278" s="17" t="s">
        <v>1418</v>
      </c>
      <c r="D278" s="65" t="s">
        <v>1450</v>
      </c>
      <c r="F278" t="s">
        <v>1451</v>
      </c>
      <c r="G278" s="161">
        <f>MONTH(EJECUTADO[[#This Row],[FECHA]])</f>
        <v>1</v>
      </c>
      <c r="H278" s="163" t="str">
        <f>MID(EJECUTADO[[#This Row],[CUENTA]],1,4)</f>
        <v>E-04</v>
      </c>
      <c r="I278" s="163" t="str">
        <f>INDEX(CATALOGO[Descripción],MATCH(EJECUTADO[[#This Row],[APLICACIÓN]]&amp;"-00-00-00",CATALOGO[Código],0))</f>
        <v>SUELDOS ACADÉMICOS</v>
      </c>
      <c r="J2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278" s="161" t="str">
        <f>IF((EJECUTADO[[#This Row],[MONTO DISPONIBLE ]]-EJECUTADO[[#This Row],[MONTO SOLICITADO]])&gt;=0,"PRESUPUESTO: SI","PRESUPUESTO: NO")</f>
        <v>PRESUPUESTO: SI</v>
      </c>
      <c r="L278" s="162">
        <f>SUMIF(PRESUPUESTO[CUENTA],EJECUTADO[[#This Row],[CUENTA]],PRESUPUESTO[MONTO])-SUMIF($F$1:F277,EJECUTADO[[#This Row],[CUENTA]],$M$1:M277)</f>
        <v>83850</v>
      </c>
      <c r="M278" s="2">
        <v>6450</v>
      </c>
      <c r="N278" s="2"/>
      <c r="O278" s="2"/>
      <c r="P278" s="162">
        <f>+EJECUTADO[[#This Row],[MONTO SOLICITADO]]-EJECUTADO[[#This Row],[RETENCION IVA]]-EJECUTADO[[#This Row],[RETENCION ISR]]</f>
        <v>6450</v>
      </c>
      <c r="Q278" s="84" t="s">
        <v>1000</v>
      </c>
      <c r="R278" s="2"/>
      <c r="S278">
        <v>1</v>
      </c>
      <c r="T278" s="168" t="str">
        <f t="shared" si="8"/>
        <v>SUELDOS ACADÉMICOS - SUELDOS Y SALARIOS FACULTAD DE CIENCIAS EMPRESARIALES Disponible $83850 Solicitado $6450 PRESUPUESTO: SI</v>
      </c>
    </row>
    <row r="279" spans="1:20" ht="30" x14ac:dyDescent="0.25">
      <c r="A279" s="6">
        <f t="shared" si="9"/>
        <v>278</v>
      </c>
      <c r="B279" s="21">
        <v>45322</v>
      </c>
      <c r="C279" s="17" t="s">
        <v>1418</v>
      </c>
      <c r="D279" s="65" t="s">
        <v>1452</v>
      </c>
      <c r="F279" t="s">
        <v>1453</v>
      </c>
      <c r="G279" s="161">
        <f>MONTH(EJECUTADO[[#This Row],[FECHA]])</f>
        <v>1</v>
      </c>
      <c r="H279" s="163" t="str">
        <f>MID(EJECUTADO[[#This Row],[CUENTA]],1,4)</f>
        <v>E-05</v>
      </c>
      <c r="I279" s="163" t="str">
        <f>INDEX(CATALOGO[Descripción],MATCH(EJECUTADO[[#This Row],[APLICACIÓN]]&amp;"-00-00-00",CATALOGO[Código],0))</f>
        <v>SUELDOS DTC</v>
      </c>
      <c r="J2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279" s="161" t="str">
        <f>IF((EJECUTADO[[#This Row],[MONTO DISPONIBLE ]]-EJECUTADO[[#This Row],[MONTO SOLICITADO]])&gt;=0,"PRESUPUESTO: SI","PRESUPUESTO: NO")</f>
        <v>PRESUPUESTO: SI</v>
      </c>
      <c r="L279" s="162">
        <f>SUMIF(PRESUPUESTO[CUENTA],EJECUTADO[[#This Row],[CUENTA]],PRESUPUESTO[MONTO])-SUMIF($F$1:F278,EJECUTADO[[#This Row],[CUENTA]],$M$1:M278)</f>
        <v>280000</v>
      </c>
      <c r="M279" s="2">
        <v>13308.5</v>
      </c>
      <c r="N279" s="2"/>
      <c r="O279" s="2"/>
      <c r="P279" s="162">
        <f>+EJECUTADO[[#This Row],[MONTO SOLICITADO]]-EJECUTADO[[#This Row],[RETENCION IVA]]-EJECUTADO[[#This Row],[RETENCION ISR]]</f>
        <v>13308.5</v>
      </c>
      <c r="Q279" s="84" t="s">
        <v>1000</v>
      </c>
      <c r="R279" s="2"/>
      <c r="S279">
        <v>1</v>
      </c>
      <c r="T279" s="168" t="str">
        <f t="shared" si="8"/>
        <v>SUELDOS DTC - SUELDOS Y SALARIOS FACULTAD DE CIENCIAS EMPRESARIALES Disponible $280000 Solicitado $13308.5 PRESUPUESTO: SI</v>
      </c>
    </row>
    <row r="280" spans="1:20" ht="30" x14ac:dyDescent="0.25">
      <c r="A280" s="6">
        <f t="shared" si="9"/>
        <v>279</v>
      </c>
      <c r="B280" s="21">
        <v>45322</v>
      </c>
      <c r="C280" s="17" t="s">
        <v>1418</v>
      </c>
      <c r="D280" s="65" t="s">
        <v>208</v>
      </c>
      <c r="F280" t="s">
        <v>1454</v>
      </c>
      <c r="G280" s="161">
        <f>MONTH(EJECUTADO[[#This Row],[FECHA]])</f>
        <v>1</v>
      </c>
      <c r="H280" s="163" t="str">
        <f>MID(EJECUTADO[[#This Row],[CUENTA]],1,4)</f>
        <v>E-04</v>
      </c>
      <c r="I280" s="163" t="str">
        <f>INDEX(CATALOGO[Descripción],MATCH(EJECUTADO[[#This Row],[APLICACIÓN]]&amp;"-00-00-00",CATALOGO[Código],0))</f>
        <v>SUELDOS ACADÉMICOS</v>
      </c>
      <c r="J2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280" s="161" t="str">
        <f>IF((EJECUTADO[[#This Row],[MONTO DISPONIBLE ]]-EJECUTADO[[#This Row],[MONTO SOLICITADO]])&gt;=0,"PRESUPUESTO: SI","PRESUPUESTO: NO")</f>
        <v>PRESUPUESTO: SI</v>
      </c>
      <c r="L280" s="162">
        <f>SUMIF(PRESUPUESTO[CUENTA],EJECUTADO[[#This Row],[CUENTA]],PRESUPUESTO[MONTO])-SUMIF($F$1:F279,EJECUTADO[[#This Row],[CUENTA]],$M$1:M279)</f>
        <v>181350</v>
      </c>
      <c r="M280" s="2">
        <v>4000</v>
      </c>
      <c r="N280" s="2"/>
      <c r="O280" s="2"/>
      <c r="P280" s="162">
        <f>+EJECUTADO[[#This Row],[MONTO SOLICITADO]]-EJECUTADO[[#This Row],[RETENCION IVA]]-EJECUTADO[[#This Row],[RETENCION ISR]]</f>
        <v>4000</v>
      </c>
      <c r="Q280" s="84" t="s">
        <v>1000</v>
      </c>
      <c r="R280" s="2"/>
      <c r="S280">
        <v>1</v>
      </c>
      <c r="T280" s="168" t="str">
        <f t="shared" si="8"/>
        <v>SUELDOS ACADÉMICOS - SUELDOS Y SALARIOS FACULTAD DE CIENCIAS SOCIALES Disponible $181350 Solicitado $4000 PRESUPUESTO: SI</v>
      </c>
    </row>
    <row r="281" spans="1:20" ht="30" x14ac:dyDescent="0.25">
      <c r="A281" s="6">
        <f t="shared" si="9"/>
        <v>280</v>
      </c>
      <c r="B281" s="21">
        <v>45322</v>
      </c>
      <c r="C281" s="17" t="s">
        <v>1418</v>
      </c>
      <c r="D281" s="65" t="s">
        <v>1455</v>
      </c>
      <c r="E281" s="65"/>
      <c r="F281" t="s">
        <v>1456</v>
      </c>
      <c r="G281" s="161">
        <f>MONTH(EJECUTADO[[#This Row],[FECHA]])</f>
        <v>1</v>
      </c>
      <c r="H281" s="163" t="str">
        <f>MID(EJECUTADO[[#This Row],[CUENTA]],1,4)</f>
        <v>E-05</v>
      </c>
      <c r="I281" s="163" t="str">
        <f>INDEX(CATALOGO[Descripción],MATCH(EJECUTADO[[#This Row],[APLICACIÓN]]&amp;"-00-00-00",CATALOGO[Código],0))</f>
        <v>SUELDOS DTC</v>
      </c>
      <c r="J2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281" s="161" t="str">
        <f>IF((EJECUTADO[[#This Row],[MONTO DISPONIBLE ]]-EJECUTADO[[#This Row],[MONTO SOLICITADO]])&gt;=0,"PRESUPUESTO: SI","PRESUPUESTO: NO")</f>
        <v>PRESUPUESTO: SI</v>
      </c>
      <c r="L281" s="162">
        <f>SUMIF(PRESUPUESTO[CUENTA],EJECUTADO[[#This Row],[CUENTA]],PRESUPUESTO[MONTO])-SUMIF($F$1:F280,EJECUTADO[[#This Row],[CUENTA]],$M$1:M280)</f>
        <v>425000</v>
      </c>
      <c r="M281" s="2">
        <v>8630</v>
      </c>
      <c r="N281" s="2"/>
      <c r="O281" s="2"/>
      <c r="P281" s="162">
        <f>+EJECUTADO[[#This Row],[MONTO SOLICITADO]]-EJECUTADO[[#This Row],[RETENCION IVA]]-EJECUTADO[[#This Row],[RETENCION ISR]]</f>
        <v>8630</v>
      </c>
      <c r="Q281" s="84" t="s">
        <v>1000</v>
      </c>
      <c r="R281" s="2"/>
      <c r="S281">
        <v>1</v>
      </c>
      <c r="T281" s="168" t="str">
        <f t="shared" si="8"/>
        <v>SUELDOS DTC - SUELDOS Y SALARIOS FACULTAD DE CIENCIAS SOCIALES Disponible $425000 Solicitado $8630 PRESUPUESTO: SI</v>
      </c>
    </row>
    <row r="282" spans="1:20" ht="30" x14ac:dyDescent="0.25">
      <c r="A282" s="6">
        <f t="shared" si="9"/>
        <v>281</v>
      </c>
      <c r="B282" s="21">
        <v>45322</v>
      </c>
      <c r="C282" s="17" t="s">
        <v>1418</v>
      </c>
      <c r="D282" s="65" t="s">
        <v>1457</v>
      </c>
      <c r="E282" s="65"/>
      <c r="F282" t="s">
        <v>1456</v>
      </c>
      <c r="G282" s="161">
        <f>MONTH(EJECUTADO[[#This Row],[FECHA]])</f>
        <v>1</v>
      </c>
      <c r="H282" s="163" t="str">
        <f>MID(EJECUTADO[[#This Row],[CUENTA]],1,4)</f>
        <v>E-05</v>
      </c>
      <c r="I282" s="163" t="str">
        <f>INDEX(CATALOGO[Descripción],MATCH(EJECUTADO[[#This Row],[APLICACIÓN]]&amp;"-00-00-00",CATALOGO[Código],0))</f>
        <v>SUELDOS DTC</v>
      </c>
      <c r="J2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282" s="161" t="str">
        <f>IF((EJECUTADO[[#This Row],[MONTO DISPONIBLE ]]-EJECUTADO[[#This Row],[MONTO SOLICITADO]])&gt;=0,"PRESUPUESTO: SI","PRESUPUESTO: NO")</f>
        <v>PRESUPUESTO: SI</v>
      </c>
      <c r="L282" s="162">
        <f>SUMIF(PRESUPUESTO[CUENTA],EJECUTADO[[#This Row],[CUENTA]],PRESUPUESTO[MONTO])-SUMIF($F$1:F281,EJECUTADO[[#This Row],[CUENTA]],$M$1:M281)</f>
        <v>416370</v>
      </c>
      <c r="M282" s="2">
        <v>12915</v>
      </c>
      <c r="N282" s="2"/>
      <c r="O282" s="2"/>
      <c r="P282" s="162">
        <f>+EJECUTADO[[#This Row],[MONTO SOLICITADO]]-EJECUTADO[[#This Row],[RETENCION IVA]]-EJECUTADO[[#This Row],[RETENCION ISR]]</f>
        <v>12915</v>
      </c>
      <c r="Q282" s="84" t="s">
        <v>1000</v>
      </c>
      <c r="R282" s="2"/>
      <c r="S282">
        <v>1</v>
      </c>
      <c r="T282" s="168" t="str">
        <f t="shared" si="8"/>
        <v>SUELDOS DTC - SUELDOS Y SALARIOS FACULTAD DE CIENCIAS SOCIALES Disponible $416370 Solicitado $12915 PRESUPUESTO: SI</v>
      </c>
    </row>
    <row r="283" spans="1:20" ht="30" x14ac:dyDescent="0.25">
      <c r="A283" s="6">
        <f t="shared" si="9"/>
        <v>282</v>
      </c>
      <c r="B283" s="21">
        <v>45322</v>
      </c>
      <c r="C283" s="17" t="s">
        <v>1418</v>
      </c>
      <c r="D283" s="65" t="s">
        <v>1458</v>
      </c>
      <c r="E283" s="65"/>
      <c r="F283" t="s">
        <v>1456</v>
      </c>
      <c r="G283" s="161">
        <f>MONTH(EJECUTADO[[#This Row],[FECHA]])</f>
        <v>1</v>
      </c>
      <c r="H283" s="163" t="str">
        <f>MID(EJECUTADO[[#This Row],[CUENTA]],1,4)</f>
        <v>E-05</v>
      </c>
      <c r="I283" s="163" t="str">
        <f>INDEX(CATALOGO[Descripción],MATCH(EJECUTADO[[#This Row],[APLICACIÓN]]&amp;"-00-00-00",CATALOGO[Código],0))</f>
        <v>SUELDOS DTC</v>
      </c>
      <c r="J2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283" s="161" t="str">
        <f>IF((EJECUTADO[[#This Row],[MONTO DISPONIBLE ]]-EJECUTADO[[#This Row],[MONTO SOLICITADO]])&gt;=0,"PRESUPUESTO: SI","PRESUPUESTO: NO")</f>
        <v>PRESUPUESTO: SI</v>
      </c>
      <c r="L283" s="162">
        <f>SUMIF(PRESUPUESTO[CUENTA],EJECUTADO[[#This Row],[CUENTA]],PRESUPUESTO[MONTO])-SUMIF($F$1:F282,EJECUTADO[[#This Row],[CUENTA]],$M$1:M282)</f>
        <v>403455</v>
      </c>
      <c r="M283" s="2">
        <v>10510</v>
      </c>
      <c r="N283" s="2"/>
      <c r="O283" s="2"/>
      <c r="P283" s="162">
        <f>+EJECUTADO[[#This Row],[MONTO SOLICITADO]]-EJECUTADO[[#This Row],[RETENCION IVA]]-EJECUTADO[[#This Row],[RETENCION ISR]]</f>
        <v>10510</v>
      </c>
      <c r="Q283" s="84" t="s">
        <v>1000</v>
      </c>
      <c r="R283" s="2"/>
      <c r="S283">
        <v>1</v>
      </c>
      <c r="T283" s="168" t="str">
        <f t="shared" si="8"/>
        <v>SUELDOS DTC - SUELDOS Y SALARIOS FACULTAD DE CIENCIAS SOCIALES Disponible $403455 Solicitado $10510 PRESUPUESTO: SI</v>
      </c>
    </row>
    <row r="284" spans="1:20" ht="30" x14ac:dyDescent="0.25">
      <c r="A284" s="6">
        <f t="shared" si="9"/>
        <v>283</v>
      </c>
      <c r="B284" s="21">
        <v>45322</v>
      </c>
      <c r="C284" s="17" t="s">
        <v>1418</v>
      </c>
      <c r="D284" s="65" t="s">
        <v>1459</v>
      </c>
      <c r="E284" s="65"/>
      <c r="F284" t="s">
        <v>1456</v>
      </c>
      <c r="G284" s="161">
        <f>MONTH(EJECUTADO[[#This Row],[FECHA]])</f>
        <v>1</v>
      </c>
      <c r="H284" s="163" t="str">
        <f>MID(EJECUTADO[[#This Row],[CUENTA]],1,4)</f>
        <v>E-05</v>
      </c>
      <c r="I284" s="163" t="str">
        <f>INDEX(CATALOGO[Descripción],MATCH(EJECUTADO[[#This Row],[APLICACIÓN]]&amp;"-00-00-00",CATALOGO[Código],0))</f>
        <v>SUELDOS DTC</v>
      </c>
      <c r="J2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284" s="161" t="str">
        <f>IF((EJECUTADO[[#This Row],[MONTO DISPONIBLE ]]-EJECUTADO[[#This Row],[MONTO SOLICITADO]])&gt;=0,"PRESUPUESTO: SI","PRESUPUESTO: NO")</f>
        <v>PRESUPUESTO: SI</v>
      </c>
      <c r="L284" s="162">
        <f>SUMIF(PRESUPUESTO[CUENTA],EJECUTADO[[#This Row],[CUENTA]],PRESUPUESTO[MONTO])-SUMIF($F$1:F283,EJECUTADO[[#This Row],[CUENTA]],$M$1:M283)</f>
        <v>392945</v>
      </c>
      <c r="M284" s="2">
        <v>10537.49</v>
      </c>
      <c r="N284" s="2"/>
      <c r="O284" s="2"/>
      <c r="P284" s="162">
        <f>+EJECUTADO[[#This Row],[MONTO SOLICITADO]]-EJECUTADO[[#This Row],[RETENCION IVA]]-EJECUTADO[[#This Row],[RETENCION ISR]]</f>
        <v>10537.49</v>
      </c>
      <c r="Q284" s="84" t="s">
        <v>1000</v>
      </c>
      <c r="R284" s="2"/>
      <c r="S284">
        <v>1</v>
      </c>
      <c r="T284" s="168" t="str">
        <f t="shared" si="8"/>
        <v>SUELDOS DTC - SUELDOS Y SALARIOS FACULTAD DE CIENCIAS SOCIALES Disponible $392945 Solicitado $10537.49 PRESUPUESTO: SI</v>
      </c>
    </row>
    <row r="285" spans="1:20" ht="30" x14ac:dyDescent="0.25">
      <c r="A285" s="6">
        <f t="shared" si="9"/>
        <v>284</v>
      </c>
      <c r="B285" s="21">
        <v>45322</v>
      </c>
      <c r="C285" s="17" t="s">
        <v>1418</v>
      </c>
      <c r="D285" s="65" t="s">
        <v>1460</v>
      </c>
      <c r="E285" s="65"/>
      <c r="F285" t="s">
        <v>1061</v>
      </c>
      <c r="G285" s="161">
        <f>MONTH(EJECUTADO[[#This Row],[FECHA]])</f>
        <v>1</v>
      </c>
      <c r="H285" s="163" t="str">
        <f>MID(EJECUTADO[[#This Row],[CUENTA]],1,4)</f>
        <v>E-04</v>
      </c>
      <c r="I285" s="163" t="str">
        <f>INDEX(CATALOGO[Descripción],MATCH(EJECUTADO[[#This Row],[APLICACIÓN]]&amp;"-00-00-00",CATALOGO[Código],0))</f>
        <v>SUELDOS ACADÉMICOS</v>
      </c>
      <c r="J2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285" s="161" t="str">
        <f>IF((EJECUTADO[[#This Row],[MONTO DISPONIBLE ]]-EJECUTADO[[#This Row],[MONTO SOLICITADO]])&gt;=0,"PRESUPUESTO: SI","PRESUPUESTO: NO")</f>
        <v>PRESUPUESTO: SI</v>
      </c>
      <c r="L285" s="162">
        <f>SUMIF(PRESUPUESTO[CUENTA],EJECUTADO[[#This Row],[CUENTA]],PRESUPUESTO[MONTO])-SUMIF($F$1:F284,EJECUTADO[[#This Row],[CUENTA]],$M$1:M284)</f>
        <v>115013.95</v>
      </c>
      <c r="M285" s="2">
        <v>3950</v>
      </c>
      <c r="N285" s="2"/>
      <c r="O285" s="2"/>
      <c r="P285" s="162">
        <f>+EJECUTADO[[#This Row],[MONTO SOLICITADO]]-EJECUTADO[[#This Row],[RETENCION IVA]]-EJECUTADO[[#This Row],[RETENCION ISR]]</f>
        <v>3950</v>
      </c>
      <c r="Q285" s="84" t="s">
        <v>1000</v>
      </c>
      <c r="R285" s="2"/>
      <c r="S285">
        <v>1</v>
      </c>
      <c r="T285" s="168" t="str">
        <f t="shared" si="8"/>
        <v>SUELDOS ACADÉMICOS - SUELDOS Y SALARIOS FACULTAD DE INFORMATICA Y CIENCIAS APLICADAS Disponible $115013.95 Solicitado $3950 PRESUPUESTO: SI</v>
      </c>
    </row>
    <row r="286" spans="1:20" ht="30" x14ac:dyDescent="0.25">
      <c r="A286" s="6">
        <f t="shared" si="9"/>
        <v>285</v>
      </c>
      <c r="B286" s="21">
        <v>45322</v>
      </c>
      <c r="C286" s="17" t="s">
        <v>1418</v>
      </c>
      <c r="D286" s="65" t="s">
        <v>1461</v>
      </c>
      <c r="E286" s="65"/>
      <c r="F286" t="s">
        <v>1462</v>
      </c>
      <c r="G286" s="161">
        <f>MONTH(EJECUTADO[[#This Row],[FECHA]])</f>
        <v>1</v>
      </c>
      <c r="H286" s="163" t="str">
        <f>MID(EJECUTADO[[#This Row],[CUENTA]],1,4)</f>
        <v>E-05</v>
      </c>
      <c r="I286" s="163" t="str">
        <f>INDEX(CATALOGO[Descripción],MATCH(EJECUTADO[[#This Row],[APLICACIÓN]]&amp;"-00-00-00",CATALOGO[Código],0))</f>
        <v>SUELDOS DTC</v>
      </c>
      <c r="J2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286" s="161" t="str">
        <f>IF((EJECUTADO[[#This Row],[MONTO DISPONIBLE ]]-EJECUTADO[[#This Row],[MONTO SOLICITADO]])&gt;=0,"PRESUPUESTO: SI","PRESUPUESTO: NO")</f>
        <v>PRESUPUESTO: SI</v>
      </c>
      <c r="L286" s="162">
        <f>SUMIF(PRESUPUESTO[CUENTA],EJECUTADO[[#This Row],[CUENTA]],PRESUPUESTO[MONTO])-SUMIF($F$1:F285,EJECUTADO[[#This Row],[CUENTA]],$M$1:M285)</f>
        <v>460700</v>
      </c>
      <c r="M286" s="2">
        <v>22538.76</v>
      </c>
      <c r="N286" s="2"/>
      <c r="O286" s="2"/>
      <c r="P286" s="162">
        <f>+EJECUTADO[[#This Row],[MONTO SOLICITADO]]-EJECUTADO[[#This Row],[RETENCION IVA]]-EJECUTADO[[#This Row],[RETENCION ISR]]</f>
        <v>22538.76</v>
      </c>
      <c r="Q286" s="84" t="s">
        <v>1000</v>
      </c>
      <c r="R286" s="2"/>
      <c r="S286">
        <v>1</v>
      </c>
      <c r="T286" s="168" t="str">
        <f t="shared" si="8"/>
        <v>SUELDOS DTC - SUELDOS Y SALARIOS FACULTAD DE INFORMATICA Y CIENCIAS APLICADAS Disponible $460700 Solicitado $22538.76 PRESUPUESTO: SI</v>
      </c>
    </row>
    <row r="287" spans="1:20" ht="45" x14ac:dyDescent="0.25">
      <c r="A287" s="6">
        <f t="shared" si="9"/>
        <v>286</v>
      </c>
      <c r="B287" s="21">
        <v>45322</v>
      </c>
      <c r="C287" s="17" t="s">
        <v>1418</v>
      </c>
      <c r="D287" s="65" t="s">
        <v>1463</v>
      </c>
      <c r="E287" s="65"/>
      <c r="F287" t="s">
        <v>1462</v>
      </c>
      <c r="G287" s="161">
        <f>MONTH(EJECUTADO[[#This Row],[FECHA]])</f>
        <v>1</v>
      </c>
      <c r="H287" s="163" t="str">
        <f>MID(EJECUTADO[[#This Row],[CUENTA]],1,4)</f>
        <v>E-05</v>
      </c>
      <c r="I287" s="163" t="str">
        <f>INDEX(CATALOGO[Descripción],MATCH(EJECUTADO[[#This Row],[APLICACIÓN]]&amp;"-00-00-00",CATALOGO[Código],0))</f>
        <v>SUELDOS DTC</v>
      </c>
      <c r="J2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287" s="161" t="str">
        <f>IF((EJECUTADO[[#This Row],[MONTO DISPONIBLE ]]-EJECUTADO[[#This Row],[MONTO SOLICITADO]])&gt;=0,"PRESUPUESTO: SI","PRESUPUESTO: NO")</f>
        <v>PRESUPUESTO: SI</v>
      </c>
      <c r="L287" s="162">
        <f>SUMIF(PRESUPUESTO[CUENTA],EJECUTADO[[#This Row],[CUENTA]],PRESUPUESTO[MONTO])-SUMIF($F$1:F286,EJECUTADO[[#This Row],[CUENTA]],$M$1:M286)</f>
        <v>438161.24</v>
      </c>
      <c r="M287" s="2">
        <v>18212.5</v>
      </c>
      <c r="N287" s="2"/>
      <c r="O287" s="2"/>
      <c r="P287" s="162">
        <f>+EJECUTADO[[#This Row],[MONTO SOLICITADO]]-EJECUTADO[[#This Row],[RETENCION IVA]]-EJECUTADO[[#This Row],[RETENCION ISR]]</f>
        <v>18212.5</v>
      </c>
      <c r="Q287" s="84" t="s">
        <v>1000</v>
      </c>
      <c r="R287" s="2"/>
      <c r="S287">
        <v>1</v>
      </c>
      <c r="T287" s="168" t="str">
        <f t="shared" si="8"/>
        <v>SUELDOS DTC - SUELDOS Y SALARIOS FACULTAD DE INFORMATICA Y CIENCIAS APLICADAS Disponible $438161.24 Solicitado $18212.5 PRESUPUESTO: SI</v>
      </c>
    </row>
    <row r="288" spans="1:20" ht="30" x14ac:dyDescent="0.25">
      <c r="A288" s="6">
        <f t="shared" si="9"/>
        <v>287</v>
      </c>
      <c r="B288" s="21">
        <v>45322</v>
      </c>
      <c r="C288" s="17" t="s">
        <v>1418</v>
      </c>
      <c r="D288" s="65" t="s">
        <v>1464</v>
      </c>
      <c r="E288" s="65"/>
      <c r="F288" t="s">
        <v>1465</v>
      </c>
      <c r="G288" s="161">
        <f>MONTH(EJECUTADO[[#This Row],[FECHA]])</f>
        <v>1</v>
      </c>
      <c r="H288" s="163" t="str">
        <f>MID(EJECUTADO[[#This Row],[CUENTA]],1,4)</f>
        <v>E-04</v>
      </c>
      <c r="I288" s="163" t="str">
        <f>INDEX(CATALOGO[Descripción],MATCH(EJECUTADO[[#This Row],[APLICACIÓN]]&amp;"-00-00-00",CATALOGO[Código],0))</f>
        <v>SUELDOS ACADÉMICOS</v>
      </c>
      <c r="J2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288" s="161" t="str">
        <f>IF((EJECUTADO[[#This Row],[MONTO DISPONIBLE ]]-EJECUTADO[[#This Row],[MONTO SOLICITADO]])&gt;=0,"PRESUPUESTO: SI","PRESUPUESTO: NO")</f>
        <v>PRESUPUESTO: SI</v>
      </c>
      <c r="L288" s="162">
        <f>SUMIF(PRESUPUESTO[CUENTA],EJECUTADO[[#This Row],[CUENTA]],PRESUPUESTO[MONTO])-SUMIF($F$1:F287,EJECUTADO[[#This Row],[CUENTA]],$M$1:M287)</f>
        <v>50700</v>
      </c>
      <c r="M288" s="2">
        <v>3440</v>
      </c>
      <c r="N288" s="2"/>
      <c r="O288" s="2"/>
      <c r="P288" s="162">
        <f>+EJECUTADO[[#This Row],[MONTO SOLICITADO]]-EJECUTADO[[#This Row],[RETENCION IVA]]-EJECUTADO[[#This Row],[RETENCION ISR]]</f>
        <v>3440</v>
      </c>
      <c r="Q288" s="84" t="s">
        <v>1000</v>
      </c>
      <c r="R288" s="2"/>
      <c r="S288">
        <v>1</v>
      </c>
      <c r="T288" s="168" t="str">
        <f t="shared" si="8"/>
        <v>SUELDOS ACADÉMICOS - SUELDOS Y SALARIOS FACULTAD DE CIENCIAS JURIDICAS Disponible $50700 Solicitado $3440 PRESUPUESTO: SI</v>
      </c>
    </row>
    <row r="289" spans="1:20" ht="30" x14ac:dyDescent="0.25">
      <c r="A289" s="6">
        <f t="shared" si="9"/>
        <v>288</v>
      </c>
      <c r="B289" s="21">
        <v>45322</v>
      </c>
      <c r="C289" s="17" t="s">
        <v>1418</v>
      </c>
      <c r="D289" s="65" t="s">
        <v>1466</v>
      </c>
      <c r="E289" s="65"/>
      <c r="F289" t="s">
        <v>1467</v>
      </c>
      <c r="G289" s="161">
        <f>MONTH(EJECUTADO[[#This Row],[FECHA]])</f>
        <v>1</v>
      </c>
      <c r="H289" s="163" t="str">
        <f>MID(EJECUTADO[[#This Row],[CUENTA]],1,4)</f>
        <v>E-05</v>
      </c>
      <c r="I289" s="163" t="str">
        <f>INDEX(CATALOGO[Descripción],MATCH(EJECUTADO[[#This Row],[APLICACIÓN]]&amp;"-00-00-00",CATALOGO[Código],0))</f>
        <v>SUELDOS DTC</v>
      </c>
      <c r="J2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289" s="161" t="str">
        <f>IF((EJECUTADO[[#This Row],[MONTO DISPONIBLE ]]-EJECUTADO[[#This Row],[MONTO SOLICITADO]])&gt;=0,"PRESUPUESTO: SI","PRESUPUESTO: NO")</f>
        <v>PRESUPUESTO: SI</v>
      </c>
      <c r="L289" s="162">
        <f>SUMIF(PRESUPUESTO[CUENTA],EJECUTADO[[#This Row],[CUENTA]],PRESUPUESTO[MONTO])-SUMIF($F$1:F288,EJECUTADO[[#This Row],[CUENTA]],$M$1:M288)</f>
        <v>184300</v>
      </c>
      <c r="M289" s="2">
        <v>8380</v>
      </c>
      <c r="N289" s="2"/>
      <c r="O289" s="2"/>
      <c r="P289" s="162">
        <f>+EJECUTADO[[#This Row],[MONTO SOLICITADO]]-EJECUTADO[[#This Row],[RETENCION IVA]]-EJECUTADO[[#This Row],[RETENCION ISR]]</f>
        <v>8380</v>
      </c>
      <c r="Q289" s="84" t="s">
        <v>1000</v>
      </c>
      <c r="R289" s="2"/>
      <c r="S289">
        <v>1</v>
      </c>
      <c r="T289" s="168" t="str">
        <f t="shared" si="8"/>
        <v>SUELDOS DTC - SUELDOS Y SALARIOS FACULTAD DE CIENCIAS JURIDICAS Disponible $184300 Solicitado $8380 PRESUPUESTO: SI</v>
      </c>
    </row>
    <row r="290" spans="1:20" ht="30" x14ac:dyDescent="0.25">
      <c r="A290" s="6">
        <f t="shared" si="9"/>
        <v>289</v>
      </c>
      <c r="B290" s="21">
        <v>45322</v>
      </c>
      <c r="C290" s="17" t="s">
        <v>1418</v>
      </c>
      <c r="D290" s="65" t="s">
        <v>649</v>
      </c>
      <c r="E290" s="65"/>
      <c r="F290" t="s">
        <v>1468</v>
      </c>
      <c r="G290" s="161">
        <f>MONTH(EJECUTADO[[#This Row],[FECHA]])</f>
        <v>1</v>
      </c>
      <c r="H290" s="163" t="str">
        <f>MID(EJECUTADO[[#This Row],[CUENTA]],1,4)</f>
        <v>E-13</v>
      </c>
      <c r="I290" s="163" t="str">
        <f>INDEX(CATALOGO[Descripción],MATCH(EJECUTADO[[#This Row],[APLICACIÓN]]&amp;"-00-00-00",CATALOGO[Código],0))</f>
        <v>MAESTRIAS Y POSTGRADOS</v>
      </c>
      <c r="J2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90" s="161" t="str">
        <f>IF((EJECUTADO[[#This Row],[MONTO DISPONIBLE ]]-EJECUTADO[[#This Row],[MONTO SOLICITADO]])&gt;=0,"PRESUPUESTO: SI","PRESUPUESTO: NO")</f>
        <v>PRESUPUESTO: SI</v>
      </c>
      <c r="L290" s="162">
        <f>SUMIF(PRESUPUESTO[CUENTA],EJECUTADO[[#This Row],[CUENTA]],PRESUPUESTO[MONTO])-SUMIF($F$1:F289,EJECUTADO[[#This Row],[CUENTA]],$M$1:M289)</f>
        <v>110211</v>
      </c>
      <c r="M290" s="2">
        <v>9926.6299999999992</v>
      </c>
      <c r="N290" s="2"/>
      <c r="O290" s="2"/>
      <c r="P290" s="162">
        <f>+EJECUTADO[[#This Row],[MONTO SOLICITADO]]-EJECUTADO[[#This Row],[RETENCION IVA]]-EJECUTADO[[#This Row],[RETENCION ISR]]</f>
        <v>9926.6299999999992</v>
      </c>
      <c r="Q290" s="84" t="s">
        <v>1000</v>
      </c>
      <c r="R290" s="2"/>
      <c r="S290">
        <v>1</v>
      </c>
      <c r="T290" s="168" t="str">
        <f t="shared" si="8"/>
        <v>MAESTRIAS Y POSTGRADOS - SUELDOS Y SALARIOS Disponible $110211 Solicitado $9926.63 PRESUPUESTO: SI</v>
      </c>
    </row>
    <row r="291" spans="1:20" ht="30" x14ac:dyDescent="0.25">
      <c r="A291" s="6">
        <f t="shared" si="9"/>
        <v>290</v>
      </c>
      <c r="B291" s="21">
        <v>45322</v>
      </c>
      <c r="C291" s="17" t="s">
        <v>1418</v>
      </c>
      <c r="D291" s="65" t="s">
        <v>1469</v>
      </c>
      <c r="E291" s="65"/>
      <c r="F291" t="s">
        <v>1470</v>
      </c>
      <c r="G291" s="161">
        <f>MONTH(EJECUTADO[[#This Row],[FECHA]])</f>
        <v>1</v>
      </c>
      <c r="H291" s="163" t="str">
        <f>MID(EJECUTADO[[#This Row],[CUENTA]],1,4)</f>
        <v>E-25</v>
      </c>
      <c r="I291" s="163" t="str">
        <f>INDEX(CATALOGO[Descripción],MATCH(EJECUTADO[[#This Row],[APLICACIÓN]]&amp;"-00-00-00",CATALOGO[Código],0))</f>
        <v>DECANATO DE ESTUDIANTES</v>
      </c>
      <c r="J2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91" s="161" t="str">
        <f>IF((EJECUTADO[[#This Row],[MONTO DISPONIBLE ]]-EJECUTADO[[#This Row],[MONTO SOLICITADO]])&gt;=0,"PRESUPUESTO: SI","PRESUPUESTO: NO")</f>
        <v>PRESUPUESTO: SI</v>
      </c>
      <c r="L291" s="162">
        <f>SUMIF(PRESUPUESTO[CUENTA],EJECUTADO[[#This Row],[CUENTA]],PRESUPUESTO[MONTO])-SUMIF($F$1:F290,EJECUTADO[[#This Row],[CUENTA]],$M$1:M290)</f>
        <v>57200</v>
      </c>
      <c r="M291" s="2">
        <v>4700</v>
      </c>
      <c r="N291" s="2"/>
      <c r="O291" s="2"/>
      <c r="P291" s="162">
        <f>+EJECUTADO[[#This Row],[MONTO SOLICITADO]]-EJECUTADO[[#This Row],[RETENCION IVA]]-EJECUTADO[[#This Row],[RETENCION ISR]]</f>
        <v>4700</v>
      </c>
      <c r="Q291" s="84" t="s">
        <v>1000</v>
      </c>
      <c r="R291" s="2"/>
      <c r="S291">
        <v>1</v>
      </c>
      <c r="T291" s="168" t="str">
        <f t="shared" si="8"/>
        <v>DECANATO DE ESTUDIANTES - SUELDOS Y SALARIOS Disponible $57200 Solicitado $4700 PRESUPUESTO: SI</v>
      </c>
    </row>
    <row r="292" spans="1:20" x14ac:dyDescent="0.25">
      <c r="A292" s="6">
        <f t="shared" si="9"/>
        <v>291</v>
      </c>
      <c r="B292" s="21">
        <v>45322</v>
      </c>
      <c r="C292" s="17" t="s">
        <v>1418</v>
      </c>
      <c r="D292" s="65" t="s">
        <v>1471</v>
      </c>
      <c r="E292" s="65"/>
      <c r="F292" t="s">
        <v>1472</v>
      </c>
      <c r="G292" s="161">
        <f>MONTH(EJECUTADO[[#This Row],[FECHA]])</f>
        <v>1</v>
      </c>
      <c r="H292" s="163" t="str">
        <f>MID(EJECUTADO[[#This Row],[CUENTA]],1,4)</f>
        <v>E-25</v>
      </c>
      <c r="I292" s="163" t="str">
        <f>INDEX(CATALOGO[Descripción],MATCH(EJECUTADO[[#This Row],[APLICACIÓN]]&amp;"-00-00-00",CATALOGO[Código],0))</f>
        <v>DECANATO DE ESTUDIANTES</v>
      </c>
      <c r="J2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UNIDAD DE TUTORES- SUELDOS Y SALARIOS</v>
      </c>
      <c r="K292" s="161" t="str">
        <f>IF((EJECUTADO[[#This Row],[MONTO DISPONIBLE ]]-EJECUTADO[[#This Row],[MONTO SOLICITADO]])&gt;=0,"PRESUPUESTO: SI","PRESUPUESTO: NO")</f>
        <v>PRESUPUESTO: SI</v>
      </c>
      <c r="L292" s="162">
        <f>SUMIF(PRESUPUESTO[CUENTA],EJECUTADO[[#This Row],[CUENTA]],PRESUPUESTO[MONTO])-SUMIF($F$1:F291,EJECUTADO[[#This Row],[CUENTA]],$M$1:M291)</f>
        <v>27300</v>
      </c>
      <c r="M292" s="2">
        <v>2100</v>
      </c>
      <c r="N292" s="2"/>
      <c r="O292" s="2"/>
      <c r="P292" s="162">
        <f>+EJECUTADO[[#This Row],[MONTO SOLICITADO]]-EJECUTADO[[#This Row],[RETENCION IVA]]-EJECUTADO[[#This Row],[RETENCION ISR]]</f>
        <v>2100</v>
      </c>
      <c r="Q292" s="84" t="s">
        <v>1000</v>
      </c>
      <c r="R292" s="2"/>
      <c r="S292">
        <v>1</v>
      </c>
      <c r="T292" s="168" t="str">
        <f t="shared" si="8"/>
        <v>DECANATO DE ESTUDIANTES - UNIDAD DE TUTORES- SUELDOS Y SALARIOS Disponible $27300 Solicitado $2100 PRESUPUESTO: SI</v>
      </c>
    </row>
    <row r="293" spans="1:20" x14ac:dyDescent="0.25">
      <c r="A293" s="6">
        <f t="shared" si="9"/>
        <v>292</v>
      </c>
      <c r="B293" s="21">
        <v>45322</v>
      </c>
      <c r="C293" s="17" t="s">
        <v>1418</v>
      </c>
      <c r="D293" s="65" t="s">
        <v>1473</v>
      </c>
      <c r="F293" t="s">
        <v>1474</v>
      </c>
      <c r="G293" s="161">
        <f>MONTH(EJECUTADO[[#This Row],[FECHA]])</f>
        <v>1</v>
      </c>
      <c r="H293" s="163" t="str">
        <f>MID(EJECUTADO[[#This Row],[CUENTA]],1,4)</f>
        <v>E-25</v>
      </c>
      <c r="I293" s="163" t="str">
        <f>INDEX(CATALOGO[Descripción],MATCH(EJECUTADO[[#This Row],[APLICACIÓN]]&amp;"-00-00-00",CATALOGO[Código],0))</f>
        <v>DECANATO DE ESTUDIANTES</v>
      </c>
      <c r="J2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PASANTIAS- SUELDOS Y SALARIOS</v>
      </c>
      <c r="K293" s="161" t="str">
        <f>IF((EJECUTADO[[#This Row],[MONTO DISPONIBLE ]]-EJECUTADO[[#This Row],[MONTO SOLICITADO]])&gt;=0,"PRESUPUESTO: SI","PRESUPUESTO: NO")</f>
        <v>PRESUPUESTO: SI</v>
      </c>
      <c r="L293" s="162">
        <f>SUMIF(PRESUPUESTO[CUENTA],EJECUTADO[[#This Row],[CUENTA]],PRESUPUESTO[MONTO])-SUMIF($F$1:F292,EJECUTADO[[#This Row],[CUENTA]],$M$1:M292)</f>
        <v>9100</v>
      </c>
      <c r="M293" s="2">
        <v>1500</v>
      </c>
      <c r="N293" s="2"/>
      <c r="O293" s="2"/>
      <c r="P293" s="162">
        <f>+EJECUTADO[[#This Row],[MONTO SOLICITADO]]-EJECUTADO[[#This Row],[RETENCION IVA]]-EJECUTADO[[#This Row],[RETENCION ISR]]</f>
        <v>1500</v>
      </c>
      <c r="Q293" s="84" t="s">
        <v>1000</v>
      </c>
      <c r="R293" s="2"/>
      <c r="S293">
        <v>1</v>
      </c>
      <c r="T293" s="168" t="str">
        <f t="shared" si="8"/>
        <v>DECANATO DE ESTUDIANTES - PASANTIAS- SUELDOS Y SALARIOS Disponible $9100 Solicitado $1500 PRESUPUESTO: SI</v>
      </c>
    </row>
    <row r="294" spans="1:20" ht="30" x14ac:dyDescent="0.25">
      <c r="A294" s="6">
        <f t="shared" si="9"/>
        <v>293</v>
      </c>
      <c r="B294" s="21">
        <v>45322</v>
      </c>
      <c r="C294" s="17" t="s">
        <v>1418</v>
      </c>
      <c r="D294" s="65" t="s">
        <v>1475</v>
      </c>
      <c r="E294" s="65"/>
      <c r="F294" t="s">
        <v>1476</v>
      </c>
      <c r="G294" s="161">
        <f>MONTH(EJECUTADO[[#This Row],[FECHA]])</f>
        <v>1</v>
      </c>
      <c r="H294" s="163" t="str">
        <f>MID(EJECUTADO[[#This Row],[CUENTA]],1,4)</f>
        <v>E-25</v>
      </c>
      <c r="I294" s="163" t="str">
        <f>INDEX(CATALOGO[Descripción],MATCH(EJECUTADO[[#This Row],[APLICACIÓN]]&amp;"-00-00-00",CATALOGO[Código],0))</f>
        <v>DECANATO DE ESTUDIANTES</v>
      </c>
      <c r="J2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SERVICIO SOCIAL - SUELDOS Y SALARIOS</v>
      </c>
      <c r="K294" s="161" t="str">
        <f>IF((EJECUTADO[[#This Row],[MONTO DISPONIBLE ]]-EJECUTADO[[#This Row],[MONTO SOLICITADO]])&gt;=0,"PRESUPUESTO: SI","PRESUPUESTO: NO")</f>
        <v>PRESUPUESTO: SI</v>
      </c>
      <c r="L294" s="162">
        <f>SUMIF(PRESUPUESTO[CUENTA],EJECUTADO[[#This Row],[CUENTA]],PRESUPUESTO[MONTO])-SUMIF($F$1:F293,EJECUTADO[[#This Row],[CUENTA]],$M$1:M293)</f>
        <v>19500</v>
      </c>
      <c r="M294" s="2">
        <v>400</v>
      </c>
      <c r="N294" s="2"/>
      <c r="O294" s="2"/>
      <c r="P294" s="162">
        <f>+EJECUTADO[[#This Row],[MONTO SOLICITADO]]-EJECUTADO[[#This Row],[RETENCION IVA]]-EJECUTADO[[#This Row],[RETENCION ISR]]</f>
        <v>400</v>
      </c>
      <c r="Q294" s="84" t="s">
        <v>1000</v>
      </c>
      <c r="R294" s="2"/>
      <c r="S294">
        <v>1</v>
      </c>
      <c r="T294" s="168" t="str">
        <f t="shared" si="8"/>
        <v>DECANATO DE ESTUDIANTES - U. SERVICIO SOCIAL - SUELDOS Y SALARIOS Disponible $19500 Solicitado $400 PRESUPUESTO: SI</v>
      </c>
    </row>
    <row r="295" spans="1:20" ht="30" x14ac:dyDescent="0.25">
      <c r="A295" s="6">
        <f t="shared" si="9"/>
        <v>294</v>
      </c>
      <c r="B295" s="21">
        <v>45322</v>
      </c>
      <c r="C295" s="17" t="s">
        <v>1418</v>
      </c>
      <c r="D295" s="65" t="s">
        <v>1477</v>
      </c>
      <c r="E295" s="65"/>
      <c r="F295" t="s">
        <v>1478</v>
      </c>
      <c r="G295" s="161">
        <f>MONTH(EJECUTADO[[#This Row],[FECHA]])</f>
        <v>1</v>
      </c>
      <c r="H295" s="163" t="str">
        <f>MID(EJECUTADO[[#This Row],[CUENTA]],1,4)</f>
        <v>E-25</v>
      </c>
      <c r="I295" s="163" t="str">
        <f>INDEX(CATALOGO[Descripción],MATCH(EJECUTADO[[#This Row],[APLICACIÓN]]&amp;"-00-00-00",CATALOGO[Código],0))</f>
        <v>DECANATO DE ESTUDIANTES</v>
      </c>
      <c r="J2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U. recreación y deportes - Sueldo Encargado Unidad $ 750.00 </v>
      </c>
      <c r="K295" s="161" t="str">
        <f>IF((EJECUTADO[[#This Row],[MONTO DISPONIBLE ]]-EJECUTADO[[#This Row],[MONTO SOLICITADO]])&gt;=0,"PRESUPUESTO: SI","PRESUPUESTO: NO")</f>
        <v>PRESUPUESTO: SI</v>
      </c>
      <c r="L295" s="162">
        <f>SUMIF(PRESUPUESTO[CUENTA],EJECUTADO[[#This Row],[CUENTA]],PRESUPUESTO[MONTO])-SUMIF($F$1:F294,EJECUTADO[[#This Row],[CUENTA]],$M$1:M294)</f>
        <v>9750</v>
      </c>
      <c r="M295" s="2">
        <v>1250</v>
      </c>
      <c r="N295" s="2"/>
      <c r="O295" s="2"/>
      <c r="P295" s="162">
        <f>+EJECUTADO[[#This Row],[MONTO SOLICITADO]]-EJECUTADO[[#This Row],[RETENCION IVA]]-EJECUTADO[[#This Row],[RETENCION ISR]]</f>
        <v>1250</v>
      </c>
      <c r="Q295" s="84" t="s">
        <v>1000</v>
      </c>
      <c r="R295" s="2"/>
      <c r="S295">
        <v>1</v>
      </c>
      <c r="T295" s="168" t="str">
        <f t="shared" si="8"/>
        <v>DECANATO DE ESTUDIANTES - U. recreación y deportes - Sueldo Encargado Unidad $ 750.00  Disponible $9750 Solicitado $1250 PRESUPUESTO: SI</v>
      </c>
    </row>
    <row r="296" spans="1:20" ht="30" x14ac:dyDescent="0.25">
      <c r="A296" s="6">
        <f t="shared" si="9"/>
        <v>295</v>
      </c>
      <c r="B296" s="21">
        <v>45322</v>
      </c>
      <c r="C296" s="17" t="s">
        <v>1418</v>
      </c>
      <c r="D296" s="65" t="s">
        <v>240</v>
      </c>
      <c r="E296" s="65"/>
      <c r="F296" t="s">
        <v>1479</v>
      </c>
      <c r="G296" s="161">
        <f>MONTH(EJECUTADO[[#This Row],[FECHA]])</f>
        <v>1</v>
      </c>
      <c r="H296" s="163" t="str">
        <f>MID(EJECUTADO[[#This Row],[CUENTA]],1,4)</f>
        <v>E-03</v>
      </c>
      <c r="I296" s="163" t="str">
        <f>INDEX(CATALOGO[Descripción],MATCH(EJECUTADO[[#This Row],[APLICACIÓN]]&amp;"-00-00-00",CATALOGO[Código],0))</f>
        <v>SUELDOS ADMINISTRATIVOS</v>
      </c>
      <c r="J2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CLINICA EMPRESARIAL</v>
      </c>
      <c r="K296" s="161" t="str">
        <f>IF((EJECUTADO[[#This Row],[MONTO DISPONIBLE ]]-EJECUTADO[[#This Row],[MONTO SOLICITADO]])&gt;=0,"PRESUPUESTO: SI","PRESUPUESTO: NO")</f>
        <v>PRESUPUESTO: SI</v>
      </c>
      <c r="L296" s="162">
        <f>SUMIF(PRESUPUESTO[CUENTA],EJECUTADO[[#This Row],[CUENTA]],PRESUPUESTO[MONTO])-SUMIF($F$1:F295,EJECUTADO[[#This Row],[CUENTA]],$M$1:M295)</f>
        <v>34000</v>
      </c>
      <c r="M296" s="2">
        <v>2628.58</v>
      </c>
      <c r="N296" s="2"/>
      <c r="O296" s="2"/>
      <c r="P296" s="162">
        <f>+EJECUTADO[[#This Row],[MONTO SOLICITADO]]-EJECUTADO[[#This Row],[RETENCION IVA]]-EJECUTADO[[#This Row],[RETENCION ISR]]</f>
        <v>2628.58</v>
      </c>
      <c r="Q296" s="84" t="s">
        <v>1000</v>
      </c>
      <c r="R296" s="2"/>
      <c r="S296">
        <v>1</v>
      </c>
      <c r="T296" s="168" t="str">
        <f t="shared" si="8"/>
        <v>SUELDOS ADMINISTRATIVOS - SUELDOS Y SALARIOS CLINICA EMPRESARIAL Disponible $34000 Solicitado $2628.58 PRESUPUESTO: SI</v>
      </c>
    </row>
    <row r="297" spans="1:20" ht="45" x14ac:dyDescent="0.25">
      <c r="A297" s="6">
        <f t="shared" si="9"/>
        <v>296</v>
      </c>
      <c r="B297" s="21">
        <v>45322</v>
      </c>
      <c r="C297" s="17" t="s">
        <v>1418</v>
      </c>
      <c r="D297" s="65" t="s">
        <v>1480</v>
      </c>
      <c r="E297" s="65"/>
      <c r="F297" t="s">
        <v>1481</v>
      </c>
      <c r="G297" s="161">
        <f>MONTH(EJECUTADO[[#This Row],[FECHA]])</f>
        <v>1</v>
      </c>
      <c r="H297" s="163" t="str">
        <f>MID(EJECUTADO[[#This Row],[CUENTA]],1,4)</f>
        <v>E-11</v>
      </c>
      <c r="I297" s="163" t="str">
        <f>INDEX(CATALOGO[Descripción],MATCH(EJECUTADO[[#This Row],[APLICACIÓN]]&amp;"-00-00-00",CATALOGO[Código],0))</f>
        <v>INVESTIGACIONES</v>
      </c>
      <c r="J2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97" s="161" t="str">
        <f>IF((EJECUTADO[[#This Row],[MONTO DISPONIBLE ]]-EJECUTADO[[#This Row],[MONTO SOLICITADO]])&gt;=0,"PRESUPUESTO: SI","PRESUPUESTO: NO")</f>
        <v>PRESUPUESTO: SI</v>
      </c>
      <c r="L297" s="162">
        <f>SUMIF(PRESUPUESTO[CUENTA],EJECUTADO[[#This Row],[CUENTA]],PRESUPUESTO[MONTO])-SUMIF($F$1:F296,EJECUTADO[[#This Row],[CUENTA]],$M$1:M296)</f>
        <v>270257</v>
      </c>
      <c r="M297" s="2">
        <v>6350</v>
      </c>
      <c r="N297" s="2"/>
      <c r="O297" s="2"/>
      <c r="P297" s="162">
        <f>+EJECUTADO[[#This Row],[MONTO SOLICITADO]]-EJECUTADO[[#This Row],[RETENCION IVA]]-EJECUTADO[[#This Row],[RETENCION ISR]]</f>
        <v>6350</v>
      </c>
      <c r="Q297" s="84" t="s">
        <v>1000</v>
      </c>
      <c r="R297" s="2"/>
      <c r="S297">
        <v>1</v>
      </c>
      <c r="T297" s="168" t="str">
        <f t="shared" si="8"/>
        <v>INVESTIGACIONES - SUELDOS Y SALARIOS Disponible $270257 Solicitado $6350 PRESUPUESTO: SI</v>
      </c>
    </row>
    <row r="298" spans="1:20" x14ac:dyDescent="0.25">
      <c r="A298" s="6">
        <f t="shared" si="9"/>
        <v>297</v>
      </c>
      <c r="B298" s="21">
        <v>45322</v>
      </c>
      <c r="C298" s="17" t="s">
        <v>1418</v>
      </c>
      <c r="D298" s="65" t="s">
        <v>255</v>
      </c>
      <c r="E298" s="65"/>
      <c r="F298" t="s">
        <v>1481</v>
      </c>
      <c r="G298" s="161">
        <f>MONTH(EJECUTADO[[#This Row],[FECHA]])</f>
        <v>1</v>
      </c>
      <c r="H298" s="163" t="str">
        <f>MID(EJECUTADO[[#This Row],[CUENTA]],1,4)</f>
        <v>E-11</v>
      </c>
      <c r="I298" s="163" t="str">
        <f>INDEX(CATALOGO[Descripción],MATCH(EJECUTADO[[#This Row],[APLICACIÓN]]&amp;"-00-00-00",CATALOGO[Código],0))</f>
        <v>INVESTIGACIONES</v>
      </c>
      <c r="J2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98" s="161" t="str">
        <f>IF((EJECUTADO[[#This Row],[MONTO DISPONIBLE ]]-EJECUTADO[[#This Row],[MONTO SOLICITADO]])&gt;=0,"PRESUPUESTO: SI","PRESUPUESTO: NO")</f>
        <v>PRESUPUESTO: SI</v>
      </c>
      <c r="L298" s="162">
        <f>SUMIF(PRESUPUESTO[CUENTA],EJECUTADO[[#This Row],[CUENTA]],PRESUPUESTO[MONTO])-SUMIF($F$1:F297,EJECUTADO[[#This Row],[CUENTA]],$M$1:M297)</f>
        <v>263907</v>
      </c>
      <c r="M298" s="2">
        <v>12836.67</v>
      </c>
      <c r="N298" s="2"/>
      <c r="O298" s="2"/>
      <c r="P298" s="162">
        <f>+EJECUTADO[[#This Row],[MONTO SOLICITADO]]-EJECUTADO[[#This Row],[RETENCION IVA]]-EJECUTADO[[#This Row],[RETENCION ISR]]</f>
        <v>12836.67</v>
      </c>
      <c r="Q298" s="84" t="s">
        <v>1000</v>
      </c>
      <c r="R298" s="2"/>
      <c r="S298">
        <v>1</v>
      </c>
      <c r="T298" s="168" t="str">
        <f t="shared" si="8"/>
        <v>INVESTIGACIONES - SUELDOS Y SALARIOS Disponible $263907 Solicitado $12836.67 PRESUPUESTO: SI</v>
      </c>
    </row>
    <row r="299" spans="1:20" ht="45" x14ac:dyDescent="0.25">
      <c r="A299" s="6">
        <f t="shared" si="9"/>
        <v>298</v>
      </c>
      <c r="B299" s="21">
        <v>45322</v>
      </c>
      <c r="C299" s="17" t="s">
        <v>1418</v>
      </c>
      <c r="D299" s="65" t="s">
        <v>1482</v>
      </c>
      <c r="E299" s="65"/>
      <c r="F299" t="s">
        <v>1483</v>
      </c>
      <c r="G299" s="161">
        <f>MONTH(EJECUTADO[[#This Row],[FECHA]])</f>
        <v>1</v>
      </c>
      <c r="H299" s="163" t="str">
        <f>MID(EJECUTADO[[#This Row],[CUENTA]],1,4)</f>
        <v>E-12</v>
      </c>
      <c r="I299" s="163" t="str">
        <f>INDEX(CATALOGO[Descripción],MATCH(EJECUTADO[[#This Row],[APLICACIÓN]]&amp;"-00-00-00",CATALOGO[Código],0))</f>
        <v>PROYECCION SOCIAL</v>
      </c>
      <c r="J2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299" s="161" t="str">
        <f>IF((EJECUTADO[[#This Row],[MONTO DISPONIBLE ]]-EJECUTADO[[#This Row],[MONTO SOLICITADO]])&gt;=0,"PRESUPUESTO: SI","PRESUPUESTO: NO")</f>
        <v>PRESUPUESTO: SI</v>
      </c>
      <c r="L299" s="162">
        <f>SUMIF(PRESUPUESTO[CUENTA],EJECUTADO[[#This Row],[CUENTA]],PRESUPUESTO[MONTO])-SUMIF($F$1:F298,EJECUTADO[[#This Row],[CUENTA]],$M$1:M298)</f>
        <v>53950</v>
      </c>
      <c r="M299" s="2">
        <v>5923.56</v>
      </c>
      <c r="N299" s="2"/>
      <c r="O299" s="2"/>
      <c r="P299" s="162">
        <f>+EJECUTADO[[#This Row],[MONTO SOLICITADO]]-EJECUTADO[[#This Row],[RETENCION IVA]]-EJECUTADO[[#This Row],[RETENCION ISR]]</f>
        <v>5923.56</v>
      </c>
      <c r="Q299" s="84" t="s">
        <v>1000</v>
      </c>
      <c r="R299" s="2"/>
      <c r="S299">
        <v>1</v>
      </c>
      <c r="T299" s="168" t="str">
        <f t="shared" si="8"/>
        <v>PROYECCION SOCIAL - SUELDOS Y SALARIOS Disponible $53950 Solicitado $5923.56 PRESUPUESTO: SI</v>
      </c>
    </row>
    <row r="300" spans="1:20" ht="30" x14ac:dyDescent="0.25">
      <c r="A300" s="6">
        <f t="shared" si="9"/>
        <v>299</v>
      </c>
      <c r="B300" s="21">
        <v>45322</v>
      </c>
      <c r="C300" s="17" t="s">
        <v>1418</v>
      </c>
      <c r="D300" s="65" t="s">
        <v>668</v>
      </c>
      <c r="E300" s="65"/>
      <c r="F300" t="s">
        <v>1484</v>
      </c>
      <c r="G300" s="161">
        <f>MONTH(EJECUTADO[[#This Row],[FECHA]])</f>
        <v>1</v>
      </c>
      <c r="H300" s="163" t="str">
        <f>MID(EJECUTADO[[#This Row],[CUENTA]],1,4)</f>
        <v>E-04</v>
      </c>
      <c r="I300" s="163" t="str">
        <f>INDEX(CATALOGO[Descripción],MATCH(EJECUTADO[[#This Row],[APLICACIÓN]]&amp;"-00-00-00",CATALOGO[Código],0))</f>
        <v>SUELDOS ACADÉMICOS</v>
      </c>
      <c r="J3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ADMÓN ACADÉMICA</v>
      </c>
      <c r="K300" s="161" t="str">
        <f>IF((EJECUTADO[[#This Row],[MONTO DISPONIBLE ]]-EJECUTADO[[#This Row],[MONTO SOLICITADO]])&gt;=0,"PRESUPUESTO: SI","PRESUPUESTO: NO")</f>
        <v>PRESUPUESTO: SI</v>
      </c>
      <c r="L300" s="162">
        <f>SUMIF(PRESUPUESTO[CUENTA],EJECUTADO[[#This Row],[CUENTA]],PRESUPUESTO[MONTO])-SUMIF($F$1:F299,EJECUTADO[[#This Row],[CUENTA]],$M$1:M299)</f>
        <v>111250</v>
      </c>
      <c r="M300" s="2">
        <v>10750</v>
      </c>
      <c r="N300" s="2"/>
      <c r="O300" s="2"/>
      <c r="P300" s="162">
        <f>+EJECUTADO[[#This Row],[MONTO SOLICITADO]]-EJECUTADO[[#This Row],[RETENCION IVA]]-EJECUTADO[[#This Row],[RETENCION ISR]]</f>
        <v>10750</v>
      </c>
      <c r="Q300" s="84" t="s">
        <v>1000</v>
      </c>
      <c r="R300" s="2"/>
      <c r="S300">
        <v>1</v>
      </c>
      <c r="T300" s="168" t="str">
        <f t="shared" si="8"/>
        <v>SUELDOS ACADÉMICOS - SUELDOS Y SALARIOS ADMÓN ACADÉMICA Disponible $111250 Solicitado $10750 PRESUPUESTO: SI</v>
      </c>
    </row>
    <row r="301" spans="1:20" x14ac:dyDescent="0.25">
      <c r="A301" s="6">
        <f t="shared" si="9"/>
        <v>300</v>
      </c>
      <c r="B301" s="21">
        <v>45322</v>
      </c>
      <c r="C301" s="17" t="s">
        <v>1418</v>
      </c>
      <c r="D301" s="65" t="s">
        <v>40</v>
      </c>
      <c r="E301" s="65"/>
      <c r="F301" t="s">
        <v>1485</v>
      </c>
      <c r="G301" s="161">
        <f>MONTH(EJECUTADO[[#This Row],[FECHA]])</f>
        <v>1</v>
      </c>
      <c r="H301" s="163" t="str">
        <f>MID(EJECUTADO[[#This Row],[CUENTA]],1,4)</f>
        <v>E-16</v>
      </c>
      <c r="I301" s="163" t="str">
        <f>INDEX(CATALOGO[Descripción],MATCH(EJECUTADO[[#This Row],[APLICACIÓN]]&amp;"-00-00-00",CATALOGO[Código],0))</f>
        <v xml:space="preserve">PRE-ESPECIALIDAD </v>
      </c>
      <c r="J3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</v>
      </c>
      <c r="K301" s="161" t="str">
        <f>IF((EJECUTADO[[#This Row],[MONTO DISPONIBLE ]]-EJECUTADO[[#This Row],[MONTO SOLICITADO]])&gt;=0,"PRESUPUESTO: SI","PRESUPUESTO: NO")</f>
        <v>PRESUPUESTO: SI</v>
      </c>
      <c r="L301" s="162">
        <f>SUMIF(PRESUPUESTO[CUENTA],EJECUTADO[[#This Row],[CUENTA]],PRESUPUESTO[MONTO])-SUMIF($F$1:F300,EJECUTADO[[#This Row],[CUENTA]],$M$1:M300)</f>
        <v>30550</v>
      </c>
      <c r="M301" s="2">
        <v>1950</v>
      </c>
      <c r="N301" s="2"/>
      <c r="O301" s="2"/>
      <c r="P301" s="162">
        <f>+EJECUTADO[[#This Row],[MONTO SOLICITADO]]-EJECUTADO[[#This Row],[RETENCION IVA]]-EJECUTADO[[#This Row],[RETENCION ISR]]</f>
        <v>1950</v>
      </c>
      <c r="Q301" s="84" t="s">
        <v>1000</v>
      </c>
      <c r="R301" s="2"/>
      <c r="S301">
        <v>1</v>
      </c>
      <c r="T301" s="168" t="str">
        <f t="shared" si="8"/>
        <v>PRE-ESPECIALIDAD  - SUELDOS Y SALARIOS  Disponible $30550 Solicitado $1950 PRESUPUESTO: SI</v>
      </c>
    </row>
    <row r="302" spans="1:20" x14ac:dyDescent="0.25">
      <c r="A302" s="6">
        <f t="shared" si="9"/>
        <v>301</v>
      </c>
      <c r="B302" s="21">
        <v>45322</v>
      </c>
      <c r="C302" s="17" t="s">
        <v>1418</v>
      </c>
      <c r="D302" s="65" t="s">
        <v>1486</v>
      </c>
      <c r="E302" s="65"/>
      <c r="F302" t="s">
        <v>1487</v>
      </c>
      <c r="G302" s="161">
        <f>MONTH(EJECUTADO[[#This Row],[FECHA]])</f>
        <v>1</v>
      </c>
      <c r="H302" s="163" t="str">
        <f>MID(EJECUTADO[[#This Row],[CUENTA]],1,4)</f>
        <v>E-04</v>
      </c>
      <c r="I302" s="163" t="str">
        <f>INDEX(CATALOGO[Descripción],MATCH(EJECUTADO[[#This Row],[APLICACIÓN]]&amp;"-00-00-00",CATALOGO[Código],0))</f>
        <v>SUELDOS ACADÉMICOS</v>
      </c>
      <c r="J3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INFORMÁTICA</v>
      </c>
      <c r="K302" s="161" t="str">
        <f>IF((EJECUTADO[[#This Row],[MONTO DISPONIBLE ]]-EJECUTADO[[#This Row],[MONTO SOLICITADO]])&gt;=0,"PRESUPUESTO: SI","PRESUPUESTO: NO")</f>
        <v>PRESUPUESTO: SI</v>
      </c>
      <c r="L302" s="162">
        <f>SUMIF(PRESUPUESTO[CUENTA],EJECUTADO[[#This Row],[CUENTA]],PRESUPUESTO[MONTO])-SUMIF($F$1:F301,EJECUTADO[[#This Row],[CUENTA]],$M$1:M301)</f>
        <v>170950</v>
      </c>
      <c r="M302" s="2">
        <v>13143.34</v>
      </c>
      <c r="N302" s="2"/>
      <c r="O302" s="2"/>
      <c r="P302" s="162">
        <f>+EJECUTADO[[#This Row],[MONTO SOLICITADO]]-EJECUTADO[[#This Row],[RETENCION IVA]]-EJECUTADO[[#This Row],[RETENCION ISR]]</f>
        <v>13143.34</v>
      </c>
      <c r="Q302" s="84" t="s">
        <v>1000</v>
      </c>
      <c r="R302" s="2"/>
      <c r="S302">
        <v>1</v>
      </c>
      <c r="T302" s="168" t="str">
        <f t="shared" si="8"/>
        <v>SUELDOS ACADÉMICOS - SUELDOS Y SALARIOS DIRECCIÓN DE INFORMÁTICA Disponible $170950 Solicitado $13143.34 PRESUPUESTO: SI</v>
      </c>
    </row>
    <row r="303" spans="1:20" ht="30" x14ac:dyDescent="0.25">
      <c r="A303" s="6">
        <f t="shared" si="9"/>
        <v>302</v>
      </c>
      <c r="B303" s="21">
        <v>45322</v>
      </c>
      <c r="C303" s="17" t="s">
        <v>1418</v>
      </c>
      <c r="D303" s="65" t="s">
        <v>936</v>
      </c>
      <c r="E303" s="65"/>
      <c r="F303" t="s">
        <v>1488</v>
      </c>
      <c r="G303" s="161">
        <f>MONTH(EJECUTADO[[#This Row],[FECHA]])</f>
        <v>1</v>
      </c>
      <c r="H303" s="163" t="str">
        <f>MID(EJECUTADO[[#This Row],[CUENTA]],1,4)</f>
        <v>E-04</v>
      </c>
      <c r="I303" s="163" t="str">
        <f>INDEX(CATALOGO[Descripción],MATCH(EJECUTADO[[#This Row],[APLICACIÓN]]&amp;"-00-00-00",CATALOGO[Código],0))</f>
        <v>SUELDOS ACADÉMICOS</v>
      </c>
      <c r="J3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RELACIONES INTERNACIONALES</v>
      </c>
      <c r="K303" s="161" t="str">
        <f>IF((EJECUTADO[[#This Row],[MONTO DISPONIBLE ]]-EJECUTADO[[#This Row],[MONTO SOLICITADO]])&gt;=0,"PRESUPUESTO: SI","PRESUPUESTO: NO")</f>
        <v>PRESUPUESTO: SI</v>
      </c>
      <c r="L303" s="162">
        <f>SUMIF(PRESUPUESTO[CUENTA],EJECUTADO[[#This Row],[CUENTA]],PRESUPUESTO[MONTO])-SUMIF($F$1:F302,EJECUTADO[[#This Row],[CUENTA]],$M$1:M302)</f>
        <v>48100</v>
      </c>
      <c r="M303" s="2">
        <v>3700</v>
      </c>
      <c r="N303" s="2"/>
      <c r="O303" s="2"/>
      <c r="P303" s="162">
        <f>+EJECUTADO[[#This Row],[MONTO SOLICITADO]]-EJECUTADO[[#This Row],[RETENCION IVA]]-EJECUTADO[[#This Row],[RETENCION ISR]]</f>
        <v>3700</v>
      </c>
      <c r="Q303" s="84" t="s">
        <v>1000</v>
      </c>
      <c r="R303" s="2"/>
      <c r="S303">
        <v>1</v>
      </c>
      <c r="T303" s="168" t="str">
        <f t="shared" si="8"/>
        <v>SUELDOS ACADÉMICOS - SUELDOS Y SALARIOS RELACIONES INTERNACIONALES Disponible $48100 Solicitado $3700 PRESUPUESTO: SI</v>
      </c>
    </row>
    <row r="304" spans="1:20" ht="45" x14ac:dyDescent="0.25">
      <c r="A304" s="6">
        <f t="shared" si="9"/>
        <v>303</v>
      </c>
      <c r="B304" s="21">
        <v>45322</v>
      </c>
      <c r="C304" s="17" t="s">
        <v>1418</v>
      </c>
      <c r="D304" s="65" t="s">
        <v>1489</v>
      </c>
      <c r="E304" s="65"/>
      <c r="F304" t="s">
        <v>1490</v>
      </c>
      <c r="G304" s="161">
        <f>MONTH(EJECUTADO[[#This Row],[FECHA]])</f>
        <v>1</v>
      </c>
      <c r="H304" s="163" t="str">
        <f>MID(EJECUTADO[[#This Row],[CUENTA]],1,4)</f>
        <v>E-04</v>
      </c>
      <c r="I304" s="163" t="str">
        <f>INDEX(CATALOGO[Descripción],MATCH(EJECUTADO[[#This Row],[APLICACIÓN]]&amp;"-00-00-00",CATALOGO[Código],0))</f>
        <v>SUELDOS ACADÉMICOS</v>
      </c>
      <c r="J3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EDUCACIÓN VIRTUAL</v>
      </c>
      <c r="K304" s="161" t="str">
        <f>IF((EJECUTADO[[#This Row],[MONTO DISPONIBLE ]]-EJECUTADO[[#This Row],[MONTO SOLICITADO]])&gt;=0,"PRESUPUESTO: SI","PRESUPUESTO: NO")</f>
        <v>PRESUPUESTO: SI</v>
      </c>
      <c r="L304" s="162">
        <f>SUMIF(PRESUPUESTO[CUENTA],EJECUTADO[[#This Row],[CUENTA]],PRESUPUESTO[MONTO])-SUMIF($F$1:F303,EJECUTADO[[#This Row],[CUENTA]],$M$1:M303)</f>
        <v>87750</v>
      </c>
      <c r="M304" s="2">
        <v>5450</v>
      </c>
      <c r="N304" s="2"/>
      <c r="O304" s="2"/>
      <c r="P304" s="162">
        <f>+EJECUTADO[[#This Row],[MONTO SOLICITADO]]-EJECUTADO[[#This Row],[RETENCION IVA]]-EJECUTADO[[#This Row],[RETENCION ISR]]</f>
        <v>5450</v>
      </c>
      <c r="Q304" s="84" t="s">
        <v>1000</v>
      </c>
      <c r="R304" s="2"/>
      <c r="S304">
        <v>1</v>
      </c>
      <c r="T304" s="168" t="str">
        <f t="shared" si="8"/>
        <v>SUELDOS ACADÉMICOS - SUELDOS Y SALARIOS DIRECCIÓN EDUCACIÓN VIRTUAL Disponible $87750 Solicitado $5450 PRESUPUESTO: SI</v>
      </c>
    </row>
    <row r="305" spans="1:20" x14ac:dyDescent="0.25">
      <c r="A305" s="6">
        <f t="shared" si="9"/>
        <v>304</v>
      </c>
      <c r="B305" s="21">
        <v>45322</v>
      </c>
      <c r="C305" s="17" t="s">
        <v>1418</v>
      </c>
      <c r="D305" s="65" t="s">
        <v>1491</v>
      </c>
      <c r="E305" s="65"/>
      <c r="F305" t="s">
        <v>1396</v>
      </c>
      <c r="G305" s="161">
        <f>MONTH(EJECUTADO[[#This Row],[FECHA]])</f>
        <v>1</v>
      </c>
      <c r="H305" s="163" t="str">
        <f>MID(EJECUTADO[[#This Row],[CUENTA]],1,4)</f>
        <v>E-04</v>
      </c>
      <c r="I305" s="163" t="str">
        <f>INDEX(CATALOGO[Descripción],MATCH(EJECUTADO[[#This Row],[APLICACIÓN]]&amp;"-00-00-00",CATALOGO[Código],0))</f>
        <v>SUELDOS ACADÉMICOS</v>
      </c>
      <c r="J3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305" s="161" t="str">
        <f>IF((EJECUTADO[[#This Row],[MONTO DISPONIBLE ]]-EJECUTADO[[#This Row],[MONTO SOLICITADO]])&gt;=0,"PRESUPUESTO: SI","PRESUPUESTO: NO")</f>
        <v>PRESUPUESTO: SI</v>
      </c>
      <c r="L305" s="162">
        <f>SUMIF(PRESUPUESTO[CUENTA],EJECUTADO[[#This Row],[CUENTA]],PRESUPUESTO[MONTO])-SUMIF($F$1:F304,EJECUTADO[[#This Row],[CUENTA]],$M$1:M304)</f>
        <v>79334.899999999994</v>
      </c>
      <c r="M305" s="2">
        <v>19608.37</v>
      </c>
      <c r="N305" s="2"/>
      <c r="O305" s="2"/>
      <c r="P305" s="162">
        <f>+EJECUTADO[[#This Row],[MONTO SOLICITADO]]-EJECUTADO[[#This Row],[RETENCION IVA]]-EJECUTADO[[#This Row],[RETENCION ISR]]</f>
        <v>19608.37</v>
      </c>
      <c r="Q305" s="84" t="s">
        <v>1000</v>
      </c>
      <c r="R305" s="2"/>
      <c r="S305">
        <v>1</v>
      </c>
      <c r="T305" s="168" t="str">
        <f t="shared" si="8"/>
        <v>SUELDOS ACADÉMICOS - SUELDOS Y SALARIOS NUEVO INGRESO Disponible $79334.9 Solicitado $19608.37 PRESUPUESTO: SI</v>
      </c>
    </row>
    <row r="306" spans="1:20" ht="30" x14ac:dyDescent="0.25">
      <c r="A306" s="6">
        <f t="shared" si="9"/>
        <v>305</v>
      </c>
      <c r="B306" s="21">
        <v>45322</v>
      </c>
      <c r="C306" s="17" t="s">
        <v>1418</v>
      </c>
      <c r="D306" s="65" t="s">
        <v>1492</v>
      </c>
      <c r="E306" s="65"/>
      <c r="F306" t="s">
        <v>1493</v>
      </c>
      <c r="G306" s="161">
        <f>MONTH(EJECUTADO[[#This Row],[FECHA]])</f>
        <v>1</v>
      </c>
      <c r="H306" s="163" t="str">
        <f>MID(EJECUTADO[[#This Row],[CUENTA]],1,4)</f>
        <v>E-03</v>
      </c>
      <c r="I306" s="163" t="str">
        <f>INDEX(CATALOGO[Descripción],MATCH(EJECUTADO[[#This Row],[APLICACIÓN]]&amp;"-00-00-00",CATALOGO[Código],0))</f>
        <v>SUELDOS ADMINISTRATIVOS</v>
      </c>
      <c r="J3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VICERRECTORÍA DE OPERACIONES</v>
      </c>
      <c r="K306" s="161" t="str">
        <f>IF((EJECUTADO[[#This Row],[MONTO DISPONIBLE ]]-EJECUTADO[[#This Row],[MONTO SOLICITADO]])&gt;=0,"PRESUPUESTO: SI","PRESUPUESTO: NO")</f>
        <v>PRESUPUESTO: SI</v>
      </c>
      <c r="L306" s="162">
        <f>SUMIF(PRESUPUESTO[CUENTA],EJECUTADO[[#This Row],[CUENTA]],PRESUPUESTO[MONTO])-SUMIF($F$1:F305,EJECUTADO[[#This Row],[CUENTA]],$M$1:M305)</f>
        <v>85000</v>
      </c>
      <c r="M306" s="2">
        <v>6600</v>
      </c>
      <c r="N306" s="2"/>
      <c r="O306" s="2"/>
      <c r="P306" s="162">
        <f>+EJECUTADO[[#This Row],[MONTO SOLICITADO]]-EJECUTADO[[#This Row],[RETENCION IVA]]-EJECUTADO[[#This Row],[RETENCION ISR]]</f>
        <v>6600</v>
      </c>
      <c r="Q306" s="84" t="s">
        <v>1000</v>
      </c>
      <c r="R306" s="2"/>
      <c r="S306">
        <v>1</v>
      </c>
      <c r="T306" s="168" t="str">
        <f t="shared" si="8"/>
        <v>SUELDOS ADMINISTRATIVOS - SUELDOS Y SALARIOS VICERRECTORÍA DE OPERACIONES Disponible $85000 Solicitado $6600 PRESUPUESTO: SI</v>
      </c>
    </row>
    <row r="307" spans="1:20" x14ac:dyDescent="0.25">
      <c r="A307" s="6">
        <f t="shared" si="9"/>
        <v>306</v>
      </c>
      <c r="B307" s="21">
        <v>45322</v>
      </c>
      <c r="C307" s="17" t="s">
        <v>1494</v>
      </c>
      <c r="D307" s="65" t="s">
        <v>1495</v>
      </c>
      <c r="F307" t="s">
        <v>1496</v>
      </c>
      <c r="G307" s="161">
        <f>MONTH(EJECUTADO[[#This Row],[FECHA]])</f>
        <v>1</v>
      </c>
      <c r="H307" s="163" t="str">
        <f>MID(EJECUTADO[[#This Row],[CUENTA]],1,4)</f>
        <v>E-09</v>
      </c>
      <c r="I307" s="163" t="str">
        <f>INDEX(CATALOGO[Descripción],MATCH(EJECUTADO[[#This Row],[APLICACIÓN]]&amp;"-00-00-00",CATALOGO[Código],0))</f>
        <v>PRESTACIONES AL PERSONAL</v>
      </c>
      <c r="J3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307" s="161" t="str">
        <f>IF((EJECUTADO[[#This Row],[MONTO DISPONIBLE ]]-EJECUTADO[[#This Row],[MONTO SOLICITADO]])&gt;=0,"PRESUPUESTO: SI","PRESUPUESTO: NO")</f>
        <v>PRESUPUESTO: SI</v>
      </c>
      <c r="L307" s="162">
        <f>SUMIF(PRESUPUESTO[CUENTA],EJECUTADO[[#This Row],[CUENTA]],PRESUPUESTO[MONTO])-SUMIF($F$1:F306,EJECUTADO[[#This Row],[CUENTA]],$M$1:M306)</f>
        <v>700000</v>
      </c>
      <c r="M307" s="2">
        <v>16811.12</v>
      </c>
      <c r="N307" s="2"/>
      <c r="O307" s="2"/>
      <c r="P307" s="162">
        <f>+EJECUTADO[[#This Row],[MONTO SOLICITADO]]-EJECUTADO[[#This Row],[RETENCION IVA]]-EJECUTADO[[#This Row],[RETENCION ISR]]</f>
        <v>16811.12</v>
      </c>
      <c r="Q307" s="84" t="s">
        <v>1000</v>
      </c>
      <c r="R307" s="2"/>
      <c r="S307">
        <v>1</v>
      </c>
      <c r="T307" s="168" t="str">
        <f t="shared" si="8"/>
        <v>PRESTACIONES AL PERSONAL - Cuotas patronales Disponible $700000 Solicitado $16811.12 PRESUPUESTO: SI</v>
      </c>
    </row>
    <row r="308" spans="1:20" x14ac:dyDescent="0.25">
      <c r="A308" s="6">
        <f t="shared" si="9"/>
        <v>307</v>
      </c>
      <c r="B308" s="21">
        <v>45322</v>
      </c>
      <c r="C308" s="17" t="s">
        <v>1494</v>
      </c>
      <c r="D308" s="65" t="s">
        <v>1497</v>
      </c>
      <c r="E308" s="65"/>
      <c r="F308" t="s">
        <v>1496</v>
      </c>
      <c r="G308" s="161">
        <f>MONTH(EJECUTADO[[#This Row],[FECHA]])</f>
        <v>1</v>
      </c>
      <c r="H308" s="163" t="str">
        <f>MID(EJECUTADO[[#This Row],[CUENTA]],1,4)</f>
        <v>E-09</v>
      </c>
      <c r="I308" s="163" t="str">
        <f>INDEX(CATALOGO[Descripción],MATCH(EJECUTADO[[#This Row],[APLICACIÓN]]&amp;"-00-00-00",CATALOGO[Código],0))</f>
        <v>PRESTACIONES AL PERSONAL</v>
      </c>
      <c r="J3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308" s="161" t="str">
        <f>IF((EJECUTADO[[#This Row],[MONTO DISPONIBLE ]]-EJECUTADO[[#This Row],[MONTO SOLICITADO]])&gt;=0,"PRESUPUESTO: SI","PRESUPUESTO: NO")</f>
        <v>PRESUPUESTO: SI</v>
      </c>
      <c r="L308" s="162">
        <f>SUMIF(PRESUPUESTO[CUENTA],EJECUTADO[[#This Row],[CUENTA]],PRESUPUESTO[MONTO])-SUMIF($F$1:F307,EJECUTADO[[#This Row],[CUENTA]],$M$1:M307)</f>
        <v>683188.88</v>
      </c>
      <c r="M308" s="2">
        <v>21392.03</v>
      </c>
      <c r="N308" s="2"/>
      <c r="O308" s="2"/>
      <c r="P308" s="162">
        <f>+EJECUTADO[[#This Row],[MONTO SOLICITADO]]-EJECUTADO[[#This Row],[RETENCION IVA]]-EJECUTADO[[#This Row],[RETENCION ISR]]</f>
        <v>21392.03</v>
      </c>
      <c r="Q308" s="84" t="s">
        <v>1000</v>
      </c>
      <c r="R308" s="2"/>
      <c r="S308">
        <v>1</v>
      </c>
      <c r="T308" s="168" t="str">
        <f t="shared" si="8"/>
        <v>PRESTACIONES AL PERSONAL - Cuotas patronales Disponible $683188.88 Solicitado $21392.03 PRESUPUESTO: SI</v>
      </c>
    </row>
    <row r="309" spans="1:20" x14ac:dyDescent="0.25">
      <c r="A309" s="6">
        <f t="shared" si="9"/>
        <v>308</v>
      </c>
      <c r="B309" s="21">
        <v>45322</v>
      </c>
      <c r="C309" s="17" t="s">
        <v>1494</v>
      </c>
      <c r="D309" s="65" t="s">
        <v>1498</v>
      </c>
      <c r="E309" s="65"/>
      <c r="F309" t="s">
        <v>1496</v>
      </c>
      <c r="G309" s="161">
        <f>MONTH(EJECUTADO[[#This Row],[FECHA]])</f>
        <v>1</v>
      </c>
      <c r="H309" s="163" t="str">
        <f>MID(EJECUTADO[[#This Row],[CUENTA]],1,4)</f>
        <v>E-09</v>
      </c>
      <c r="I309" s="163" t="str">
        <f>INDEX(CATALOGO[Descripción],MATCH(EJECUTADO[[#This Row],[APLICACIÓN]]&amp;"-00-00-00",CATALOGO[Código],0))</f>
        <v>PRESTACIONES AL PERSONAL</v>
      </c>
      <c r="J3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309" s="161" t="str">
        <f>IF((EJECUTADO[[#This Row],[MONTO DISPONIBLE ]]-EJECUTADO[[#This Row],[MONTO SOLICITADO]])&gt;=0,"PRESUPUESTO: SI","PRESUPUESTO: NO")</f>
        <v>PRESUPUESTO: SI</v>
      </c>
      <c r="L309" s="162">
        <f>SUMIF(PRESUPUESTO[CUENTA],EJECUTADO[[#This Row],[CUENTA]],PRESUPUESTO[MONTO])-SUMIF($F$1:F308,EJECUTADO[[#This Row],[CUENTA]],$M$1:M308)</f>
        <v>661796.85</v>
      </c>
      <c r="M309" s="2">
        <v>16693.61</v>
      </c>
      <c r="N309" s="2"/>
      <c r="O309" s="2"/>
      <c r="P309" s="162">
        <f>+EJECUTADO[[#This Row],[MONTO SOLICITADO]]-EJECUTADO[[#This Row],[RETENCION IVA]]-EJECUTADO[[#This Row],[RETENCION ISR]]</f>
        <v>16693.61</v>
      </c>
      <c r="Q309" s="84" t="s">
        <v>1000</v>
      </c>
      <c r="R309" s="2"/>
      <c r="S309">
        <v>1</v>
      </c>
      <c r="T309" s="168" t="str">
        <f t="shared" si="8"/>
        <v>PRESTACIONES AL PERSONAL - Cuotas patronales Disponible $661796.85 Solicitado $16693.61 PRESUPUESTO: SI</v>
      </c>
    </row>
    <row r="310" spans="1:20" x14ac:dyDescent="0.25">
      <c r="A310" s="6">
        <f t="shared" si="9"/>
        <v>309</v>
      </c>
      <c r="B310" s="21">
        <v>45322</v>
      </c>
      <c r="C310" s="17" t="s">
        <v>1494</v>
      </c>
      <c r="D310" s="65" t="s">
        <v>1499</v>
      </c>
      <c r="E310" s="65"/>
      <c r="F310" t="s">
        <v>1496</v>
      </c>
      <c r="G310" s="161">
        <f>MONTH(EJECUTADO[[#This Row],[FECHA]])</f>
        <v>1</v>
      </c>
      <c r="H310" s="163" t="str">
        <f>MID(EJECUTADO[[#This Row],[CUENTA]],1,4)</f>
        <v>E-09</v>
      </c>
      <c r="I310" s="163" t="str">
        <f>INDEX(CATALOGO[Descripción],MATCH(EJECUTADO[[#This Row],[APLICACIÓN]]&amp;"-00-00-00",CATALOGO[Código],0))</f>
        <v>PRESTACIONES AL PERSONAL</v>
      </c>
      <c r="J3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310" s="161" t="str">
        <f>IF((EJECUTADO[[#This Row],[MONTO DISPONIBLE ]]-EJECUTADO[[#This Row],[MONTO SOLICITADO]])&gt;=0,"PRESUPUESTO: SI","PRESUPUESTO: NO")</f>
        <v>PRESUPUESTO: SI</v>
      </c>
      <c r="L310" s="162">
        <f>SUMIF(PRESUPUESTO[CUENTA],EJECUTADO[[#This Row],[CUENTA]],PRESUPUESTO[MONTO])-SUMIF($F$1:F309,EJECUTADO[[#This Row],[CUENTA]],$M$1:M309)</f>
        <v>645103.24</v>
      </c>
      <c r="M310" s="2">
        <v>441.66</v>
      </c>
      <c r="N310" s="2"/>
      <c r="O310" s="2"/>
      <c r="P310" s="162">
        <f>+EJECUTADO[[#This Row],[MONTO SOLICITADO]]-EJECUTADO[[#This Row],[RETENCION IVA]]-EJECUTADO[[#This Row],[RETENCION ISR]]</f>
        <v>441.66</v>
      </c>
      <c r="Q310" s="84" t="s">
        <v>1000</v>
      </c>
      <c r="R310" s="2"/>
      <c r="S310">
        <v>1</v>
      </c>
      <c r="T310" s="168" t="str">
        <f t="shared" si="8"/>
        <v>PRESTACIONES AL PERSONAL - Cuotas patronales Disponible $645103.24 Solicitado $441.66 PRESUPUESTO: SI</v>
      </c>
    </row>
    <row r="311" spans="1:20" x14ac:dyDescent="0.25">
      <c r="A311" s="6">
        <f t="shared" si="9"/>
        <v>310</v>
      </c>
      <c r="B311" s="21">
        <v>45322</v>
      </c>
      <c r="C311" s="17" t="s">
        <v>1494</v>
      </c>
      <c r="D311" s="65" t="s">
        <v>1500</v>
      </c>
      <c r="E311" s="65"/>
      <c r="F311" t="s">
        <v>1496</v>
      </c>
      <c r="G311" s="161">
        <f>MONTH(EJECUTADO[[#This Row],[FECHA]])</f>
        <v>1</v>
      </c>
      <c r="H311" s="163" t="str">
        <f>MID(EJECUTADO[[#This Row],[CUENTA]],1,4)</f>
        <v>E-09</v>
      </c>
      <c r="I311" s="163" t="str">
        <f>INDEX(CATALOGO[Descripción],MATCH(EJECUTADO[[#This Row],[APLICACIÓN]]&amp;"-00-00-00",CATALOGO[Código],0))</f>
        <v>PRESTACIONES AL PERSONAL</v>
      </c>
      <c r="J3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311" s="161" t="str">
        <f>IF((EJECUTADO[[#This Row],[MONTO DISPONIBLE ]]-EJECUTADO[[#This Row],[MONTO SOLICITADO]])&gt;=0,"PRESUPUESTO: SI","PRESUPUESTO: NO")</f>
        <v>PRESUPUESTO: SI</v>
      </c>
      <c r="L311" s="162">
        <f>SUMIF(PRESUPUESTO[CUENTA],EJECUTADO[[#This Row],[CUENTA]],PRESUPUESTO[MONTO])-SUMIF($F$1:F310,EJECUTADO[[#This Row],[CUENTA]],$M$1:M310)</f>
        <v>644661.57999999996</v>
      </c>
      <c r="M311" s="2">
        <v>2634.75</v>
      </c>
      <c r="N311" s="2"/>
      <c r="O311" s="2"/>
      <c r="P311" s="162">
        <f>+EJECUTADO[[#This Row],[MONTO SOLICITADO]]-EJECUTADO[[#This Row],[RETENCION IVA]]-EJECUTADO[[#This Row],[RETENCION ISR]]</f>
        <v>2634.75</v>
      </c>
      <c r="Q311" s="84" t="s">
        <v>1000</v>
      </c>
      <c r="R311" s="2"/>
      <c r="S311">
        <v>1</v>
      </c>
      <c r="T311" s="168" t="str">
        <f t="shared" si="8"/>
        <v>PRESTACIONES AL PERSONAL - Cuotas patronales Disponible $644661.58 Solicitado $2634.75 PRESUPUESTO: SI</v>
      </c>
    </row>
    <row r="312" spans="1:20" ht="60" x14ac:dyDescent="0.25">
      <c r="A312" s="115">
        <f t="shared" si="9"/>
        <v>311</v>
      </c>
      <c r="B312" s="113">
        <v>45327</v>
      </c>
      <c r="C312" s="124" t="s">
        <v>1501</v>
      </c>
      <c r="D312" s="65" t="s">
        <v>1502</v>
      </c>
      <c r="E312" s="65" t="s">
        <v>1503</v>
      </c>
      <c r="F312" s="114" t="s">
        <v>1504</v>
      </c>
      <c r="G312" s="161">
        <f>MONTH(EJECUTADO[[#This Row],[FECHA]])</f>
        <v>2</v>
      </c>
      <c r="H312" s="163" t="str">
        <f>MID(EJECUTADO[[#This Row],[CUENTA]],1,4)</f>
        <v>E-07</v>
      </c>
      <c r="I312" s="163" t="str">
        <f>INDEX(CATALOGO[Descripción],MATCH(EJECUTADO[[#This Row],[APLICACIÓN]]&amp;"-00-00-00",CATALOGO[Código],0))</f>
        <v>SERVICIOS TECNOLOGICOS</v>
      </c>
      <c r="J3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Plataforma BlackBoard  7,500 licencias</v>
      </c>
      <c r="K312" s="161" t="str">
        <f>IF((EJECUTADO[[#This Row],[MONTO DISPONIBLE ]]-EJECUTADO[[#This Row],[MONTO SOLICITADO]])&gt;=0,"PRESUPUESTO: SI","PRESUPUESTO: NO")</f>
        <v>PRESUPUESTO: NO</v>
      </c>
      <c r="L312" s="162">
        <f>SUMIF(PRESUPUESTO[CUENTA],EJECUTADO[[#This Row],[CUENTA]],PRESUPUESTO[MONTO])-SUMIF($F$1:F311,EJECUTADO[[#This Row],[CUENTA]],$M$1:M311)</f>
        <v>113400</v>
      </c>
      <c r="M312" s="2">
        <v>113402.92</v>
      </c>
      <c r="N312" s="2"/>
      <c r="O312" s="2"/>
      <c r="P312" s="162">
        <f>+EJECUTADO[[#This Row],[MONTO SOLICITADO]]-EJECUTADO[[#This Row],[RETENCION IVA]]-EJECUTADO[[#This Row],[RETENCION ISR]]</f>
        <v>113402.92</v>
      </c>
      <c r="Q312" s="84" t="s">
        <v>1000</v>
      </c>
      <c r="R312" s="2"/>
      <c r="S312">
        <v>1</v>
      </c>
      <c r="T312" s="168" t="str">
        <f t="shared" si="8"/>
        <v>SERVICIOS TECNOLOGICOS - Plataforma BlackBoard  7,500 licencias Disponible $113400 Solicitado $113402.92 PRESUPUESTO: NO</v>
      </c>
    </row>
    <row r="313" spans="1:20" ht="30" x14ac:dyDescent="0.25">
      <c r="A313" s="6">
        <f t="shared" si="9"/>
        <v>312</v>
      </c>
      <c r="B313" s="21">
        <v>45327</v>
      </c>
      <c r="C313" s="17" t="s">
        <v>1025</v>
      </c>
      <c r="D313" s="65" t="s">
        <v>1505</v>
      </c>
      <c r="E313" s="65"/>
      <c r="F313" t="s">
        <v>1371</v>
      </c>
      <c r="G313" s="161">
        <f>MONTH(EJECUTADO[[#This Row],[FECHA]])</f>
        <v>2</v>
      </c>
      <c r="H313" s="163" t="str">
        <f>MID(EJECUTADO[[#This Row],[CUENTA]],1,4)</f>
        <v>E-07</v>
      </c>
      <c r="I313" s="163" t="str">
        <f>INDEX(CATALOGO[Descripción],MATCH(EJECUTADO[[#This Row],[APLICACIÓN]]&amp;"-00-00-00",CATALOGO[Código],0))</f>
        <v>SERVICIOS TECNOLOGICOS</v>
      </c>
      <c r="J3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Certificado de seguridad utec.edu.sv, Virtual Mae y Educ Virtual- SVNet</v>
      </c>
      <c r="K313" s="161" t="str">
        <f>IF((EJECUTADO[[#This Row],[MONTO DISPONIBLE ]]-EJECUTADO[[#This Row],[MONTO SOLICITADO]])&gt;=0,"PRESUPUESTO: SI","PRESUPUESTO: NO")</f>
        <v>PRESUPUESTO: NO</v>
      </c>
      <c r="L313" s="162">
        <f>SUMIF(PRESUPUESTO[CUENTA],EJECUTADO[[#This Row],[CUENTA]],PRESUPUESTO[MONTO])-SUMIF($F$1:F312,EJECUTADO[[#This Row],[CUENTA]],$M$1:M312)</f>
        <v>3424</v>
      </c>
      <c r="M313" s="2">
        <v>4450</v>
      </c>
      <c r="N313" s="2"/>
      <c r="O313" s="2"/>
      <c r="P313" s="162">
        <f>+EJECUTADO[[#This Row],[MONTO SOLICITADO]]-EJECUTADO[[#This Row],[RETENCION IVA]]-EJECUTADO[[#This Row],[RETENCION ISR]]</f>
        <v>4450</v>
      </c>
      <c r="Q313" s="84" t="s">
        <v>1000</v>
      </c>
      <c r="R313" s="2"/>
      <c r="S313">
        <v>1</v>
      </c>
      <c r="T313" s="168" t="str">
        <f t="shared" si="8"/>
        <v>SERVICIOS TECNOLOGICOS - Certificado de seguridad utec.edu.sv, Virtual Mae y Educ Virtual- SVNet Disponible $3424 Solicitado $4450 PRESUPUESTO: NO</v>
      </c>
    </row>
    <row r="314" spans="1:20" ht="30" x14ac:dyDescent="0.25">
      <c r="A314" s="6">
        <f t="shared" si="9"/>
        <v>313</v>
      </c>
      <c r="B314" s="21">
        <v>45327</v>
      </c>
      <c r="C314" s="17" t="s">
        <v>1506</v>
      </c>
      <c r="D314" s="65" t="s">
        <v>1507</v>
      </c>
      <c r="E314" s="65"/>
      <c r="F314" t="s">
        <v>1245</v>
      </c>
      <c r="G314" s="161">
        <f>MONTH(EJECUTADO[[#This Row],[FECHA]])</f>
        <v>2</v>
      </c>
      <c r="H314" s="163" t="str">
        <f>MID(EJECUTADO[[#This Row],[CUENTA]],1,4)</f>
        <v>E-27</v>
      </c>
      <c r="I314" s="163" t="str">
        <f>INDEX(CATALOGO[Descripción],MATCH(EJECUTADO[[#This Row],[APLICACIÓN]]&amp;"-00-00-00",CATALOGO[Código],0))</f>
        <v>INSUMOS DE OFICINA</v>
      </c>
      <c r="J3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314" s="161" t="str">
        <f>IF((EJECUTADO[[#This Row],[MONTO DISPONIBLE ]]-EJECUTADO[[#This Row],[MONTO SOLICITADO]])&gt;=0,"PRESUPUESTO: SI","PRESUPUESTO: NO")</f>
        <v>PRESUPUESTO: SI</v>
      </c>
      <c r="L314" s="162">
        <f>SUMIF(PRESUPUESTO[CUENTA],EJECUTADO[[#This Row],[CUENTA]],PRESUPUESTO[MONTO])-SUMIF($F$1:F313,EJECUTADO[[#This Row],[CUENTA]],$M$1:M313)</f>
        <v>64920</v>
      </c>
      <c r="M314" s="2">
        <v>684.96</v>
      </c>
      <c r="N314" s="2"/>
      <c r="O314" s="2"/>
      <c r="P314" s="162">
        <f>+EJECUTADO[[#This Row],[MONTO SOLICITADO]]-EJECUTADO[[#This Row],[RETENCION IVA]]-EJECUTADO[[#This Row],[RETENCION ISR]]</f>
        <v>684.96</v>
      </c>
      <c r="Q314" s="84" t="s">
        <v>1000</v>
      </c>
      <c r="R314" s="2"/>
      <c r="S314">
        <v>1</v>
      </c>
      <c r="T314" s="168" t="str">
        <f t="shared" si="8"/>
        <v>INSUMOS DE OFICINA - IMPRESIONES ADMINISTRATIVAS Disponible $64920 Solicitado $684.96 PRESUPUESTO: SI</v>
      </c>
    </row>
    <row r="315" spans="1:20" x14ac:dyDescent="0.25">
      <c r="A315" s="6">
        <f t="shared" si="9"/>
        <v>314</v>
      </c>
      <c r="B315" s="21">
        <v>45327</v>
      </c>
      <c r="C315" s="17" t="s">
        <v>1508</v>
      </c>
      <c r="D315" s="65" t="s">
        <v>1509</v>
      </c>
      <c r="E315" s="65"/>
      <c r="F315" t="s">
        <v>1275</v>
      </c>
      <c r="G315" s="161">
        <f>MONTH(EJECUTADO[[#This Row],[FECHA]])</f>
        <v>2</v>
      </c>
      <c r="H315" s="163" t="str">
        <f>MID(EJECUTADO[[#This Row],[CUENTA]],1,4)</f>
        <v>E-27</v>
      </c>
      <c r="I315" s="163" t="str">
        <f>INDEX(CATALOGO[Descripción],MATCH(EJECUTADO[[#This Row],[APLICACIÓN]]&amp;"-00-00-00",CATALOGO[Código],0))</f>
        <v>INSUMOS DE OFICINA</v>
      </c>
      <c r="J3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315" s="161" t="str">
        <f>IF((EJECUTADO[[#This Row],[MONTO DISPONIBLE ]]-EJECUTADO[[#This Row],[MONTO SOLICITADO]])&gt;=0,"PRESUPUESTO: SI","PRESUPUESTO: NO")</f>
        <v>PRESUPUESTO: SI</v>
      </c>
      <c r="L315" s="162">
        <f>SUMIF(PRESUPUESTO[CUENTA],EJECUTADO[[#This Row],[CUENTA]],PRESUPUESTO[MONTO])-SUMIF($F$1:F314,EJECUTADO[[#This Row],[CUENTA]],$M$1:M314)</f>
        <v>48408.800000000003</v>
      </c>
      <c r="M315" s="2">
        <v>368.75</v>
      </c>
      <c r="N315" s="2"/>
      <c r="O315" s="2"/>
      <c r="P315" s="162">
        <f>+EJECUTADO[[#This Row],[MONTO SOLICITADO]]-EJECUTADO[[#This Row],[RETENCION IVA]]-EJECUTADO[[#This Row],[RETENCION ISR]]</f>
        <v>368.75</v>
      </c>
      <c r="Q315" s="84" t="s">
        <v>1000</v>
      </c>
      <c r="R315" s="2"/>
      <c r="S315">
        <v>1</v>
      </c>
      <c r="T315" s="168" t="str">
        <f t="shared" si="8"/>
        <v>INSUMOS DE OFICINA - PAPELERIA Y UTILES Disponible $48408.8 Solicitado $368.75 PRESUPUESTO: SI</v>
      </c>
    </row>
    <row r="316" spans="1:20" x14ac:dyDescent="0.25">
      <c r="A316" s="6">
        <f t="shared" si="9"/>
        <v>315</v>
      </c>
      <c r="B316" s="21">
        <v>45327</v>
      </c>
      <c r="C316" s="17" t="s">
        <v>1510</v>
      </c>
      <c r="D316" s="65" t="s">
        <v>1509</v>
      </c>
      <c r="E316" s="65"/>
      <c r="F316" t="s">
        <v>1275</v>
      </c>
      <c r="G316" s="161">
        <f>MONTH(EJECUTADO[[#This Row],[FECHA]])</f>
        <v>2</v>
      </c>
      <c r="H316" s="163" t="str">
        <f>MID(EJECUTADO[[#This Row],[CUENTA]],1,4)</f>
        <v>E-27</v>
      </c>
      <c r="I316" s="163" t="str">
        <f>INDEX(CATALOGO[Descripción],MATCH(EJECUTADO[[#This Row],[APLICACIÓN]]&amp;"-00-00-00",CATALOGO[Código],0))</f>
        <v>INSUMOS DE OFICINA</v>
      </c>
      <c r="J3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316" s="161" t="str">
        <f>IF((EJECUTADO[[#This Row],[MONTO DISPONIBLE ]]-EJECUTADO[[#This Row],[MONTO SOLICITADO]])&gt;=0,"PRESUPUESTO: SI","PRESUPUESTO: NO")</f>
        <v>PRESUPUESTO: SI</v>
      </c>
      <c r="L316" s="162">
        <f>SUMIF(PRESUPUESTO[CUENTA],EJECUTADO[[#This Row],[CUENTA]],PRESUPUESTO[MONTO])-SUMIF($F$1:F315,EJECUTADO[[#This Row],[CUENTA]],$M$1:M315)</f>
        <v>48040.05</v>
      </c>
      <c r="M316" s="2">
        <v>1286.3</v>
      </c>
      <c r="N316" s="2"/>
      <c r="O316" s="2"/>
      <c r="P316" s="162">
        <f>+EJECUTADO[[#This Row],[MONTO SOLICITADO]]-EJECUTADO[[#This Row],[RETENCION IVA]]-EJECUTADO[[#This Row],[RETENCION ISR]]</f>
        <v>1286.3</v>
      </c>
      <c r="Q316" s="84" t="s">
        <v>1000</v>
      </c>
      <c r="R316" s="2"/>
      <c r="S316">
        <v>1</v>
      </c>
      <c r="T316" s="168" t="str">
        <f t="shared" si="8"/>
        <v>INSUMOS DE OFICINA - PAPELERIA Y UTILES Disponible $48040.05 Solicitado $1286.3 PRESUPUESTO: SI</v>
      </c>
    </row>
    <row r="317" spans="1:20" x14ac:dyDescent="0.25">
      <c r="A317" s="6">
        <f t="shared" si="9"/>
        <v>316</v>
      </c>
      <c r="B317" s="21">
        <v>45327</v>
      </c>
      <c r="C317" s="17" t="s">
        <v>1510</v>
      </c>
      <c r="D317" s="65" t="s">
        <v>1511</v>
      </c>
      <c r="E317" s="65"/>
      <c r="F317" t="s">
        <v>1245</v>
      </c>
      <c r="G317" s="161">
        <f>MONTH(EJECUTADO[[#This Row],[FECHA]])</f>
        <v>2</v>
      </c>
      <c r="H317" s="163" t="str">
        <f>MID(EJECUTADO[[#This Row],[CUENTA]],1,4)</f>
        <v>E-27</v>
      </c>
      <c r="I317" s="163" t="str">
        <f>INDEX(CATALOGO[Descripción],MATCH(EJECUTADO[[#This Row],[APLICACIÓN]]&amp;"-00-00-00",CATALOGO[Código],0))</f>
        <v>INSUMOS DE OFICINA</v>
      </c>
      <c r="J3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317" s="161" t="str">
        <f>IF((EJECUTADO[[#This Row],[MONTO DISPONIBLE ]]-EJECUTADO[[#This Row],[MONTO SOLICITADO]])&gt;=0,"PRESUPUESTO: SI","PRESUPUESTO: NO")</f>
        <v>PRESUPUESTO: SI</v>
      </c>
      <c r="L317" s="162">
        <f>SUMIF(PRESUPUESTO[CUENTA],EJECUTADO[[#This Row],[CUENTA]],PRESUPUESTO[MONTO])-SUMIF($F$1:F316,EJECUTADO[[#This Row],[CUENTA]],$M$1:M316)</f>
        <v>64235.040000000001</v>
      </c>
      <c r="M317" s="2">
        <v>1412.68</v>
      </c>
      <c r="N317" s="2"/>
      <c r="O317" s="2"/>
      <c r="P317" s="162">
        <f>+EJECUTADO[[#This Row],[MONTO SOLICITADO]]-EJECUTADO[[#This Row],[RETENCION IVA]]-EJECUTADO[[#This Row],[RETENCION ISR]]</f>
        <v>1412.68</v>
      </c>
      <c r="Q317" s="84" t="s">
        <v>1000</v>
      </c>
      <c r="R317" s="2"/>
      <c r="S317">
        <v>1</v>
      </c>
      <c r="T317" s="168" t="str">
        <f t="shared" si="8"/>
        <v>INSUMOS DE OFICINA - IMPRESIONES ADMINISTRATIVAS Disponible $64235.04 Solicitado $1412.68 PRESUPUESTO: SI</v>
      </c>
    </row>
    <row r="318" spans="1:20" ht="45" x14ac:dyDescent="0.25">
      <c r="A318" s="6">
        <f t="shared" si="9"/>
        <v>317</v>
      </c>
      <c r="B318" s="21">
        <v>45327</v>
      </c>
      <c r="C318" s="17" t="s">
        <v>1512</v>
      </c>
      <c r="D318" s="65" t="s">
        <v>1513</v>
      </c>
      <c r="E318" s="65"/>
      <c r="F318" t="s">
        <v>1514</v>
      </c>
      <c r="G318" s="161">
        <f>MONTH(EJECUTADO[[#This Row],[FECHA]])</f>
        <v>2</v>
      </c>
      <c r="H318" s="163" t="str">
        <f>MID(EJECUTADO[[#This Row],[CUENTA]],1,4)</f>
        <v>E-13</v>
      </c>
      <c r="I318" s="163" t="str">
        <f>INDEX(CATALOGO[Descripción],MATCH(EJECUTADO[[#This Row],[APLICACIÓN]]&amp;"-00-00-00",CATALOGO[Código],0))</f>
        <v>MAESTRIAS Y POSTGRADOS</v>
      </c>
      <c r="J3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ODORIZACION BAÑOS </v>
      </c>
      <c r="K318" s="161" t="str">
        <f>IF((EJECUTADO[[#This Row],[MONTO DISPONIBLE ]]-EJECUTADO[[#This Row],[MONTO SOLICITADO]])&gt;=0,"PRESUPUESTO: SI","PRESUPUESTO: NO")</f>
        <v>PRESUPUESTO: NO</v>
      </c>
      <c r="L318" s="162">
        <f>SUMIF(PRESUPUESTO[CUENTA],EJECUTADO[[#This Row],[CUENTA]],PRESUPUESTO[MONTO])-SUMIF($F$1:F317,EJECUTADO[[#This Row],[CUENTA]],$M$1:M317)</f>
        <v>1284</v>
      </c>
      <c r="M318" s="2">
        <v>1703.2</v>
      </c>
      <c r="N318" s="2"/>
      <c r="O318" s="2"/>
      <c r="P318" s="162">
        <f>+EJECUTADO[[#This Row],[MONTO SOLICITADO]]-EJECUTADO[[#This Row],[RETENCION IVA]]-EJECUTADO[[#This Row],[RETENCION ISR]]</f>
        <v>1703.2</v>
      </c>
      <c r="Q318" s="84" t="s">
        <v>1000</v>
      </c>
      <c r="R318" s="2"/>
      <c r="S318">
        <v>1</v>
      </c>
      <c r="T318" s="168" t="str">
        <f t="shared" si="8"/>
        <v>MAESTRIAS Y POSTGRADOS - MANTENIMIENTO ODORIZACION BAÑOS  Disponible $1284 Solicitado $1703.2 PRESUPUESTO: NO</v>
      </c>
    </row>
    <row r="319" spans="1:20" ht="30" x14ac:dyDescent="0.25">
      <c r="A319" s="6">
        <f t="shared" si="9"/>
        <v>318</v>
      </c>
      <c r="B319" s="21">
        <v>45327</v>
      </c>
      <c r="C319" s="17" t="s">
        <v>1515</v>
      </c>
      <c r="D319" s="65" t="s">
        <v>1516</v>
      </c>
      <c r="E319" s="65"/>
      <c r="F319" t="s">
        <v>1167</v>
      </c>
      <c r="G319" s="161">
        <f>MONTH(EJECUTADO[[#This Row],[FECHA]])</f>
        <v>2</v>
      </c>
      <c r="H319" s="163" t="str">
        <f>MID(EJECUTADO[[#This Row],[CUENTA]],1,4)</f>
        <v>E-24</v>
      </c>
      <c r="I319" s="163" t="str">
        <f>INDEX(CATALOGO[Descripción],MATCH(EJECUTADO[[#This Row],[APLICACIÓN]]&amp;"-00-00-00",CATALOGO[Código],0))</f>
        <v>NUEVO INGRESO</v>
      </c>
      <c r="J3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319" s="161" t="str">
        <f>IF((EJECUTADO[[#This Row],[MONTO DISPONIBLE ]]-EJECUTADO[[#This Row],[MONTO SOLICITADO]])&gt;=0,"PRESUPUESTO: SI","PRESUPUESTO: NO")</f>
        <v>PRESUPUESTO: NO</v>
      </c>
      <c r="L319" s="162">
        <f>SUMIF(PRESUPUESTO[CUENTA],EJECUTADO[[#This Row],[CUENTA]],PRESUPUESTO[MONTO])-SUMIF($F$1:F318,EJECUTADO[[#This Row],[CUENTA]],$M$1:M318)</f>
        <v>-1018.7600000000002</v>
      </c>
      <c r="M319" s="2">
        <v>55.37</v>
      </c>
      <c r="N319" s="2"/>
      <c r="O319" s="2"/>
      <c r="P319" s="162">
        <f>+EJECUTADO[[#This Row],[MONTO SOLICITADO]]-EJECUTADO[[#This Row],[RETENCION IVA]]-EJECUTADO[[#This Row],[RETENCION ISR]]</f>
        <v>55.37</v>
      </c>
      <c r="Q319" s="84" t="s">
        <v>1000</v>
      </c>
      <c r="R319" s="2"/>
      <c r="S319">
        <v>1</v>
      </c>
      <c r="T319" s="168" t="str">
        <f t="shared" si="8"/>
        <v>NUEVO INGRESO - Metrocentro - Mantenimiento de local $ 436.23 Disponible $-1018.76 Solicitado $55.37 PRESUPUESTO: NO</v>
      </c>
    </row>
    <row r="320" spans="1:20" ht="30" x14ac:dyDescent="0.25">
      <c r="A320" s="6">
        <f t="shared" si="9"/>
        <v>319</v>
      </c>
      <c r="B320" s="21">
        <v>45327</v>
      </c>
      <c r="C320" s="17" t="s">
        <v>1515</v>
      </c>
      <c r="D320" s="65" t="s">
        <v>1516</v>
      </c>
      <c r="E320" s="65"/>
      <c r="F320" t="s">
        <v>1295</v>
      </c>
      <c r="G320" s="161">
        <f>MONTH(EJECUTADO[[#This Row],[FECHA]])</f>
        <v>2</v>
      </c>
      <c r="H320" s="163" t="str">
        <f>MID(EJECUTADO[[#This Row],[CUENTA]],1,4)</f>
        <v>E-24</v>
      </c>
      <c r="I320" s="163" t="str">
        <f>INDEX(CATALOGO[Descripción],MATCH(EJECUTADO[[#This Row],[APLICACIÓN]]&amp;"-00-00-00",CATALOGO[Código],0))</f>
        <v>NUEVO INGRESO</v>
      </c>
      <c r="J3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320" s="161" t="str">
        <f>IF((EJECUTADO[[#This Row],[MONTO DISPONIBLE ]]-EJECUTADO[[#This Row],[MONTO SOLICITADO]])&gt;=0,"PRESUPUESTO: SI","PRESUPUESTO: NO")</f>
        <v>PRESUPUESTO: SI</v>
      </c>
      <c r="L320" s="162">
        <f>SUMIF(PRESUPUESTO[CUENTA],EJECUTADO[[#This Row],[CUENTA]],PRESUPUESTO[MONTO])-SUMIF($F$1:F319,EJECUTADO[[#This Row],[CUENTA]],$M$1:M319)</f>
        <v>514.65</v>
      </c>
      <c r="M320" s="2">
        <v>55.37</v>
      </c>
      <c r="N320" s="2"/>
      <c r="O320" s="2"/>
      <c r="P320" s="162">
        <f>+EJECUTADO[[#This Row],[MONTO SOLICITADO]]-EJECUTADO[[#This Row],[RETENCION IVA]]-EJECUTADO[[#This Row],[RETENCION ISR]]</f>
        <v>55.37</v>
      </c>
      <c r="Q320" s="84" t="s">
        <v>1000</v>
      </c>
      <c r="R320" s="2"/>
      <c r="S320">
        <v>1</v>
      </c>
      <c r="T320" s="168" t="str">
        <f t="shared" si="8"/>
        <v>NUEVO INGRESO - Plaza Mundo - Aromatización $ 55.00 * 12 Disponible $514.65 Solicitado $55.37 PRESUPUESTO: SI</v>
      </c>
    </row>
    <row r="321" spans="1:20" ht="30" x14ac:dyDescent="0.25">
      <c r="A321" s="6">
        <f t="shared" si="9"/>
        <v>320</v>
      </c>
      <c r="B321" s="21">
        <v>45327</v>
      </c>
      <c r="C321" s="17" t="s">
        <v>1045</v>
      </c>
      <c r="D321" s="65" t="s">
        <v>1517</v>
      </c>
      <c r="E321" s="65"/>
      <c r="F321" t="s">
        <v>1355</v>
      </c>
      <c r="G321" s="161">
        <f>MONTH(EJECUTADO[[#This Row],[FECHA]])</f>
        <v>2</v>
      </c>
      <c r="H321" s="163" t="str">
        <f>MID(EJECUTADO[[#This Row],[CUENTA]],1,4)</f>
        <v>E-19</v>
      </c>
      <c r="I321" s="163" t="str">
        <f>INDEX(CATALOGO[Descripción],MATCH(EJECUTADO[[#This Row],[APLICACIÓN]]&amp;"-00-00-00",CATALOGO[Código],0))</f>
        <v>MANTENIMIENTO</v>
      </c>
      <c r="J32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321" s="161" t="str">
        <f>IF((EJECUTADO[[#This Row],[MONTO DISPONIBLE ]]-EJECUTADO[[#This Row],[MONTO SOLICITADO]])&gt;=0,"PRESUPUESTO: SI","PRESUPUESTO: NO")</f>
        <v>PRESUPUESTO: NO</v>
      </c>
      <c r="L321" s="162">
        <f>SUMIF(PRESUPUESTO[CUENTA],EJECUTADO[[#This Row],[CUENTA]],PRESUPUESTO[MONTO])-SUMIF($F$1:F320,EJECUTADO[[#This Row],[CUENTA]],$M$1:M320)</f>
        <v>-179.36</v>
      </c>
      <c r="M321" s="2">
        <v>6316.4</v>
      </c>
      <c r="N321" s="2"/>
      <c r="O321" s="2"/>
      <c r="P321" s="162">
        <f>+EJECUTADO[[#This Row],[MONTO SOLICITADO]]-EJECUTADO[[#This Row],[RETENCION IVA]]-EJECUTADO[[#This Row],[RETENCION ISR]]</f>
        <v>6316.4</v>
      </c>
      <c r="Q321" s="84" t="s">
        <v>1000</v>
      </c>
      <c r="R321" s="2"/>
      <c r="S321">
        <v>1</v>
      </c>
      <c r="T321" s="168" t="e">
        <f t="shared" si="8"/>
        <v>#N/A</v>
      </c>
    </row>
    <row r="322" spans="1:20" x14ac:dyDescent="0.25">
      <c r="A322" s="6">
        <f t="shared" si="9"/>
        <v>321</v>
      </c>
      <c r="B322" s="21">
        <v>45327</v>
      </c>
      <c r="C322" s="17" t="s">
        <v>1045</v>
      </c>
      <c r="D322" s="65" t="s">
        <v>1356</v>
      </c>
      <c r="E322" s="65"/>
      <c r="F322" t="s">
        <v>1357</v>
      </c>
      <c r="G322" s="161">
        <f>MONTH(EJECUTADO[[#This Row],[FECHA]])</f>
        <v>2</v>
      </c>
      <c r="H322" s="163" t="str">
        <f>MID(EJECUTADO[[#This Row],[CUENTA]],1,4)</f>
        <v>E-19</v>
      </c>
      <c r="I322" s="163" t="str">
        <f>INDEX(CATALOGO[Descripción],MATCH(EJECUTADO[[#This Row],[APLICACIÓN]]&amp;"-00-00-00",CATALOGO[Código],0))</f>
        <v>MANTENIMIENTO</v>
      </c>
      <c r="J3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Pintura </v>
      </c>
      <c r="K322" s="161" t="str">
        <f>IF((EJECUTADO[[#This Row],[MONTO DISPONIBLE ]]-EJECUTADO[[#This Row],[MONTO SOLICITADO]])&gt;=0,"PRESUPUESTO: SI","PRESUPUESTO: NO")</f>
        <v>PRESUPUESTO: SI</v>
      </c>
      <c r="L322" s="162">
        <f>SUMIF(PRESUPUESTO[CUENTA],EJECUTADO[[#This Row],[CUENTA]],PRESUPUESTO[MONTO])-SUMIF($F$1:F321,EJECUTADO[[#This Row],[CUENTA]],$M$1:M321)</f>
        <v>33596.449999999997</v>
      </c>
      <c r="M322" s="2">
        <v>10280.5</v>
      </c>
      <c r="N322" s="2"/>
      <c r="O322" s="2"/>
      <c r="P322" s="162">
        <f>+EJECUTADO[[#This Row],[MONTO SOLICITADO]]-EJECUTADO[[#This Row],[RETENCION IVA]]-EJECUTADO[[#This Row],[RETENCION ISR]]</f>
        <v>10280.5</v>
      </c>
      <c r="Q322" s="84" t="s">
        <v>1000</v>
      </c>
      <c r="R322" s="2"/>
      <c r="S322">
        <v>1</v>
      </c>
      <c r="T322" s="168" t="str">
        <f t="shared" ref="T322:T387" si="10">_xlfn.CONCAT(I322," - ",J322," Disponible $",L322," Solicitado $",M322," ",K322,)</f>
        <v>MANTENIMIENTO - Dir. Mantenimiento - Mantenimiento Pintura  Disponible $33596.45 Solicitado $10280.5 PRESUPUESTO: SI</v>
      </c>
    </row>
    <row r="323" spans="1:20" x14ac:dyDescent="0.25">
      <c r="A323" s="6">
        <f t="shared" si="9"/>
        <v>322</v>
      </c>
      <c r="B323" s="21">
        <v>45327</v>
      </c>
      <c r="C323" s="17" t="s">
        <v>1518</v>
      </c>
      <c r="D323" s="65" t="s">
        <v>1519</v>
      </c>
      <c r="E323" s="65"/>
      <c r="F323" t="s">
        <v>1520</v>
      </c>
      <c r="G323" s="161">
        <f>MONTH(EJECUTADO[[#This Row],[FECHA]])</f>
        <v>2</v>
      </c>
      <c r="H323" s="163" t="str">
        <f>MID(EJECUTADO[[#This Row],[CUENTA]],1,4)</f>
        <v>E-19</v>
      </c>
      <c r="I323" s="163" t="str">
        <f>INDEX(CATALOGO[Descripción],MATCH(EJECUTADO[[#This Row],[APLICACIÓN]]&amp;"-00-00-00",CATALOGO[Código],0))</f>
        <v>MANTENIMIENTO</v>
      </c>
      <c r="J3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Fumigaciones </v>
      </c>
      <c r="K323" s="161" t="str">
        <f>IF((EJECUTADO[[#This Row],[MONTO DISPONIBLE ]]-EJECUTADO[[#This Row],[MONTO SOLICITADO]])&gt;=0,"PRESUPUESTO: SI","PRESUPUESTO: NO")</f>
        <v>PRESUPUESTO: SI</v>
      </c>
      <c r="L323" s="162">
        <f>SUMIF(PRESUPUESTO[CUENTA],EJECUTADO[[#This Row],[CUENTA]],PRESUPUESTO[MONTO])-SUMIF($F$1:F322,EJECUTADO[[#This Row],[CUENTA]],$M$1:M322)</f>
        <v>18000</v>
      </c>
      <c r="M323" s="2">
        <v>85</v>
      </c>
      <c r="N323" s="2"/>
      <c r="O323" s="2"/>
      <c r="P323" s="162">
        <f>+EJECUTADO[[#This Row],[MONTO SOLICITADO]]-EJECUTADO[[#This Row],[RETENCION IVA]]-EJECUTADO[[#This Row],[RETENCION ISR]]</f>
        <v>85</v>
      </c>
      <c r="Q323" s="84" t="s">
        <v>1000</v>
      </c>
      <c r="R323" s="2"/>
      <c r="S323">
        <v>1</v>
      </c>
      <c r="T323" s="168" t="str">
        <f t="shared" si="10"/>
        <v>MANTENIMIENTO - Dir. Mantenimiento - Mantenimiento Fumigaciones  Disponible $18000 Solicitado $85 PRESUPUESTO: SI</v>
      </c>
    </row>
    <row r="324" spans="1:20" x14ac:dyDescent="0.25">
      <c r="A324" s="6">
        <f t="shared" ref="A324:A389" si="11">+A323+1</f>
        <v>323</v>
      </c>
      <c r="B324" s="21">
        <v>45327</v>
      </c>
      <c r="C324" s="17" t="s">
        <v>1079</v>
      </c>
      <c r="D324" s="65" t="s">
        <v>1080</v>
      </c>
      <c r="E324" s="65"/>
      <c r="F324" t="s">
        <v>1081</v>
      </c>
      <c r="G324" s="161">
        <f>MONTH(EJECUTADO[[#This Row],[FECHA]])</f>
        <v>2</v>
      </c>
      <c r="H324" s="163" t="str">
        <f>MID(EJECUTADO[[#This Row],[CUENTA]],1,4)</f>
        <v>E-10</v>
      </c>
      <c r="I324" s="163" t="str">
        <f>INDEX(CATALOGO[Descripción],MATCH(EJECUTADO[[#This Row],[APLICACIÓN]]&amp;"-00-00-00",CATALOGO[Código],0))</f>
        <v>SERVICIOS PUBLICOS</v>
      </c>
      <c r="J3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324" s="161" t="str">
        <f>IF((EJECUTADO[[#This Row],[MONTO DISPONIBLE ]]-EJECUTADO[[#This Row],[MONTO SOLICITADO]])&gt;=0,"PRESUPUESTO: SI","PRESUPUESTO: NO")</f>
        <v>PRESUPUESTO: SI</v>
      </c>
      <c r="L324" s="162">
        <f>SUMIF(PRESUPUESTO[CUENTA],EJECUTADO[[#This Row],[CUENTA]],PRESUPUESTO[MONTO])-SUMIF($F$1:F323,EJECUTADO[[#This Row],[CUENTA]],$M$1:M323)</f>
        <v>344084.73</v>
      </c>
      <c r="M324" s="2">
        <v>6355.85</v>
      </c>
      <c r="N324" s="2"/>
      <c r="O324" s="2"/>
      <c r="P324" s="162">
        <f>+EJECUTADO[[#This Row],[MONTO SOLICITADO]]-EJECUTADO[[#This Row],[RETENCION IVA]]-EJECUTADO[[#This Row],[RETENCION ISR]]</f>
        <v>6355.85</v>
      </c>
      <c r="Q324" s="84" t="s">
        <v>1000</v>
      </c>
      <c r="R324" s="2"/>
      <c r="S324">
        <v>1</v>
      </c>
      <c r="T324" s="168" t="str">
        <f t="shared" si="10"/>
        <v>SERVICIOS PUBLICOS - ENERGÍA ELÉCTRICA Disponible $344084.73 Solicitado $6355.85 PRESUPUESTO: SI</v>
      </c>
    </row>
    <row r="325" spans="1:20" ht="30" x14ac:dyDescent="0.25">
      <c r="A325" s="6">
        <f t="shared" si="11"/>
        <v>324</v>
      </c>
      <c r="B325" s="21">
        <v>45327</v>
      </c>
      <c r="C325" s="17" t="s">
        <v>1079</v>
      </c>
      <c r="D325" s="65" t="s">
        <v>248</v>
      </c>
      <c r="E325" s="65"/>
      <c r="F325" t="s">
        <v>1119</v>
      </c>
      <c r="G325" s="161">
        <f>MONTH(EJECUTADO[[#This Row],[FECHA]])</f>
        <v>2</v>
      </c>
      <c r="H325" s="163" t="str">
        <f>MID(EJECUTADO[[#This Row],[CUENTA]],1,4)</f>
        <v>E-10</v>
      </c>
      <c r="I325" s="163" t="str">
        <f>INDEX(CATALOGO[Descripción],MATCH(EJECUTADO[[#This Row],[APLICACIÓN]]&amp;"-00-00-00",CATALOGO[Código],0))</f>
        <v>SERVICIOS PUBLICOS</v>
      </c>
      <c r="J3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325" s="161" t="str">
        <f>IF((EJECUTADO[[#This Row],[MONTO DISPONIBLE ]]-EJECUTADO[[#This Row],[MONTO SOLICITADO]])&gt;=0,"PRESUPUESTO: SI","PRESUPUESTO: NO")</f>
        <v>PRESUPUESTO: NO</v>
      </c>
      <c r="L325" s="162">
        <f>SUMIF(PRESUPUESTO[CUENTA],EJECUTADO[[#This Row],[CUENTA]],PRESUPUESTO[MONTO])-SUMIF($F$1:F324,EJECUTADO[[#This Row],[CUENTA]],$M$1:M324)</f>
        <v>-5493.17</v>
      </c>
      <c r="M325" s="2">
        <v>607.16</v>
      </c>
      <c r="N325" s="2"/>
      <c r="O325" s="2"/>
      <c r="P325" s="162">
        <f>+EJECUTADO[[#This Row],[MONTO SOLICITADO]]-EJECUTADO[[#This Row],[RETENCION IVA]]-EJECUTADO[[#This Row],[RETENCION ISR]]</f>
        <v>607.16</v>
      </c>
      <c r="Q325" s="84" t="s">
        <v>1000</v>
      </c>
      <c r="R325" s="2"/>
      <c r="S325">
        <v>1</v>
      </c>
      <c r="T325" s="168" t="str">
        <f t="shared" si="10"/>
        <v>SERVICIOS PUBLICOS - IMPUESTOS MUNICIPALES Disponible $-5493.17 Solicitado $607.16 PRESUPUESTO: NO</v>
      </c>
    </row>
    <row r="326" spans="1:20" ht="75" x14ac:dyDescent="0.25">
      <c r="A326" s="6">
        <f t="shared" si="11"/>
        <v>325</v>
      </c>
      <c r="B326" s="21">
        <v>45327</v>
      </c>
      <c r="C326" s="17" t="s">
        <v>1147</v>
      </c>
      <c r="D326" s="65" t="s">
        <v>1521</v>
      </c>
      <c r="E326" s="65"/>
      <c r="F326" t="s">
        <v>1042</v>
      </c>
      <c r="G326" s="161">
        <f>MONTH(EJECUTADO[[#This Row],[FECHA]])</f>
        <v>2</v>
      </c>
      <c r="H326" s="163" t="str">
        <f>MID(EJECUTADO[[#This Row],[CUENTA]],1,4)</f>
        <v>E-23</v>
      </c>
      <c r="I326" s="163" t="str">
        <f>INDEX(CATALOGO[Descripción],MATCH(EJECUTADO[[#This Row],[APLICACIÓN]]&amp;"-00-00-00",CATALOGO[Código],0))</f>
        <v>GASTOS DE VIAJE</v>
      </c>
      <c r="J3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326" s="161" t="str">
        <f>IF((EJECUTADO[[#This Row],[MONTO DISPONIBLE ]]-EJECUTADO[[#This Row],[MONTO SOLICITADO]])&gt;=0,"PRESUPUESTO: SI","PRESUPUESTO: NO")</f>
        <v>PRESUPUESTO: SI</v>
      </c>
      <c r="L326" s="162">
        <f>SUMIF(PRESUPUESTO[CUENTA],EJECUTADO[[#This Row],[CUENTA]],PRESUPUESTO[MONTO])-SUMIF($F$1:F325,EJECUTADO[[#This Row],[CUENTA]],$M$1:M325)</f>
        <v>3022</v>
      </c>
      <c r="M326" s="2">
        <v>100</v>
      </c>
      <c r="N326" s="2"/>
      <c r="O326" s="2"/>
      <c r="P326" s="162">
        <f>+EJECUTADO[[#This Row],[MONTO SOLICITADO]]-EJECUTADO[[#This Row],[RETENCION IVA]]-EJECUTADO[[#This Row],[RETENCION ISR]]</f>
        <v>100</v>
      </c>
      <c r="Q326" s="84" t="s">
        <v>1000</v>
      </c>
      <c r="R326" s="2"/>
      <c r="S326">
        <v>1</v>
      </c>
      <c r="T326" s="168" t="str">
        <f t="shared" si="10"/>
        <v>GASTOS DE VIAJE - OTROS VIATICOS AL PERSONAL Disponible $3022 Solicitado $100 PRESUPUESTO: SI</v>
      </c>
    </row>
    <row r="327" spans="1:20" x14ac:dyDescent="0.25">
      <c r="A327" s="6">
        <f t="shared" si="11"/>
        <v>326</v>
      </c>
      <c r="B327" s="21">
        <v>45327</v>
      </c>
      <c r="C327" s="17" t="s">
        <v>1144</v>
      </c>
      <c r="D327" s="65" t="s">
        <v>1522</v>
      </c>
      <c r="E327" s="65"/>
      <c r="F327" t="s">
        <v>1146</v>
      </c>
      <c r="G327" s="161">
        <f>MONTH(EJECUTADO[[#This Row],[FECHA]])</f>
        <v>2</v>
      </c>
      <c r="H327" s="163" t="str">
        <f>MID(EJECUTADO[[#This Row],[CUENTA]],1,4)</f>
        <v>E-23</v>
      </c>
      <c r="I327" s="163" t="str">
        <f>INDEX(CATALOGO[Descripción],MATCH(EJECUTADO[[#This Row],[APLICACIÓN]]&amp;"-00-00-00",CATALOGO[Código],0))</f>
        <v>GASTOS DE VIAJE</v>
      </c>
      <c r="J3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327" s="161" t="str">
        <f>IF((EJECUTADO[[#This Row],[MONTO DISPONIBLE ]]-EJECUTADO[[#This Row],[MONTO SOLICITADO]])&gt;=0,"PRESUPUESTO: SI","PRESUPUESTO: NO")</f>
        <v>PRESUPUESTO: SI</v>
      </c>
      <c r="L327" s="162">
        <f>SUMIF(PRESUPUESTO[CUENTA],EJECUTADO[[#This Row],[CUENTA]],PRESUPUESTO[MONTO])-SUMIF($F$1:F326,EJECUTADO[[#This Row],[CUENTA]],$M$1:M326)</f>
        <v>1980</v>
      </c>
      <c r="M327" s="2">
        <v>180</v>
      </c>
      <c r="N327" s="2"/>
      <c r="O327" s="2"/>
      <c r="P327" s="162">
        <f>+EJECUTADO[[#This Row],[MONTO SOLICITADO]]-EJECUTADO[[#This Row],[RETENCION IVA]]-EJECUTADO[[#This Row],[RETENCION ISR]]</f>
        <v>180</v>
      </c>
      <c r="Q327" s="84" t="s">
        <v>1000</v>
      </c>
      <c r="R327" s="2"/>
      <c r="S327">
        <v>1</v>
      </c>
      <c r="T327" s="168" t="str">
        <f t="shared" si="10"/>
        <v>GASTOS DE VIAJE - Mensajero $ 180.00  Disponible $1980 Solicitado $180 PRESUPUESTO: SI</v>
      </c>
    </row>
    <row r="328" spans="1:20" ht="60" x14ac:dyDescent="0.25">
      <c r="A328" s="6">
        <f t="shared" si="11"/>
        <v>327</v>
      </c>
      <c r="B328" s="21">
        <v>45327</v>
      </c>
      <c r="C328" s="17" t="s">
        <v>1176</v>
      </c>
      <c r="D328" s="65" t="s">
        <v>1523</v>
      </c>
      <c r="E328" s="65"/>
      <c r="F328" t="s">
        <v>1178</v>
      </c>
      <c r="G328" s="161">
        <f>MONTH(EJECUTADO[[#This Row],[FECHA]])</f>
        <v>2</v>
      </c>
      <c r="H328" s="163" t="str">
        <f>MID(EJECUTADO[[#This Row],[CUENTA]],1,4)</f>
        <v>E-22</v>
      </c>
      <c r="I328" s="163" t="str">
        <f>INDEX(CATALOGO[Descripción],MATCH(EJECUTADO[[#This Row],[APLICACIÓN]]&amp;"-00-00-00",CATALOGO[Código],0))</f>
        <v>CAPACITACIÓN AL PERSONAL</v>
      </c>
      <c r="J3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Doctorado en Educaión, Lic. Aldo Maldonado</v>
      </c>
      <c r="K328" s="161" t="str">
        <f>IF((EJECUTADO[[#This Row],[MONTO DISPONIBLE ]]-EJECUTADO[[#This Row],[MONTO SOLICITADO]])&gt;=0,"PRESUPUESTO: SI","PRESUPUESTO: NO")</f>
        <v>PRESUPUESTO: SI</v>
      </c>
      <c r="L328" s="162">
        <f>SUMIF(PRESUPUESTO[CUENTA],EJECUTADO[[#This Row],[CUENTA]],PRESUPUESTO[MONTO])-SUMIF($F$1:F327,EJECUTADO[[#This Row],[CUENTA]],$M$1:M327)</f>
        <v>2297.5300000000002</v>
      </c>
      <c r="M328" s="2">
        <v>222.47</v>
      </c>
      <c r="N328" s="2"/>
      <c r="O328" s="2"/>
      <c r="P328" s="162">
        <f>+EJECUTADO[[#This Row],[MONTO SOLICITADO]]-EJECUTADO[[#This Row],[RETENCION IVA]]-EJECUTADO[[#This Row],[RETENCION ISR]]</f>
        <v>222.47</v>
      </c>
      <c r="Q328" s="84" t="s">
        <v>1000</v>
      </c>
      <c r="R328" s="2"/>
      <c r="S328">
        <v>1</v>
      </c>
      <c r="T328" s="168" t="str">
        <f t="shared" si="10"/>
        <v>CAPACITACIÓN AL PERSONAL - FCCS - Doctorado en Educaión, Lic. Aldo Maldonado Disponible $2297.53 Solicitado $222.47 PRESUPUESTO: SI</v>
      </c>
    </row>
    <row r="329" spans="1:20" ht="45" x14ac:dyDescent="0.25">
      <c r="A329" s="6">
        <f t="shared" si="11"/>
        <v>328</v>
      </c>
      <c r="B329" s="21">
        <v>45327</v>
      </c>
      <c r="C329" s="17" t="s">
        <v>1176</v>
      </c>
      <c r="D329" s="65" t="s">
        <v>1524</v>
      </c>
      <c r="E329" s="65"/>
      <c r="F329" t="s">
        <v>1180</v>
      </c>
      <c r="G329" s="161">
        <f>MONTH(EJECUTADO[[#This Row],[FECHA]])</f>
        <v>2</v>
      </c>
      <c r="H329" s="163" t="str">
        <f>MID(EJECUTADO[[#This Row],[CUENTA]],1,4)</f>
        <v>E-08</v>
      </c>
      <c r="I329" s="163" t="str">
        <f>INDEX(CATALOGO[Descripción],MATCH(EJECUTADO[[#This Row],[APLICACIÓN]]&amp;"-00-00-00",CATALOGO[Código],0))</f>
        <v>INVERSIONES Y PROYECTOS ESPECIALES</v>
      </c>
      <c r="J3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329" s="161" t="str">
        <f>IF((EJECUTADO[[#This Row],[MONTO DISPONIBLE ]]-EJECUTADO[[#This Row],[MONTO SOLICITADO]])&gt;=0,"PRESUPUESTO: SI","PRESUPUESTO: NO")</f>
        <v>PRESUPUESTO: NO</v>
      </c>
      <c r="L329" s="162">
        <f>SUMIF(PRESUPUESTO[CUENTA],EJECUTADO[[#This Row],[CUENTA]],PRESUPUESTO[MONTO])-SUMIF($F$1:F328,EJECUTADO[[#This Row],[CUENTA]],$M$1:M328)</f>
        <v>-487.90999999999997</v>
      </c>
      <c r="M329" s="2">
        <v>74.16</v>
      </c>
      <c r="N329" s="2"/>
      <c r="O329" s="2"/>
      <c r="P329" s="162">
        <f>+EJECUTADO[[#This Row],[MONTO SOLICITADO]]-EJECUTADO[[#This Row],[RETENCION IVA]]-EJECUTADO[[#This Row],[RETENCION ISR]]</f>
        <v>74.16</v>
      </c>
      <c r="Q329" s="84" t="s">
        <v>1000</v>
      </c>
      <c r="R329" s="2"/>
      <c r="S329">
        <v>1</v>
      </c>
      <c r="T329" s="168" t="str">
        <f t="shared" si="10"/>
        <v>INVERSIONES Y PROYECTOS ESPECIALES - LA CUENTA SELECCIONADA NO PERMITE MOVIMIENTO Disponible $-487.91 Solicitado $74.16 PRESUPUESTO: NO</v>
      </c>
    </row>
    <row r="330" spans="1:20" ht="45" x14ac:dyDescent="0.25">
      <c r="A330" s="6">
        <f t="shared" si="11"/>
        <v>329</v>
      </c>
      <c r="B330" s="21">
        <v>45327</v>
      </c>
      <c r="C330" s="17" t="s">
        <v>1525</v>
      </c>
      <c r="D330" s="65" t="s">
        <v>1526</v>
      </c>
      <c r="E330" s="65"/>
      <c r="F330" t="s">
        <v>1206</v>
      </c>
      <c r="G330" s="161">
        <f>MONTH(EJECUTADO[[#This Row],[FECHA]])</f>
        <v>2</v>
      </c>
      <c r="H330" s="163" t="str">
        <f>MID(EJECUTADO[[#This Row],[CUENTA]],1,4)</f>
        <v>E-11</v>
      </c>
      <c r="I330" s="163" t="str">
        <f>INDEX(CATALOGO[Descripción],MATCH(EJECUTADO[[#This Row],[APLICACIÓN]]&amp;"-00-00-00",CATALOGO[Código],0))</f>
        <v>INVESTIGACIONES</v>
      </c>
      <c r="J3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330" s="161" t="str">
        <f>IF((EJECUTADO[[#This Row],[MONTO DISPONIBLE ]]-EJECUTADO[[#This Row],[MONTO SOLICITADO]])&gt;=0,"PRESUPUESTO: SI","PRESUPUESTO: NO")</f>
        <v>PRESUPUESTO: SI</v>
      </c>
      <c r="L330" s="162">
        <f>SUMIF(PRESUPUESTO[CUENTA],EJECUTADO[[#This Row],[CUENTA]],PRESUPUESTO[MONTO])-SUMIF($F$1:F329,EJECUTADO[[#This Row],[CUENTA]],$M$1:M329)</f>
        <v>932250</v>
      </c>
      <c r="M330" s="2">
        <v>234</v>
      </c>
      <c r="N330" s="2"/>
      <c r="O330" s="2"/>
      <c r="P330" s="162">
        <f>+EJECUTADO[[#This Row],[MONTO SOLICITADO]]-EJECUTADO[[#This Row],[RETENCION IVA]]-EJECUTADO[[#This Row],[RETENCION ISR]]</f>
        <v>234</v>
      </c>
      <c r="Q330" s="84" t="s">
        <v>1000</v>
      </c>
      <c r="R330" s="2"/>
      <c r="S330">
        <v>1</v>
      </c>
      <c r="T330" s="168" t="str">
        <f t="shared" si="10"/>
        <v>INVESTIGACIONES - Asesoria Montealban $ 84, 750.x12 Disponible $932250 Solicitado $234 PRESUPUESTO: SI</v>
      </c>
    </row>
    <row r="331" spans="1:20" ht="45" x14ac:dyDescent="0.25">
      <c r="A331" s="6">
        <f t="shared" si="11"/>
        <v>330</v>
      </c>
      <c r="B331" s="21">
        <v>45327</v>
      </c>
      <c r="C331" s="17" t="s">
        <v>1525</v>
      </c>
      <c r="D331" s="65" t="s">
        <v>1527</v>
      </c>
      <c r="E331" s="65"/>
      <c r="F331" t="s">
        <v>1206</v>
      </c>
      <c r="G331" s="161">
        <f>MONTH(EJECUTADO[[#This Row],[FECHA]])</f>
        <v>2</v>
      </c>
      <c r="H331" s="163" t="str">
        <f>MID(EJECUTADO[[#This Row],[CUENTA]],1,4)</f>
        <v>E-11</v>
      </c>
      <c r="I331" s="163" t="str">
        <f>INDEX(CATALOGO[Descripción],MATCH(EJECUTADO[[#This Row],[APLICACIÓN]]&amp;"-00-00-00",CATALOGO[Código],0))</f>
        <v>INVESTIGACIONES</v>
      </c>
      <c r="J3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331" s="161" t="str">
        <f>IF((EJECUTADO[[#This Row],[MONTO DISPONIBLE ]]-EJECUTADO[[#This Row],[MONTO SOLICITADO]])&gt;=0,"PRESUPUESTO: SI","PRESUPUESTO: NO")</f>
        <v>PRESUPUESTO: SI</v>
      </c>
      <c r="L331" s="162">
        <f>SUMIF(PRESUPUESTO[CUENTA],EJECUTADO[[#This Row],[CUENTA]],PRESUPUESTO[MONTO])-SUMIF($F$1:F330,EJECUTADO[[#This Row],[CUENTA]],$M$1:M330)</f>
        <v>932016</v>
      </c>
      <c r="M331" s="2">
        <v>1000</v>
      </c>
      <c r="N331" s="2"/>
      <c r="O331" s="2"/>
      <c r="P331" s="162">
        <f>+EJECUTADO[[#This Row],[MONTO SOLICITADO]]-EJECUTADO[[#This Row],[RETENCION IVA]]-EJECUTADO[[#This Row],[RETENCION ISR]]</f>
        <v>1000</v>
      </c>
      <c r="Q331" s="84" t="s">
        <v>1000</v>
      </c>
      <c r="R331" s="2"/>
      <c r="S331">
        <v>1</v>
      </c>
      <c r="T331" s="168" t="str">
        <f t="shared" si="10"/>
        <v>INVESTIGACIONES - Asesoria Montealban $ 84, 750.x12 Disponible $932016 Solicitado $1000 PRESUPUESTO: SI</v>
      </c>
    </row>
    <row r="332" spans="1:20" ht="30" x14ac:dyDescent="0.25">
      <c r="A332" s="6">
        <f t="shared" si="11"/>
        <v>331</v>
      </c>
      <c r="B332" s="21">
        <v>45327</v>
      </c>
      <c r="C332" s="17" t="s">
        <v>1152</v>
      </c>
      <c r="D332" s="65" t="s">
        <v>1153</v>
      </c>
      <c r="E332" s="65"/>
      <c r="F332" t="s">
        <v>1322</v>
      </c>
      <c r="G332" s="161">
        <f>MONTH(EJECUTADO[[#This Row],[FECHA]])</f>
        <v>2</v>
      </c>
      <c r="H332" s="163" t="str">
        <f>MID(EJECUTADO[[#This Row],[CUENTA]],1,4)</f>
        <v>E-09</v>
      </c>
      <c r="I332" s="163" t="str">
        <f>INDEX(CATALOGO[Descripción],MATCH(EJECUTADO[[#This Row],[APLICACIÓN]]&amp;"-00-00-00",CATALOGO[Código],0))</f>
        <v>PRESTACIONES AL PERSONAL</v>
      </c>
      <c r="J3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332" s="161" t="str">
        <f>IF((EJECUTADO[[#This Row],[MONTO DISPONIBLE ]]-EJECUTADO[[#This Row],[MONTO SOLICITADO]])&gt;=0,"PRESUPUESTO: SI","PRESUPUESTO: NO")</f>
        <v>PRESUPUESTO: SI</v>
      </c>
      <c r="L332" s="162">
        <f>SUMIF(PRESUPUESTO[CUENTA],EJECUTADO[[#This Row],[CUENTA]],PRESUPUESTO[MONTO])-SUMIF($F$1:F331,EJECUTADO[[#This Row],[CUENTA]],$M$1:M331)</f>
        <v>5569.68</v>
      </c>
      <c r="M332" s="2">
        <v>1319.05</v>
      </c>
      <c r="N332" s="2"/>
      <c r="O332" s="2"/>
      <c r="P332" s="162">
        <f>+EJECUTADO[[#This Row],[MONTO SOLICITADO]]-EJECUTADO[[#This Row],[RETENCION IVA]]-EJECUTADO[[#This Row],[RETENCION ISR]]</f>
        <v>1319.05</v>
      </c>
      <c r="Q332" s="84" t="s">
        <v>1000</v>
      </c>
      <c r="R332" s="2"/>
      <c r="S332">
        <v>1</v>
      </c>
      <c r="T332" s="168" t="str">
        <f t="shared" si="10"/>
        <v>PRESTACIONES AL PERSONAL - SALA CUNA Disponible $5569.68 Solicitado $1319.05 PRESUPUESTO: SI</v>
      </c>
    </row>
    <row r="333" spans="1:20" ht="30" x14ac:dyDescent="0.25">
      <c r="A333" s="6">
        <f t="shared" si="11"/>
        <v>332</v>
      </c>
      <c r="B333" s="21">
        <v>45327</v>
      </c>
      <c r="C333" s="17" t="s">
        <v>1528</v>
      </c>
      <c r="D333" s="65" t="s">
        <v>1529</v>
      </c>
      <c r="E333" s="65"/>
      <c r="F333" t="s">
        <v>1214</v>
      </c>
      <c r="G333" s="161">
        <f>MONTH(EJECUTADO[[#This Row],[FECHA]])</f>
        <v>2</v>
      </c>
      <c r="H333" s="163" t="str">
        <f>MID(EJECUTADO[[#This Row],[CUENTA]],1,4)</f>
        <v>E-19</v>
      </c>
      <c r="I333" s="163" t="str">
        <f>INDEX(CATALOGO[Descripción],MATCH(EJECUTADO[[#This Row],[APLICACIÓN]]&amp;"-00-00-00",CATALOGO[Código],0))</f>
        <v>MANTENIMIENTO</v>
      </c>
      <c r="J3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333" s="161" t="str">
        <f>IF((EJECUTADO[[#This Row],[MONTO DISPONIBLE ]]-EJECUTADO[[#This Row],[MONTO SOLICITADO]])&gt;=0,"PRESUPUESTO: SI","PRESUPUESTO: NO")</f>
        <v>PRESUPUESTO: SI</v>
      </c>
      <c r="L333" s="162">
        <f>SUMIF(PRESUPUESTO[CUENTA],EJECUTADO[[#This Row],[CUENTA]],PRESUPUESTO[MONTO])-SUMIF($F$1:F332,EJECUTADO[[#This Row],[CUENTA]],$M$1:M332)</f>
        <v>37451.86</v>
      </c>
      <c r="M333" s="2">
        <v>560</v>
      </c>
      <c r="N333" s="2"/>
      <c r="O333" s="2"/>
      <c r="P333" s="162">
        <f>+EJECUTADO[[#This Row],[MONTO SOLICITADO]]-EJECUTADO[[#This Row],[RETENCION IVA]]-EJECUTADO[[#This Row],[RETENCION ISR]]</f>
        <v>560</v>
      </c>
      <c r="Q333" s="84" t="s">
        <v>1000</v>
      </c>
      <c r="R333" s="2"/>
      <c r="S333">
        <v>1</v>
      </c>
      <c r="T333" s="168" t="str">
        <f t="shared" si="10"/>
        <v>MANTENIMIENTO - Mantenimiento en talleres (Vehiculos) Disponible $37451.86 Solicitado $560 PRESUPUESTO: SI</v>
      </c>
    </row>
    <row r="334" spans="1:20" ht="45" x14ac:dyDescent="0.25">
      <c r="A334" s="6">
        <f t="shared" si="11"/>
        <v>333</v>
      </c>
      <c r="B334" s="21">
        <v>45327</v>
      </c>
      <c r="C334" s="17" t="s">
        <v>1530</v>
      </c>
      <c r="D334" s="65" t="s">
        <v>1531</v>
      </c>
      <c r="E334" s="65"/>
      <c r="F334" t="s">
        <v>1532</v>
      </c>
      <c r="G334" s="161">
        <f>MONTH(EJECUTADO[[#This Row],[FECHA]])</f>
        <v>2</v>
      </c>
      <c r="H334" s="163" t="str">
        <f>MID(EJECUTADO[[#This Row],[CUENTA]],1,4)</f>
        <v>E-31</v>
      </c>
      <c r="I334" s="163" t="str">
        <f>INDEX(CATALOGO[Descripción],MATCH(EJECUTADO[[#This Row],[APLICACIÓN]]&amp;"-00-00-00",CATALOGO[Código],0))</f>
        <v>DONACIONES</v>
      </c>
      <c r="J33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334" s="161" t="str">
        <f>IF((EJECUTADO[[#This Row],[MONTO DISPONIBLE ]]-EJECUTADO[[#This Row],[MONTO SOLICITADO]])&gt;=0,"PRESUPUESTO: SI","PRESUPUESTO: NO")</f>
        <v>PRESUPUESTO: NO</v>
      </c>
      <c r="L334" s="162">
        <f>SUMIF(PRESUPUESTO[CUENTA],EJECUTADO[[#This Row],[CUENTA]],PRESUPUESTO[MONTO])-SUMIF($F$1:F333,EJECUTADO[[#This Row],[CUENTA]],$M$1:M333)</f>
        <v>0</v>
      </c>
      <c r="M334" s="2">
        <v>5000</v>
      </c>
      <c r="N334" s="2"/>
      <c r="O334" s="2"/>
      <c r="P334" s="162">
        <f>+EJECUTADO[[#This Row],[MONTO SOLICITADO]]-EJECUTADO[[#This Row],[RETENCION IVA]]-EJECUTADO[[#This Row],[RETENCION ISR]]</f>
        <v>5000</v>
      </c>
      <c r="Q334" s="84" t="s">
        <v>1000</v>
      </c>
      <c r="R334" s="2"/>
      <c r="S334">
        <v>1</v>
      </c>
      <c r="T334" s="168" t="e">
        <f t="shared" si="10"/>
        <v>#N/A</v>
      </c>
    </row>
    <row r="335" spans="1:20" ht="90" x14ac:dyDescent="0.25">
      <c r="A335" s="6">
        <f t="shared" si="11"/>
        <v>334</v>
      </c>
      <c r="B335" s="21">
        <v>45327</v>
      </c>
      <c r="C335" s="17" t="s">
        <v>1533</v>
      </c>
      <c r="D335" s="65" t="s">
        <v>1534</v>
      </c>
      <c r="E335" s="65"/>
      <c r="F335" t="s">
        <v>1535</v>
      </c>
      <c r="G335" s="161">
        <f>MONTH(EJECUTADO[[#This Row],[FECHA]])</f>
        <v>2</v>
      </c>
      <c r="H335" s="163" t="str">
        <f>MID(EJECUTADO[[#This Row],[CUENTA]],1,4)</f>
        <v>E-08</v>
      </c>
      <c r="I335" s="163" t="str">
        <f>INDEX(CATALOGO[Descripción],MATCH(EJECUTADO[[#This Row],[APLICACIÓN]]&amp;"-00-00-00",CATALOGO[Código],0))</f>
        <v>INVERSIONES Y PROYECTOS ESPECIALES</v>
      </c>
      <c r="J3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Robot colaborativo y modulo didáctico  COMPRES, SA. DE C.V. Fct 2876, + instalaciones.</v>
      </c>
      <c r="K335" s="161" t="str">
        <f>IF((EJECUTADO[[#This Row],[MONTO DISPONIBLE ]]-EJECUTADO[[#This Row],[MONTO SOLICITADO]])&gt;=0,"PRESUPUESTO: SI","PRESUPUESTO: NO")</f>
        <v>PRESUPUESTO: SI</v>
      </c>
      <c r="L335" s="162">
        <f>SUMIF(PRESUPUESTO[CUENTA],EJECUTADO[[#This Row],[CUENTA]],PRESUPUESTO[MONTO])-SUMIF($F$1:F334,EJECUTADO[[#This Row],[CUENTA]],$M$1:M334)</f>
        <v>135500</v>
      </c>
      <c r="M335" s="2">
        <v>124300</v>
      </c>
      <c r="N335" s="2"/>
      <c r="O335" s="2"/>
      <c r="P335" s="162">
        <f>+EJECUTADO[[#This Row],[MONTO SOLICITADO]]-EJECUTADO[[#This Row],[RETENCION IVA]]-EJECUTADO[[#This Row],[RETENCION ISR]]</f>
        <v>124300</v>
      </c>
      <c r="Q335" s="84" t="s">
        <v>1000</v>
      </c>
      <c r="R335" s="2"/>
      <c r="S335">
        <v>1</v>
      </c>
      <c r="T335" s="168" t="str">
        <f t="shared" si="10"/>
        <v>INVERSIONES Y PROYECTOS ESPECIALES - Robot colaborativo y modulo didáctico  COMPRES, SA. DE C.V. Fct 2876, + instalaciones. Disponible $135500 Solicitado $124300 PRESUPUESTO: SI</v>
      </c>
    </row>
    <row r="336" spans="1:20" ht="30" x14ac:dyDescent="0.25">
      <c r="A336" s="6">
        <f t="shared" si="11"/>
        <v>335</v>
      </c>
      <c r="B336" s="21">
        <v>45329</v>
      </c>
      <c r="C336" s="160" t="s">
        <v>1124</v>
      </c>
      <c r="D336" s="65" t="s">
        <v>1536</v>
      </c>
      <c r="E336" s="65"/>
      <c r="F336" t="s">
        <v>1126</v>
      </c>
      <c r="G336" s="161">
        <f>MONTH(EJECUTADO[[#This Row],[FECHA]])</f>
        <v>2</v>
      </c>
      <c r="H336" s="163" t="str">
        <f>MID(EJECUTADO[[#This Row],[CUENTA]],1,4)</f>
        <v>E-15</v>
      </c>
      <c r="I336" s="163" t="str">
        <f>INDEX(CATALOGO[Descripción],MATCH(EJECUTADO[[#This Row],[APLICACIÓN]]&amp;"-00-00-00",CATALOGO[Código],0))</f>
        <v>ALQUILERES</v>
      </c>
      <c r="J3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336" s="161" t="str">
        <f>IF((EJECUTADO[[#This Row],[MONTO DISPONIBLE ]]-EJECUTADO[[#This Row],[MONTO SOLICITADO]])&gt;=0,"PRESUPUESTO: SI","PRESUPUESTO: NO")</f>
        <v>PRESUPUESTO: SI</v>
      </c>
      <c r="L336" s="162">
        <f>SUMIF(PRESUPUESTO[CUENTA],EJECUTADO[[#This Row],[CUENTA]],PRESUPUESTO[MONTO])-SUMIF($F$1:F335,EJECUTADO[[#This Row],[CUENTA]],$M$1:M335)</f>
        <v>50500</v>
      </c>
      <c r="M336" s="2">
        <v>1200</v>
      </c>
      <c r="N336" s="2"/>
      <c r="O336" s="2"/>
      <c r="P336" s="162">
        <f>+EJECUTADO[[#This Row],[MONTO SOLICITADO]]-EJECUTADO[[#This Row],[RETENCION IVA]]-EJECUTADO[[#This Row],[RETENCION ISR]]</f>
        <v>1200</v>
      </c>
      <c r="Q336" s="84" t="s">
        <v>1000</v>
      </c>
      <c r="R336" s="2"/>
      <c r="S336">
        <v>1</v>
      </c>
      <c r="T336" s="168" t="str">
        <f t="shared" si="10"/>
        <v>ALQUILERES - Alquiler de edificio Thomas Jefferson Disponible $50500 Solicitado $1200 PRESUPUESTO: SI</v>
      </c>
    </row>
    <row r="337" spans="1:20" ht="30" x14ac:dyDescent="0.25">
      <c r="A337" s="6">
        <f t="shared" si="11"/>
        <v>336</v>
      </c>
      <c r="B337" s="21">
        <v>45329</v>
      </c>
      <c r="C337" s="17" t="s">
        <v>1127</v>
      </c>
      <c r="D337" s="65" t="s">
        <v>1536</v>
      </c>
      <c r="E337" s="65"/>
      <c r="F337" t="s">
        <v>1126</v>
      </c>
      <c r="G337" s="161">
        <f>MONTH(EJECUTADO[[#This Row],[FECHA]])</f>
        <v>2</v>
      </c>
      <c r="H337" s="163" t="str">
        <f>MID(EJECUTADO[[#This Row],[CUENTA]],1,4)</f>
        <v>E-15</v>
      </c>
      <c r="I337" s="163" t="str">
        <f>INDEX(CATALOGO[Descripción],MATCH(EJECUTADO[[#This Row],[APLICACIÓN]]&amp;"-00-00-00",CATALOGO[Código],0))</f>
        <v>ALQUILERES</v>
      </c>
      <c r="J3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337" s="161" t="str">
        <f>IF((EJECUTADO[[#This Row],[MONTO DISPONIBLE ]]-EJECUTADO[[#This Row],[MONTO SOLICITADO]])&gt;=0,"PRESUPUESTO: SI","PRESUPUESTO: NO")</f>
        <v>PRESUPUESTO: SI</v>
      </c>
      <c r="L337" s="162">
        <f>SUMIF(PRESUPUESTO[CUENTA],EJECUTADO[[#This Row],[CUENTA]],PRESUPUESTO[MONTO])-SUMIF($F$1:F336,EJECUTADO[[#This Row],[CUENTA]],$M$1:M336)</f>
        <v>49300</v>
      </c>
      <c r="M337" s="2">
        <v>1100</v>
      </c>
      <c r="N337" s="84">
        <f>973.45*0.01</f>
        <v>9.7345000000000006</v>
      </c>
      <c r="O337" s="84">
        <f>973.45*10%</f>
        <v>97.345000000000013</v>
      </c>
      <c r="P337" s="162">
        <f>+EJECUTADO[[#This Row],[MONTO SOLICITADO]]-EJECUTADO[[#This Row],[RETENCION IVA]]-EJECUTADO[[#This Row],[RETENCION ISR]]</f>
        <v>992.92049999999995</v>
      </c>
      <c r="Q337" s="84" t="s">
        <v>1000</v>
      </c>
      <c r="R337" s="2"/>
      <c r="S337">
        <v>1</v>
      </c>
      <c r="T337" s="168" t="str">
        <f t="shared" si="10"/>
        <v>ALQUILERES - Alquiler de edificio Thomas Jefferson Disponible $49300 Solicitado $1100 PRESUPUESTO: SI</v>
      </c>
    </row>
    <row r="338" spans="1:20" s="117" customFormat="1" ht="30" x14ac:dyDescent="0.25">
      <c r="A338" s="115">
        <f t="shared" si="11"/>
        <v>337</v>
      </c>
      <c r="B338" s="118">
        <v>45329</v>
      </c>
      <c r="C338" s="160" t="s">
        <v>1129</v>
      </c>
      <c r="D338" s="116" t="s">
        <v>1536</v>
      </c>
      <c r="E338" s="116"/>
      <c r="F338" s="117" t="s">
        <v>1126</v>
      </c>
      <c r="G338" s="178">
        <f>MONTH(EJECUTADO[[#This Row],[FECHA]])</f>
        <v>2</v>
      </c>
      <c r="H338" s="179" t="str">
        <f>MID(EJECUTADO[[#This Row],[CUENTA]],1,4)</f>
        <v>E-15</v>
      </c>
      <c r="I338" s="179" t="str">
        <f>INDEX(CATALOGO[Descripción],MATCH(EJECUTADO[[#This Row],[APLICACIÓN]]&amp;"-00-00-00",CATALOGO[Código],0))</f>
        <v>ALQUILERES</v>
      </c>
      <c r="J338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338" s="178" t="str">
        <f>IF((EJECUTADO[[#This Row],[MONTO DISPONIBLE ]]-EJECUTADO[[#This Row],[MONTO SOLICITADO]])&gt;=0,"PRESUPUESTO: SI","PRESUPUESTO: NO")</f>
        <v>PRESUPUESTO: SI</v>
      </c>
      <c r="L338" s="165">
        <f>SUMIF(PRESUPUESTO[CUENTA],EJECUTADO[[#This Row],[CUENTA]],PRESUPUESTO[MONTO])-SUMIF($F$1:F337,EJECUTADO[[#This Row],[CUENTA]],$M$1:M337)</f>
        <v>48200</v>
      </c>
      <c r="M338" s="119">
        <v>1200</v>
      </c>
      <c r="N338" s="119"/>
      <c r="O338" s="119"/>
      <c r="P338" s="165">
        <f>+EJECUTADO[[#This Row],[MONTO SOLICITADO]]-EJECUTADO[[#This Row],[RETENCION IVA]]-EJECUTADO[[#This Row],[RETENCION ISR]]</f>
        <v>1200</v>
      </c>
      <c r="Q338" s="120" t="s">
        <v>1000</v>
      </c>
      <c r="R338" s="119"/>
      <c r="S338" s="117">
        <v>1</v>
      </c>
      <c r="T338" s="180" t="str">
        <f t="shared" si="10"/>
        <v>ALQUILERES - Alquiler de edificio Thomas Jefferson Disponible $48200 Solicitado $1200 PRESUPUESTO: SI</v>
      </c>
    </row>
    <row r="339" spans="1:20" ht="30" x14ac:dyDescent="0.25">
      <c r="A339" s="6">
        <f t="shared" si="11"/>
        <v>338</v>
      </c>
      <c r="B339" s="21">
        <v>45329</v>
      </c>
      <c r="C339" s="17" t="s">
        <v>1130</v>
      </c>
      <c r="D339" s="65" t="s">
        <v>1131</v>
      </c>
      <c r="E339" s="65"/>
      <c r="F339" t="s">
        <v>1132</v>
      </c>
      <c r="G339" s="161">
        <f>MONTH(EJECUTADO[[#This Row],[FECHA]])</f>
        <v>2</v>
      </c>
      <c r="H339" s="163" t="str">
        <f>MID(EJECUTADO[[#This Row],[CUENTA]],1,4)</f>
        <v>E-15</v>
      </c>
      <c r="I339" s="163" t="str">
        <f>INDEX(CATALOGO[Descripción],MATCH(EJECUTADO[[#This Row],[APLICACIÓN]]&amp;"-00-00-00",CATALOGO[Código],0))</f>
        <v>ALQUILERES</v>
      </c>
      <c r="J3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339" s="161" t="str">
        <f>IF((EJECUTADO[[#This Row],[MONTO DISPONIBLE ]]-EJECUTADO[[#This Row],[MONTO SOLICITADO]])&gt;=0,"PRESUPUESTO: SI","PRESUPUESTO: NO")</f>
        <v>PRESUPUESTO: SI</v>
      </c>
      <c r="L339" s="162">
        <f>SUMIF(PRESUPUESTO[CUENTA],EJECUTADO[[#This Row],[CUENTA]],PRESUPUESTO[MONTO])-SUMIF($F$1:F338,EJECUTADO[[#This Row],[CUENTA]],$M$1:M338)</f>
        <v>9957.7199999999993</v>
      </c>
      <c r="M339" s="2">
        <v>1500</v>
      </c>
      <c r="N339" s="2"/>
      <c r="O339" s="2"/>
      <c r="P339" s="162">
        <f>+EJECUTADO[[#This Row],[MONTO SOLICITADO]]-EJECUTADO[[#This Row],[RETENCION IVA]]-EJECUTADO[[#This Row],[RETENCION ISR]]</f>
        <v>1500</v>
      </c>
      <c r="Q339" s="84" t="s">
        <v>1000</v>
      </c>
      <c r="R339" s="2"/>
      <c r="S339">
        <v>1</v>
      </c>
      <c r="T339" s="168" t="str">
        <f t="shared" si="10"/>
        <v>ALQUILERES - Casa  118 Edith de Molina Neira $ 2,292.28x 6 Disponible $9957.72 Solicitado $1500 PRESUPUESTO: SI</v>
      </c>
    </row>
    <row r="340" spans="1:20" ht="30" x14ac:dyDescent="0.25">
      <c r="A340" s="6">
        <f t="shared" si="11"/>
        <v>339</v>
      </c>
      <c r="B340" s="21">
        <v>45329</v>
      </c>
      <c r="C340" s="17" t="s">
        <v>1191</v>
      </c>
      <c r="D340" s="65" t="s">
        <v>1324</v>
      </c>
      <c r="E340" s="65"/>
      <c r="F340" t="s">
        <v>1074</v>
      </c>
      <c r="G340" s="161">
        <f>MONTH(EJECUTADO[[#This Row],[FECHA]])</f>
        <v>2</v>
      </c>
      <c r="H340" s="163" t="str">
        <f>MID(EJECUTADO[[#This Row],[CUENTA]],1,4)</f>
        <v>E-15</v>
      </c>
      <c r="I340" s="163" t="str">
        <f>INDEX(CATALOGO[Descripción],MATCH(EJECUTADO[[#This Row],[APLICACIÓN]]&amp;"-00-00-00",CATALOGO[Código],0))</f>
        <v>ALQUILERES</v>
      </c>
      <c r="J3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Parqueo de estudiantes Calleja 12   $ 11,136.33</v>
      </c>
      <c r="K340" s="161" t="str">
        <f>IF((EJECUTADO[[#This Row],[MONTO DISPONIBLE ]]-EJECUTADO[[#This Row],[MONTO SOLICITADO]])&gt;=0,"PRESUPUESTO: SI","PRESUPUESTO: NO")</f>
        <v>PRESUPUESTO: SI</v>
      </c>
      <c r="L340" s="162">
        <f>SUMIF(PRESUPUESTO[CUENTA],EJECUTADO[[#This Row],[CUENTA]],PRESUPUESTO[MONTO])-SUMIF($F$1:F339,EJECUTADO[[#This Row],[CUENTA]],$M$1:M339)</f>
        <v>121185.57</v>
      </c>
      <c r="M340" s="2">
        <v>11136.33</v>
      </c>
      <c r="N340" s="2"/>
      <c r="O340" s="2"/>
      <c r="P340" s="162">
        <f>+EJECUTADO[[#This Row],[MONTO SOLICITADO]]-EJECUTADO[[#This Row],[RETENCION IVA]]-EJECUTADO[[#This Row],[RETENCION ISR]]</f>
        <v>11136.33</v>
      </c>
      <c r="Q340" s="84" t="s">
        <v>1000</v>
      </c>
      <c r="R340" s="2"/>
      <c r="S340">
        <v>1</v>
      </c>
      <c r="T340" s="168" t="str">
        <f t="shared" si="10"/>
        <v>ALQUILERES - Parqueo de estudiantes Calleja 12   $ 11,136.33 Disponible $121185.57 Solicitado $11136.33 PRESUPUESTO: SI</v>
      </c>
    </row>
    <row r="341" spans="1:20" ht="30" x14ac:dyDescent="0.25">
      <c r="A341" s="6">
        <f t="shared" si="11"/>
        <v>340</v>
      </c>
      <c r="B341" s="21">
        <v>45329</v>
      </c>
      <c r="C341" s="17" t="s">
        <v>1135</v>
      </c>
      <c r="D341" s="65" t="s">
        <v>1537</v>
      </c>
      <c r="E341" s="65"/>
      <c r="F341" s="37" t="s">
        <v>1137</v>
      </c>
      <c r="G341" s="161">
        <f>MONTH(EJECUTADO[[#This Row],[FECHA]])</f>
        <v>2</v>
      </c>
      <c r="H341" s="163" t="str">
        <f>MID(EJECUTADO[[#This Row],[CUENTA]],1,4)</f>
        <v>E-01</v>
      </c>
      <c r="I341" s="163" t="str">
        <f>INDEX(CATALOGO[Descripción],MATCH(EJECUTADO[[#This Row],[APLICACIÓN]]&amp;"-00-00-00",CATALOGO[Código],0))</f>
        <v>SERVICIOS PROFESIONALES</v>
      </c>
      <c r="J3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MANTENIMIENTO</v>
      </c>
      <c r="K341" s="161" t="str">
        <f>IF((EJECUTADO[[#This Row],[MONTO DISPONIBLE ]]-EJECUTADO[[#This Row],[MONTO SOLICITADO]])&gt;=0,"PRESUPUESTO: SI","PRESUPUESTO: NO")</f>
        <v>PRESUPUESTO: SI</v>
      </c>
      <c r="L341" s="162">
        <f>SUMIF(PRESUPUESTO[CUENTA],EJECUTADO[[#This Row],[CUENTA]],PRESUPUESTO[MONTO])-SUMIF($F$1:F340,EJECUTADO[[#This Row],[CUENTA]],$M$1:M340)</f>
        <v>88000</v>
      </c>
      <c r="M341" s="2">
        <v>8000</v>
      </c>
      <c r="N341" s="2"/>
      <c r="O341" s="2"/>
      <c r="P341" s="162">
        <f>+EJECUTADO[[#This Row],[MONTO SOLICITADO]]-EJECUTADO[[#This Row],[RETENCION IVA]]-EJECUTADO[[#This Row],[RETENCION ISR]]</f>
        <v>8000</v>
      </c>
      <c r="Q341" s="84" t="s">
        <v>1000</v>
      </c>
      <c r="R341" s="2"/>
      <c r="S341">
        <v>1</v>
      </c>
      <c r="T341" s="168" t="str">
        <f t="shared" si="10"/>
        <v>SERVICIOS PROFESIONALES - SERVICIOS DE MANTENIMIENTO Disponible $88000 Solicitado $8000 PRESUPUESTO: SI</v>
      </c>
    </row>
    <row r="342" spans="1:20" ht="30" x14ac:dyDescent="0.25">
      <c r="A342" s="6">
        <f t="shared" si="11"/>
        <v>341</v>
      </c>
      <c r="B342" s="21">
        <v>45329</v>
      </c>
      <c r="C342" s="17" t="s">
        <v>1196</v>
      </c>
      <c r="D342" s="65" t="s">
        <v>1538</v>
      </c>
      <c r="E342" s="65"/>
      <c r="F342" t="s">
        <v>1198</v>
      </c>
      <c r="G342" s="161">
        <f>MONTH(EJECUTADO[[#This Row],[FECHA]])</f>
        <v>2</v>
      </c>
      <c r="H342" s="163" t="str">
        <f>MID(EJECUTADO[[#This Row],[CUENTA]],1,4)</f>
        <v>E-01</v>
      </c>
      <c r="I342" s="163" t="str">
        <f>INDEX(CATALOGO[Descripción],MATCH(EJECUTADO[[#This Row],[APLICACIÓN]]&amp;"-00-00-00",CATALOGO[Código],0))</f>
        <v>SERVICIOS PROFESIONALES</v>
      </c>
      <c r="J3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LIMPIEZA</v>
      </c>
      <c r="K342" s="161" t="str">
        <f>IF((EJECUTADO[[#This Row],[MONTO DISPONIBLE ]]-EJECUTADO[[#This Row],[MONTO SOLICITADO]])&gt;=0,"PRESUPUESTO: SI","PRESUPUESTO: NO")</f>
        <v>PRESUPUESTO: SI</v>
      </c>
      <c r="L342" s="162">
        <f>SUMIF(PRESUPUESTO[CUENTA],EJECUTADO[[#This Row],[CUENTA]],PRESUPUESTO[MONTO])-SUMIF($F$1:F341,EJECUTADO[[#This Row],[CUENTA]],$M$1:M341)</f>
        <v>1211750</v>
      </c>
      <c r="M342" s="2">
        <v>119250</v>
      </c>
      <c r="N342" s="2"/>
      <c r="O342" s="2"/>
      <c r="P342" s="162">
        <f>+EJECUTADO[[#This Row],[MONTO SOLICITADO]]-EJECUTADO[[#This Row],[RETENCION IVA]]-EJECUTADO[[#This Row],[RETENCION ISR]]</f>
        <v>119250</v>
      </c>
      <c r="Q342" s="84" t="s">
        <v>1000</v>
      </c>
      <c r="R342" s="2"/>
      <c r="S342">
        <v>1</v>
      </c>
      <c r="T342" s="168" t="str">
        <f t="shared" si="10"/>
        <v>SERVICIOS PROFESIONALES - SERVICIOS DE LIMPIEZA Disponible $1211750 Solicitado $119250 PRESUPUESTO: SI</v>
      </c>
    </row>
    <row r="343" spans="1:20" ht="30" x14ac:dyDescent="0.25">
      <c r="A343" s="6">
        <f t="shared" si="11"/>
        <v>342</v>
      </c>
      <c r="B343" s="21">
        <v>45329</v>
      </c>
      <c r="C343" s="17" t="s">
        <v>1196</v>
      </c>
      <c r="D343" s="65" t="s">
        <v>1538</v>
      </c>
      <c r="E343" s="65"/>
      <c r="F343" t="s">
        <v>1199</v>
      </c>
      <c r="G343" s="161">
        <f>MONTH(EJECUTADO[[#This Row],[FECHA]])</f>
        <v>2</v>
      </c>
      <c r="H343" s="163" t="str">
        <f>MID(EJECUTADO[[#This Row],[CUENTA]],1,4)</f>
        <v>E-13</v>
      </c>
      <c r="I343" s="163" t="str">
        <f>INDEX(CATALOGO[Descripción],MATCH(EJECUTADO[[#This Row],[APLICACIÓN]]&amp;"-00-00-00",CATALOGO[Código],0))</f>
        <v>MAESTRIAS Y POSTGRADOS</v>
      </c>
      <c r="J3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LIMPIEZA Y JARDINERIA</v>
      </c>
      <c r="K343" s="161" t="str">
        <f>IF((EJECUTADO[[#This Row],[MONTO DISPONIBLE ]]-EJECUTADO[[#This Row],[MONTO SOLICITADO]])&gt;=0,"PRESUPUESTO: SI","PRESUPUESTO: NO")</f>
        <v>PRESUPUESTO: SI</v>
      </c>
      <c r="L343" s="162">
        <f>SUMIF(PRESUPUESTO[CUENTA],EJECUTADO[[#This Row],[CUENTA]],PRESUPUESTO[MONTO])-SUMIF($F$1:F342,EJECUTADO[[#This Row],[CUENTA]],$M$1:M342)</f>
        <v>41266</v>
      </c>
      <c r="M343" s="2">
        <v>3350</v>
      </c>
      <c r="N343" s="2"/>
      <c r="O343" s="2"/>
      <c r="P343" s="162">
        <f>+EJECUTADO[[#This Row],[MONTO SOLICITADO]]-EJECUTADO[[#This Row],[RETENCION IVA]]-EJECUTADO[[#This Row],[RETENCION ISR]]</f>
        <v>3350</v>
      </c>
      <c r="Q343" s="84" t="s">
        <v>1000</v>
      </c>
      <c r="R343" s="2"/>
      <c r="S343">
        <v>1</v>
      </c>
      <c r="T343" s="168" t="str">
        <f t="shared" si="10"/>
        <v>MAESTRIAS Y POSTGRADOS - SERVICIO DE LIMPIEZA Y JARDINERIA Disponible $41266 Solicitado $3350 PRESUPUESTO: SI</v>
      </c>
    </row>
    <row r="344" spans="1:20" ht="30" x14ac:dyDescent="0.25">
      <c r="A344" s="6">
        <f t="shared" si="11"/>
        <v>343</v>
      </c>
      <c r="B344" s="21">
        <v>45329</v>
      </c>
      <c r="C344" s="17" t="s">
        <v>1200</v>
      </c>
      <c r="D344" s="65" t="s">
        <v>1539</v>
      </c>
      <c r="E344" s="65"/>
      <c r="F344" t="s">
        <v>1202</v>
      </c>
      <c r="G344" s="161">
        <f>MONTH(EJECUTADO[[#This Row],[FECHA]])</f>
        <v>2</v>
      </c>
      <c r="H344" s="163" t="str">
        <f>MID(EJECUTADO[[#This Row],[CUENTA]],1,4)</f>
        <v>E-01</v>
      </c>
      <c r="I344" s="163" t="str">
        <f>INDEX(CATALOGO[Descripción],MATCH(EJECUTADO[[#This Row],[APLICACIÓN]]&amp;"-00-00-00",CATALOGO[Código],0))</f>
        <v>SERVICIOS PROFESIONALES</v>
      </c>
      <c r="J3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VIGILANCIA</v>
      </c>
      <c r="K344" s="161" t="str">
        <f>IF((EJECUTADO[[#This Row],[MONTO DISPONIBLE ]]-EJECUTADO[[#This Row],[MONTO SOLICITADO]])&gt;=0,"PRESUPUESTO: SI","PRESUPUESTO: NO")</f>
        <v>PRESUPUESTO: SI</v>
      </c>
      <c r="L344" s="162">
        <f>SUMIF(PRESUPUESTO[CUENTA],EJECUTADO[[#This Row],[CUENTA]],PRESUPUESTO[MONTO])-SUMIF($F$1:F343,EJECUTADO[[#This Row],[CUENTA]],$M$1:M343)</f>
        <v>706310</v>
      </c>
      <c r="M344" s="2">
        <v>64210</v>
      </c>
      <c r="N344" s="2"/>
      <c r="O344" s="2"/>
      <c r="P344" s="162">
        <f>+EJECUTADO[[#This Row],[MONTO SOLICITADO]]-EJECUTADO[[#This Row],[RETENCION IVA]]-EJECUTADO[[#This Row],[RETENCION ISR]]</f>
        <v>64210</v>
      </c>
      <c r="Q344" s="84" t="s">
        <v>1000</v>
      </c>
      <c r="R344" s="2"/>
      <c r="S344">
        <v>1</v>
      </c>
      <c r="T344" s="168" t="str">
        <f t="shared" si="10"/>
        <v>SERVICIOS PROFESIONALES - SERVICIOS DE VIGILANCIA Disponible $706310 Solicitado $64210 PRESUPUESTO: SI</v>
      </c>
    </row>
    <row r="345" spans="1:20" ht="30" x14ac:dyDescent="0.25">
      <c r="A345" s="6">
        <f t="shared" si="11"/>
        <v>344</v>
      </c>
      <c r="B345" s="21">
        <v>45329</v>
      </c>
      <c r="C345" s="17" t="s">
        <v>1200</v>
      </c>
      <c r="D345" s="65" t="s">
        <v>1539</v>
      </c>
      <c r="E345" s="65"/>
      <c r="F345" t="s">
        <v>1203</v>
      </c>
      <c r="G345" s="161">
        <f>MONTH(EJECUTADO[[#This Row],[FECHA]])</f>
        <v>2</v>
      </c>
      <c r="H345" s="163" t="str">
        <f>MID(EJECUTADO[[#This Row],[CUENTA]],1,4)</f>
        <v>E-13</v>
      </c>
      <c r="I345" s="163" t="str">
        <f>INDEX(CATALOGO[Descripción],MATCH(EJECUTADO[[#This Row],[APLICACIÓN]]&amp;"-00-00-00",CATALOGO[Código],0))</f>
        <v>MAESTRIAS Y POSTGRADOS</v>
      </c>
      <c r="J3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DE SEGURIDAD </v>
      </c>
      <c r="K345" s="161" t="str">
        <f>IF((EJECUTADO[[#This Row],[MONTO DISPONIBLE ]]-EJECUTADO[[#This Row],[MONTO SOLICITADO]])&gt;=0,"PRESUPUESTO: SI","PRESUPUESTO: NO")</f>
        <v>PRESUPUESTO: SI</v>
      </c>
      <c r="L345" s="162">
        <f>SUMIF(PRESUPUESTO[CUENTA],EJECUTADO[[#This Row],[CUENTA]],PRESUPUESTO[MONTO])-SUMIF($F$1:F344,EJECUTADO[[#This Row],[CUENTA]],$M$1:M344)</f>
        <v>117610</v>
      </c>
      <c r="M345" s="2">
        <v>3590</v>
      </c>
      <c r="N345" s="2"/>
      <c r="O345" s="2"/>
      <c r="P345" s="162">
        <f>+EJECUTADO[[#This Row],[MONTO SOLICITADO]]-EJECUTADO[[#This Row],[RETENCION IVA]]-EJECUTADO[[#This Row],[RETENCION ISR]]</f>
        <v>3590</v>
      </c>
      <c r="Q345" s="84" t="s">
        <v>1000</v>
      </c>
      <c r="R345" s="2"/>
      <c r="S345">
        <v>1</v>
      </c>
      <c r="T345" s="168" t="str">
        <f t="shared" si="10"/>
        <v>MAESTRIAS Y POSTGRADOS - SERVICIOS DE SEGURIDAD  Disponible $117610 Solicitado $3590 PRESUPUESTO: SI</v>
      </c>
    </row>
    <row r="346" spans="1:20" ht="30" x14ac:dyDescent="0.25">
      <c r="A346" s="6">
        <f t="shared" si="11"/>
        <v>345</v>
      </c>
      <c r="B346" s="21">
        <v>45329</v>
      </c>
      <c r="C346" s="17" t="s">
        <v>1540</v>
      </c>
      <c r="D346" s="65" t="s">
        <v>1541</v>
      </c>
      <c r="E346" s="65"/>
      <c r="F346" t="s">
        <v>1132</v>
      </c>
      <c r="G346" s="161">
        <f>MONTH(EJECUTADO[[#This Row],[FECHA]])</f>
        <v>2</v>
      </c>
      <c r="H346" s="163" t="str">
        <f>MID(EJECUTADO[[#This Row],[CUENTA]],1,4)</f>
        <v>E-15</v>
      </c>
      <c r="I346" s="163" t="str">
        <f>INDEX(CATALOGO[Descripción],MATCH(EJECUTADO[[#This Row],[APLICACIÓN]]&amp;"-00-00-00",CATALOGO[Código],0))</f>
        <v>ALQUILERES</v>
      </c>
      <c r="J3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346" s="161" t="str">
        <f>IF((EJECUTADO[[#This Row],[MONTO DISPONIBLE ]]-EJECUTADO[[#This Row],[MONTO SOLICITADO]])&gt;=0,"PRESUPUESTO: SI","PRESUPUESTO: NO")</f>
        <v>PRESUPUESTO: SI</v>
      </c>
      <c r="L346" s="162">
        <f>SUMIF(PRESUPUESTO[CUENTA],EJECUTADO[[#This Row],[CUENTA]],PRESUPUESTO[MONTO])-SUMIF($F$1:F345,EJECUTADO[[#This Row],[CUENTA]],$M$1:M345)</f>
        <v>8457.7199999999993</v>
      </c>
      <c r="M346" s="2">
        <v>2292.2800000000002</v>
      </c>
      <c r="N346" s="2"/>
      <c r="O346" s="2"/>
      <c r="P346" s="162">
        <f>+EJECUTADO[[#This Row],[MONTO SOLICITADO]]-EJECUTADO[[#This Row],[RETENCION IVA]]-EJECUTADO[[#This Row],[RETENCION ISR]]</f>
        <v>2292.2800000000002</v>
      </c>
      <c r="Q346" s="84" t="s">
        <v>1000</v>
      </c>
      <c r="R346" s="2"/>
      <c r="S346">
        <v>1</v>
      </c>
      <c r="T346" s="168" t="str">
        <f t="shared" si="10"/>
        <v>ALQUILERES - Casa  118 Edith de Molina Neira $ 2,292.28x 6 Disponible $8457.72 Solicitado $2292.28 PRESUPUESTO: SI</v>
      </c>
    </row>
    <row r="347" spans="1:20" ht="45" x14ac:dyDescent="0.25">
      <c r="A347" s="6">
        <f t="shared" si="11"/>
        <v>346</v>
      </c>
      <c r="B347" s="21">
        <v>45329</v>
      </c>
      <c r="C347" s="17" t="s">
        <v>1204</v>
      </c>
      <c r="D347" s="65" t="s">
        <v>1542</v>
      </c>
      <c r="E347" s="65"/>
      <c r="F347" t="s">
        <v>1206</v>
      </c>
      <c r="G347" s="161">
        <f>MONTH(EJECUTADO[[#This Row],[FECHA]])</f>
        <v>2</v>
      </c>
      <c r="H347" s="163" t="str">
        <f>MID(EJECUTADO[[#This Row],[CUENTA]],1,4)</f>
        <v>E-11</v>
      </c>
      <c r="I347" s="163" t="str">
        <f>INDEX(CATALOGO[Descripción],MATCH(EJECUTADO[[#This Row],[APLICACIÓN]]&amp;"-00-00-00",CATALOGO[Código],0))</f>
        <v>INVESTIGACIONES</v>
      </c>
      <c r="J3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347" s="161" t="str">
        <f>IF((EJECUTADO[[#This Row],[MONTO DISPONIBLE ]]-EJECUTADO[[#This Row],[MONTO SOLICITADO]])&gt;=0,"PRESUPUESTO: SI","PRESUPUESTO: NO")</f>
        <v>PRESUPUESTO: SI</v>
      </c>
      <c r="L347" s="162">
        <f>SUMIF(PRESUPUESTO[CUENTA],EJECUTADO[[#This Row],[CUENTA]],PRESUPUESTO[MONTO])-SUMIF($F$1:F346,EJECUTADO[[#This Row],[CUENTA]],$M$1:M346)</f>
        <v>931016</v>
      </c>
      <c r="M347" s="2">
        <v>84750</v>
      </c>
      <c r="N347" s="2"/>
      <c r="O347" s="2"/>
      <c r="P347" s="162">
        <f>+EJECUTADO[[#This Row],[MONTO SOLICITADO]]-EJECUTADO[[#This Row],[RETENCION IVA]]-EJECUTADO[[#This Row],[RETENCION ISR]]</f>
        <v>84750</v>
      </c>
      <c r="Q347" s="84" t="s">
        <v>1000</v>
      </c>
      <c r="R347" s="2"/>
      <c r="S347">
        <v>1</v>
      </c>
      <c r="T347" s="168" t="str">
        <f t="shared" si="10"/>
        <v>INVESTIGACIONES - Asesoria Montealban $ 84, 750.x12 Disponible $931016 Solicitado $84750 PRESUPUESTO: SI</v>
      </c>
    </row>
    <row r="348" spans="1:20" ht="45" x14ac:dyDescent="0.25">
      <c r="A348" s="6">
        <f t="shared" si="11"/>
        <v>347</v>
      </c>
      <c r="B348" s="21">
        <v>45329</v>
      </c>
      <c r="C348" s="17" t="s">
        <v>1204</v>
      </c>
      <c r="D348" s="65" t="s">
        <v>1543</v>
      </c>
      <c r="E348" s="65"/>
      <c r="F348" t="s">
        <v>1208</v>
      </c>
      <c r="G348" s="161">
        <f>MONTH(EJECUTADO[[#This Row],[FECHA]])</f>
        <v>2</v>
      </c>
      <c r="H348" s="163" t="str">
        <f>MID(EJECUTADO[[#This Row],[CUENTA]],1,4)</f>
        <v>E-15</v>
      </c>
      <c r="I348" s="163" t="str">
        <f>INDEX(CATALOGO[Descripción],MATCH(EJECUTADO[[#This Row],[APLICACIÓN]]&amp;"-00-00-00",CATALOGO[Código],0))</f>
        <v>ALQUILERES</v>
      </c>
      <c r="J3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348" s="161" t="str">
        <f>IF((EJECUTADO[[#This Row],[MONTO DISPONIBLE ]]-EJECUTADO[[#This Row],[MONTO SOLICITADO]])&gt;=0,"PRESUPUESTO: SI","PRESUPUESTO: NO")</f>
        <v>PRESUPUESTO: SI</v>
      </c>
      <c r="L348" s="162">
        <f>SUMIF(PRESUPUESTO[CUENTA],EJECUTADO[[#This Row],[CUENTA]],PRESUPUESTO[MONTO])-SUMIF($F$1:F347,EJECUTADO[[#This Row],[CUENTA]],$M$1:M347)</f>
        <v>302254.81</v>
      </c>
      <c r="M348" s="2">
        <v>28250</v>
      </c>
      <c r="N348" s="2"/>
      <c r="O348" s="2"/>
      <c r="P348" s="162">
        <f>+EJECUTADO[[#This Row],[MONTO SOLICITADO]]-EJECUTADO[[#This Row],[RETENCION IVA]]-EJECUTADO[[#This Row],[RETENCION ISR]]</f>
        <v>28250</v>
      </c>
      <c r="Q348" s="84" t="s">
        <v>1000</v>
      </c>
      <c r="R348" s="2"/>
      <c r="S348">
        <v>1</v>
      </c>
      <c r="T348" s="168" t="str">
        <f t="shared" si="10"/>
        <v>ALQUILERES - Alquiler de Casa Adolfo Araujo Montealban $ 30,045.00 x 12   Disponible $302254.81 Solicitado $28250 PRESUPUESTO: SI</v>
      </c>
    </row>
    <row r="349" spans="1:20" ht="30" x14ac:dyDescent="0.25">
      <c r="A349" s="6">
        <f t="shared" si="11"/>
        <v>348</v>
      </c>
      <c r="B349" s="21">
        <v>45329</v>
      </c>
      <c r="C349" s="17" t="s">
        <v>1204</v>
      </c>
      <c r="D349" s="65" t="s">
        <v>1544</v>
      </c>
      <c r="E349" s="65"/>
      <c r="F349" t="s">
        <v>1208</v>
      </c>
      <c r="G349" s="161">
        <f>MONTH(EJECUTADO[[#This Row],[FECHA]])</f>
        <v>2</v>
      </c>
      <c r="H349" s="163" t="str">
        <f>MID(EJECUTADO[[#This Row],[CUENTA]],1,4)</f>
        <v>E-15</v>
      </c>
      <c r="I349" s="163" t="str">
        <f>INDEX(CATALOGO[Descripción],MATCH(EJECUTADO[[#This Row],[APLICACIÓN]]&amp;"-00-00-00",CATALOGO[Código],0))</f>
        <v>ALQUILERES</v>
      </c>
      <c r="J3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349" s="161" t="str">
        <f>IF((EJECUTADO[[#This Row],[MONTO DISPONIBLE ]]-EJECUTADO[[#This Row],[MONTO SOLICITADO]])&gt;=0,"PRESUPUESTO: SI","PRESUPUESTO: NO")</f>
        <v>PRESUPUESTO: SI</v>
      </c>
      <c r="L349" s="162">
        <f>SUMIF(PRESUPUESTO[CUENTA],EJECUTADO[[#This Row],[CUENTA]],PRESUPUESTO[MONTO])-SUMIF($F$1:F348,EJECUTADO[[#This Row],[CUENTA]],$M$1:M348)</f>
        <v>274004.81</v>
      </c>
      <c r="M349" s="2">
        <v>30045.19</v>
      </c>
      <c r="N349" s="2"/>
      <c r="O349" s="2"/>
      <c r="P349" s="162">
        <f>+EJECUTADO[[#This Row],[MONTO SOLICITADO]]-EJECUTADO[[#This Row],[RETENCION IVA]]-EJECUTADO[[#This Row],[RETENCION ISR]]</f>
        <v>30045.19</v>
      </c>
      <c r="Q349" s="84" t="s">
        <v>1000</v>
      </c>
      <c r="R349" s="2"/>
      <c r="S349">
        <v>1</v>
      </c>
      <c r="T349" s="168" t="str">
        <f t="shared" si="10"/>
        <v>ALQUILERES - Alquiler de Casa Adolfo Araujo Montealban $ 30,045.00 x 12   Disponible $274004.81 Solicitado $30045.19 PRESUPUESTO: SI</v>
      </c>
    </row>
    <row r="350" spans="1:20" ht="30" x14ac:dyDescent="0.25">
      <c r="A350" s="6">
        <f t="shared" si="11"/>
        <v>349</v>
      </c>
      <c r="B350" s="21">
        <v>45329</v>
      </c>
      <c r="C350" s="17" t="s">
        <v>1138</v>
      </c>
      <c r="D350" s="65" t="s">
        <v>1545</v>
      </c>
      <c r="E350" s="65"/>
      <c r="F350" t="s">
        <v>1140</v>
      </c>
      <c r="G350" s="161">
        <f>MONTH(EJECUTADO[[#This Row],[FECHA]])</f>
        <v>2</v>
      </c>
      <c r="H350" s="163" t="str">
        <f>MID(EJECUTADO[[#This Row],[CUENTA]],1,4)</f>
        <v>E-12</v>
      </c>
      <c r="I350" s="163" t="str">
        <f>INDEX(CATALOGO[Descripción],MATCH(EJECUTADO[[#This Row],[APLICACIÓN]]&amp;"-00-00-00",CATALOGO[Código],0))</f>
        <v>PROYECCION SOCIAL</v>
      </c>
      <c r="J3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SEGUIMIENTOS Y EVALUACIÓN A PROYECTOS</v>
      </c>
      <c r="K350" s="161" t="str">
        <f>IF((EJECUTADO[[#This Row],[MONTO DISPONIBLE ]]-EJECUTADO[[#This Row],[MONTO SOLICITADO]])&gt;=0,"PRESUPUESTO: SI","PRESUPUESTO: NO")</f>
        <v>PRESUPUESTO: NO</v>
      </c>
      <c r="L350" s="162">
        <f>SUMIF(PRESUPUESTO[CUENTA],EJECUTADO[[#This Row],[CUENTA]],PRESUPUESTO[MONTO])-SUMIF($F$1:F349,EJECUTADO[[#This Row],[CUENTA]],$M$1:M349)</f>
        <v>-1660</v>
      </c>
      <c r="M350" s="2">
        <v>2260</v>
      </c>
      <c r="N350" s="2"/>
      <c r="O350" s="2"/>
      <c r="P350" s="162">
        <f>+EJECUTADO[[#This Row],[MONTO SOLICITADO]]-EJECUTADO[[#This Row],[RETENCION IVA]]-EJECUTADO[[#This Row],[RETENCION ISR]]</f>
        <v>2260</v>
      </c>
      <c r="Q350" s="84" t="s">
        <v>1000</v>
      </c>
      <c r="R350" s="2"/>
      <c r="S350">
        <v>1</v>
      </c>
      <c r="T350" s="168" t="str">
        <f t="shared" si="10"/>
        <v>PROYECCION SOCIAL - SEGUIMIENTOS Y EVALUACIÓN A PROYECTOS Disponible $-1660 Solicitado $2260 PRESUPUESTO: NO</v>
      </c>
    </row>
    <row r="351" spans="1:20" ht="30" x14ac:dyDescent="0.25">
      <c r="A351" s="6">
        <f t="shared" si="11"/>
        <v>350</v>
      </c>
      <c r="B351" s="21">
        <v>45329</v>
      </c>
      <c r="C351" s="17" t="s">
        <v>1230</v>
      </c>
      <c r="D351" s="65" t="s">
        <v>1231</v>
      </c>
      <c r="E351" s="65"/>
      <c r="F351" t="s">
        <v>1232</v>
      </c>
      <c r="G351" s="161">
        <f>MONTH(EJECUTADO[[#This Row],[FECHA]])</f>
        <v>2</v>
      </c>
      <c r="H351" s="163" t="str">
        <f>MID(EJECUTADO[[#This Row],[CUENTA]],1,4)</f>
        <v>E-11</v>
      </c>
      <c r="I351" s="163" t="str">
        <f>INDEX(CATALOGO[Descripción],MATCH(EJECUTADO[[#This Row],[APLICACIÓN]]&amp;"-00-00-00",CATALOGO[Código],0))</f>
        <v>INVESTIGACIONES</v>
      </c>
      <c r="J3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351" s="161" t="str">
        <f>IF((EJECUTADO[[#This Row],[MONTO DISPONIBLE ]]-EJECUTADO[[#This Row],[MONTO SOLICITADO]])&gt;=0,"PRESUPUESTO: SI","PRESUPUESTO: NO")</f>
        <v>PRESUPUESTO: SI</v>
      </c>
      <c r="L351" s="162">
        <f>SUMIF(PRESUPUESTO[CUENTA],EJECUTADO[[#This Row],[CUENTA]],PRESUPUESTO[MONTO])-SUMIF($F$1:F350,EJECUTADO[[#This Row],[CUENTA]],$M$1:M350)</f>
        <v>6500</v>
      </c>
      <c r="M351" s="2">
        <v>500</v>
      </c>
      <c r="N351" s="2"/>
      <c r="O351" s="2"/>
      <c r="P351" s="162">
        <f>+EJECUTADO[[#This Row],[MONTO SOLICITADO]]-EJECUTADO[[#This Row],[RETENCION IVA]]-EJECUTADO[[#This Row],[RETENCION ISR]]</f>
        <v>500</v>
      </c>
      <c r="Q351" s="84" t="s">
        <v>1000</v>
      </c>
      <c r="R351" s="2"/>
      <c r="S351">
        <v>1</v>
      </c>
      <c r="T351" s="168" t="str">
        <f t="shared" si="10"/>
        <v>INVESTIGACIONES - INSUMOS DE OFICINA Disponible $6500 Solicitado $500 PRESUPUESTO: SI</v>
      </c>
    </row>
    <row r="352" spans="1:20" ht="30" x14ac:dyDescent="0.25">
      <c r="A352" s="6">
        <f t="shared" si="11"/>
        <v>351</v>
      </c>
      <c r="B352" s="21">
        <v>45329</v>
      </c>
      <c r="C352" s="17" t="s">
        <v>1230</v>
      </c>
      <c r="D352" s="65" t="s">
        <v>1231</v>
      </c>
      <c r="E352" s="65"/>
      <c r="F352" t="s">
        <v>1546</v>
      </c>
      <c r="G352" s="161">
        <f>MONTH(EJECUTADO[[#This Row],[FECHA]])</f>
        <v>2</v>
      </c>
      <c r="H352" s="163" t="str">
        <f>MID(EJECUTADO[[#This Row],[CUENTA]],1,4)</f>
        <v>E-12</v>
      </c>
      <c r="I352" s="163" t="str">
        <f>INDEX(CATALOGO[Descripción],MATCH(EJECUTADO[[#This Row],[APLICACIÓN]]&amp;"-00-00-00",CATALOGO[Código],0))</f>
        <v>PROYECCION SOCIAL</v>
      </c>
      <c r="J3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Impresiones$ 500 X 12</v>
      </c>
      <c r="K352" s="161" t="str">
        <f>IF((EJECUTADO[[#This Row],[MONTO DISPONIBLE ]]-EJECUTADO[[#This Row],[MONTO SOLICITADO]])&gt;=0,"PRESUPUESTO: SI","PRESUPUESTO: NO")</f>
        <v>PRESUPUESTO: SI</v>
      </c>
      <c r="L352" s="162">
        <f>SUMIF(PRESUPUESTO[CUENTA],EJECUTADO[[#This Row],[CUENTA]],PRESUPUESTO[MONTO])-SUMIF($F$1:F351,EJECUTADO[[#This Row],[CUENTA]],$M$1:M351)</f>
        <v>5000</v>
      </c>
      <c r="M352" s="2">
        <v>500</v>
      </c>
      <c r="N352" s="2"/>
      <c r="O352" s="2"/>
      <c r="P352" s="162">
        <f>+EJECUTADO[[#This Row],[MONTO SOLICITADO]]-EJECUTADO[[#This Row],[RETENCION IVA]]-EJECUTADO[[#This Row],[RETENCION ISR]]</f>
        <v>500</v>
      </c>
      <c r="Q352" s="84" t="s">
        <v>1000</v>
      </c>
      <c r="R352" s="2"/>
      <c r="S352">
        <v>1</v>
      </c>
      <c r="T352" s="168" t="str">
        <f t="shared" si="10"/>
        <v>PROYECCION SOCIAL - Impresiones$ 500 X 12 Disponible $5000 Solicitado $500 PRESUPUESTO: SI</v>
      </c>
    </row>
    <row r="353" spans="1:20" ht="30" x14ac:dyDescent="0.25">
      <c r="A353" s="6">
        <f t="shared" si="11"/>
        <v>352</v>
      </c>
      <c r="B353" s="21">
        <v>45329</v>
      </c>
      <c r="C353" s="17" t="s">
        <v>1230</v>
      </c>
      <c r="D353" s="65" t="s">
        <v>1231</v>
      </c>
      <c r="E353" s="65"/>
      <c r="F353" t="s">
        <v>1234</v>
      </c>
      <c r="G353" s="161">
        <f>MONTH(EJECUTADO[[#This Row],[FECHA]])</f>
        <v>2</v>
      </c>
      <c r="H353" s="163" t="str">
        <f>MID(EJECUTADO[[#This Row],[CUENTA]],1,4)</f>
        <v>E-13</v>
      </c>
      <c r="I353" s="163" t="str">
        <f>INDEX(CATALOGO[Descripción],MATCH(EJECUTADO[[#This Row],[APLICACIÓN]]&amp;"-00-00-00",CATALOGO[Código],0))</f>
        <v>MAESTRIAS Y POSTGRADOS</v>
      </c>
      <c r="J3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Impresiones$ 2400.00 X 12</v>
      </c>
      <c r="K353" s="161" t="str">
        <f>IF((EJECUTADO[[#This Row],[MONTO DISPONIBLE ]]-EJECUTADO[[#This Row],[MONTO SOLICITADO]])&gt;=0,"PRESUPUESTO: SI","PRESUPUESTO: NO")</f>
        <v>PRESUPUESTO: SI</v>
      </c>
      <c r="L353" s="162">
        <f>SUMIF(PRESUPUESTO[CUENTA],EJECUTADO[[#This Row],[CUENTA]],PRESUPUESTO[MONTO])-SUMIF($F$1:F352,EJECUTADO[[#This Row],[CUENTA]],$M$1:M352)</f>
        <v>26400</v>
      </c>
      <c r="M353" s="2">
        <v>2400</v>
      </c>
      <c r="N353" s="2"/>
      <c r="O353" s="2"/>
      <c r="P353" s="162">
        <f>+EJECUTADO[[#This Row],[MONTO SOLICITADO]]-EJECUTADO[[#This Row],[RETENCION IVA]]-EJECUTADO[[#This Row],[RETENCION ISR]]</f>
        <v>2400</v>
      </c>
      <c r="Q353" s="84" t="s">
        <v>1000</v>
      </c>
      <c r="R353" s="2"/>
      <c r="S353">
        <v>1</v>
      </c>
      <c r="T353" s="168" t="str">
        <f t="shared" si="10"/>
        <v>MAESTRIAS Y POSTGRADOS - Impresiones$ 2400.00 X 12 Disponible $26400 Solicitado $2400 PRESUPUESTO: SI</v>
      </c>
    </row>
    <row r="354" spans="1:20" ht="30" x14ac:dyDescent="0.25">
      <c r="A354" s="6">
        <f t="shared" si="11"/>
        <v>353</v>
      </c>
      <c r="B354" s="21">
        <v>45329</v>
      </c>
      <c r="C354" s="17" t="s">
        <v>1230</v>
      </c>
      <c r="D354" s="65" t="s">
        <v>1231</v>
      </c>
      <c r="E354" s="65"/>
      <c r="F354" t="s">
        <v>1235</v>
      </c>
      <c r="G354" s="161">
        <f>MONTH(EJECUTADO[[#This Row],[FECHA]])</f>
        <v>2</v>
      </c>
      <c r="H354" s="163" t="str">
        <f>MID(EJECUTADO[[#This Row],[CUENTA]],1,4)</f>
        <v>E-14</v>
      </c>
      <c r="I354" s="163" t="str">
        <f>INDEX(CATALOGO[Descripción],MATCH(EJECUTADO[[#This Row],[APLICACIÓN]]&amp;"-00-00-00",CATALOGO[Código],0))</f>
        <v>MATERIAL DIDÁCTICO</v>
      </c>
      <c r="J3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- FACULTAD DE CIENCIAS EMPRESARIALES  </v>
      </c>
      <c r="K354" s="161" t="str">
        <f>IF((EJECUTADO[[#This Row],[MONTO DISPONIBLE ]]-EJECUTADO[[#This Row],[MONTO SOLICITADO]])&gt;=0,"PRESUPUESTO: SI","PRESUPUESTO: NO")</f>
        <v>PRESUPUESTO: SI</v>
      </c>
      <c r="L354" s="162">
        <f>SUMIF(PRESUPUESTO[CUENTA],EJECUTADO[[#This Row],[CUENTA]],PRESUPUESTO[MONTO])-SUMIF($F$1:F353,EJECUTADO[[#This Row],[CUENTA]],$M$1:M353)</f>
        <v>38171.919999999998</v>
      </c>
      <c r="M354" s="2">
        <v>3300</v>
      </c>
      <c r="N354" s="2"/>
      <c r="O354" s="2"/>
      <c r="P354" s="162">
        <f>+EJECUTADO[[#This Row],[MONTO SOLICITADO]]-EJECUTADO[[#This Row],[RETENCION IVA]]-EJECUTADO[[#This Row],[RETENCION ISR]]</f>
        <v>3300</v>
      </c>
      <c r="Q354" s="84" t="s">
        <v>1000</v>
      </c>
      <c r="R354" s="2"/>
      <c r="S354">
        <v>1</v>
      </c>
      <c r="T354" s="168" t="str">
        <f t="shared" si="10"/>
        <v>MATERIAL DIDÁCTICO - PAPELERIA Y UTILES - FACULTAD DE CIENCIAS EMPRESARIALES   Disponible $38171.92 Solicitado $3300 PRESUPUESTO: SI</v>
      </c>
    </row>
    <row r="355" spans="1:20" ht="30" x14ac:dyDescent="0.25">
      <c r="A355" s="6">
        <f t="shared" si="11"/>
        <v>354</v>
      </c>
      <c r="B355" s="21">
        <v>45329</v>
      </c>
      <c r="C355" s="17" t="s">
        <v>1230</v>
      </c>
      <c r="D355" s="65" t="s">
        <v>1231</v>
      </c>
      <c r="E355" s="65"/>
      <c r="F355" t="s">
        <v>1236</v>
      </c>
      <c r="G355" s="161">
        <f>MONTH(EJECUTADO[[#This Row],[FECHA]])</f>
        <v>2</v>
      </c>
      <c r="H355" s="163" t="str">
        <f>MID(EJECUTADO[[#This Row],[CUENTA]],1,4)</f>
        <v>E-14</v>
      </c>
      <c r="I355" s="163" t="str">
        <f>INDEX(CATALOGO[Descripción],MATCH(EJECUTADO[[#This Row],[APLICACIÓN]]&amp;"-00-00-00",CATALOGO[Código],0))</f>
        <v>MATERIAL DIDÁCTICO</v>
      </c>
      <c r="J3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INFORMATICA Y CC APLICADAS</v>
      </c>
      <c r="K355" s="161" t="str">
        <f>IF((EJECUTADO[[#This Row],[MONTO DISPONIBLE ]]-EJECUTADO[[#This Row],[MONTO SOLICITADO]])&gt;=0,"PRESUPUESTO: SI","PRESUPUESTO: NO")</f>
        <v>PRESUPUESTO: SI</v>
      </c>
      <c r="L355" s="162">
        <f>SUMIF(PRESUPUESTO[CUENTA],EJECUTADO[[#This Row],[CUENTA]],PRESUPUESTO[MONTO])-SUMIF($F$1:F354,EJECUTADO[[#This Row],[CUENTA]],$M$1:M354)</f>
        <v>81800</v>
      </c>
      <c r="M355" s="2">
        <v>7300</v>
      </c>
      <c r="N355" s="2"/>
      <c r="O355" s="2"/>
      <c r="P355" s="162">
        <f>+EJECUTADO[[#This Row],[MONTO SOLICITADO]]-EJECUTADO[[#This Row],[RETENCION IVA]]-EJECUTADO[[#This Row],[RETENCION ISR]]</f>
        <v>7300</v>
      </c>
      <c r="Q355" s="84" t="s">
        <v>1000</v>
      </c>
      <c r="R355" s="2"/>
      <c r="S355">
        <v>1</v>
      </c>
      <c r="T355" s="168" t="str">
        <f t="shared" si="10"/>
        <v>MATERIAL DIDÁCTICO - PAPELERIA Y UTILES - FACULTAD DE INFORMATICA Y CC APLICADAS Disponible $81800 Solicitado $7300 PRESUPUESTO: SI</v>
      </c>
    </row>
    <row r="356" spans="1:20" ht="30" x14ac:dyDescent="0.25">
      <c r="A356" s="6">
        <f t="shared" si="11"/>
        <v>355</v>
      </c>
      <c r="B356" s="21">
        <v>45329</v>
      </c>
      <c r="C356" s="17" t="s">
        <v>1230</v>
      </c>
      <c r="D356" s="65" t="s">
        <v>1231</v>
      </c>
      <c r="E356" s="65"/>
      <c r="F356" t="s">
        <v>1237</v>
      </c>
      <c r="G356" s="161">
        <f>MONTH(EJECUTADO[[#This Row],[FECHA]])</f>
        <v>2</v>
      </c>
      <c r="H356" s="163" t="str">
        <f>MID(EJECUTADO[[#This Row],[CUENTA]],1,4)</f>
        <v>E-14</v>
      </c>
      <c r="I356" s="163" t="str">
        <f>INDEX(CATALOGO[Descripción],MATCH(EJECUTADO[[#This Row],[APLICACIÓN]]&amp;"-00-00-00",CATALOGO[Código],0))</f>
        <v>MATERIAL DIDÁCTICO</v>
      </c>
      <c r="J3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SOCIALES</v>
      </c>
      <c r="K356" s="161" t="str">
        <f>IF((EJECUTADO[[#This Row],[MONTO DISPONIBLE ]]-EJECUTADO[[#This Row],[MONTO SOLICITADO]])&gt;=0,"PRESUPUESTO: SI","PRESUPUESTO: NO")</f>
        <v>PRESUPUESTO: SI</v>
      </c>
      <c r="L356" s="162">
        <f>SUMIF(PRESUPUESTO[CUENTA],EJECUTADO[[#This Row],[CUENTA]],PRESUPUESTO[MONTO])-SUMIF($F$1:F355,EJECUTADO[[#This Row],[CUENTA]],$M$1:M355)</f>
        <v>65000</v>
      </c>
      <c r="M356" s="2">
        <v>5800</v>
      </c>
      <c r="N356" s="2"/>
      <c r="O356" s="2"/>
      <c r="P356" s="162">
        <f>+EJECUTADO[[#This Row],[MONTO SOLICITADO]]-EJECUTADO[[#This Row],[RETENCION IVA]]-EJECUTADO[[#This Row],[RETENCION ISR]]</f>
        <v>5800</v>
      </c>
      <c r="Q356" s="84" t="s">
        <v>1000</v>
      </c>
      <c r="R356" s="2"/>
      <c r="S356">
        <v>1</v>
      </c>
      <c r="T356" s="168" t="str">
        <f t="shared" si="10"/>
        <v>MATERIAL DIDÁCTICO - PAPELERIA Y UTILES - FACULTAD DE CIENCIAS SOCIALES Disponible $65000 Solicitado $5800 PRESUPUESTO: SI</v>
      </c>
    </row>
    <row r="357" spans="1:20" ht="30" x14ac:dyDescent="0.25">
      <c r="A357" s="6">
        <f t="shared" si="11"/>
        <v>356</v>
      </c>
      <c r="B357" s="21">
        <v>45329</v>
      </c>
      <c r="C357" s="17" t="s">
        <v>1230</v>
      </c>
      <c r="D357" s="65" t="s">
        <v>1231</v>
      </c>
      <c r="E357" s="65"/>
      <c r="F357" t="s">
        <v>1238</v>
      </c>
      <c r="G357" s="161">
        <f>MONTH(EJECUTADO[[#This Row],[FECHA]])</f>
        <v>2</v>
      </c>
      <c r="H357" s="163" t="str">
        <f>MID(EJECUTADO[[#This Row],[CUENTA]],1,4)</f>
        <v>E-14</v>
      </c>
      <c r="I357" s="163" t="str">
        <f>INDEX(CATALOGO[Descripción],MATCH(EJECUTADO[[#This Row],[APLICACIÓN]]&amp;"-00-00-00",CATALOGO[Código],0))</f>
        <v>MATERIAL DIDÁCTICO</v>
      </c>
      <c r="J3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JURIDICAS</v>
      </c>
      <c r="K357" s="161" t="str">
        <f>IF((EJECUTADO[[#This Row],[MONTO DISPONIBLE ]]-EJECUTADO[[#This Row],[MONTO SOLICITADO]])&gt;=0,"PRESUPUESTO: SI","PRESUPUESTO: NO")</f>
        <v>PRESUPUESTO: SI</v>
      </c>
      <c r="L357" s="162">
        <f>SUMIF(PRESUPUESTO[CUENTA],EJECUTADO[[#This Row],[CUENTA]],PRESUPUESTO[MONTO])-SUMIF($F$1:F356,EJECUTADO[[#This Row],[CUENTA]],$M$1:M356)</f>
        <v>21450</v>
      </c>
      <c r="M357" s="2">
        <v>1900</v>
      </c>
      <c r="N357" s="2"/>
      <c r="O357" s="2"/>
      <c r="P357" s="162">
        <f>+EJECUTADO[[#This Row],[MONTO SOLICITADO]]-EJECUTADO[[#This Row],[RETENCION IVA]]-EJECUTADO[[#This Row],[RETENCION ISR]]</f>
        <v>1900</v>
      </c>
      <c r="Q357" s="84" t="s">
        <v>1000</v>
      </c>
      <c r="R357" s="2"/>
      <c r="S357">
        <v>1</v>
      </c>
      <c r="T357" s="168" t="str">
        <f t="shared" si="10"/>
        <v>MATERIAL DIDÁCTICO - PAPELERIA Y UTILES - FACULTAD DE CIENCIAS JURIDICAS Disponible $21450 Solicitado $1900 PRESUPUESTO: SI</v>
      </c>
    </row>
    <row r="358" spans="1:20" ht="30" x14ac:dyDescent="0.25">
      <c r="A358" s="6">
        <f t="shared" si="11"/>
        <v>357</v>
      </c>
      <c r="B358" s="21">
        <v>45329</v>
      </c>
      <c r="C358" s="17" t="s">
        <v>1230</v>
      </c>
      <c r="D358" s="65" t="s">
        <v>1231</v>
      </c>
      <c r="E358" s="65"/>
      <c r="F358" t="s">
        <v>1239</v>
      </c>
      <c r="G358" s="161">
        <f>MONTH(EJECUTADO[[#This Row],[FECHA]])</f>
        <v>2</v>
      </c>
      <c r="H358" s="163" t="str">
        <f>MID(EJECUTADO[[#This Row],[CUENTA]],1,4)</f>
        <v>E-14</v>
      </c>
      <c r="I358" s="163" t="str">
        <f>INDEX(CATALOGO[Descripción],MATCH(EJECUTADO[[#This Row],[APLICACIÓN]]&amp;"-00-00-00",CATALOGO[Código],0))</f>
        <v>MATERIAL DIDÁCTICO</v>
      </c>
      <c r="J3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OTRAS UNIDADES ACADEMICAS</v>
      </c>
      <c r="K358" s="161" t="str">
        <f>IF((EJECUTADO[[#This Row],[MONTO DISPONIBLE ]]-EJECUTADO[[#This Row],[MONTO SOLICITADO]])&gt;=0,"PRESUPUESTO: SI","PRESUPUESTO: NO")</f>
        <v>PRESUPUESTO: SI</v>
      </c>
      <c r="L358" s="162">
        <f>SUMIF(PRESUPUESTO[CUENTA],EJECUTADO[[#This Row],[CUENTA]],PRESUPUESTO[MONTO])-SUMIF($F$1:F357,EJECUTADO[[#This Row],[CUENTA]],$M$1:M357)</f>
        <v>79200</v>
      </c>
      <c r="M358" s="2">
        <v>7200</v>
      </c>
      <c r="N358" s="2"/>
      <c r="O358" s="2"/>
      <c r="P358" s="162">
        <f>+EJECUTADO[[#This Row],[MONTO SOLICITADO]]-EJECUTADO[[#This Row],[RETENCION IVA]]-EJECUTADO[[#This Row],[RETENCION ISR]]</f>
        <v>7200</v>
      </c>
      <c r="Q358" s="84" t="s">
        <v>1000</v>
      </c>
      <c r="R358" s="2"/>
      <c r="S358">
        <v>1</v>
      </c>
      <c r="T358" s="168" t="str">
        <f t="shared" si="10"/>
        <v>MATERIAL DIDÁCTICO - PAPELERIA Y UTILES - OTRAS UNIDADES ACADEMICAS Disponible $79200 Solicitado $7200 PRESUPUESTO: SI</v>
      </c>
    </row>
    <row r="359" spans="1:20" ht="30" x14ac:dyDescent="0.25">
      <c r="A359" s="6">
        <f t="shared" si="11"/>
        <v>358</v>
      </c>
      <c r="B359" s="21">
        <v>45329</v>
      </c>
      <c r="C359" s="17" t="s">
        <v>1230</v>
      </c>
      <c r="D359" s="65" t="s">
        <v>1231</v>
      </c>
      <c r="E359" s="65"/>
      <c r="F359" t="s">
        <v>1547</v>
      </c>
      <c r="G359" s="161">
        <f>MONTH(EJECUTADO[[#This Row],[FECHA]])</f>
        <v>2</v>
      </c>
      <c r="H359" s="163" t="str">
        <f>MID(EJECUTADO[[#This Row],[CUENTA]],1,4)</f>
        <v>E-16</v>
      </c>
      <c r="I359" s="163" t="str">
        <f>INDEX(CATALOGO[Descripción],MATCH(EJECUTADO[[#This Row],[APLICACIÓN]]&amp;"-00-00-00",CATALOGO[Código],0))</f>
        <v xml:space="preserve">PRE-ESPECIALIDAD </v>
      </c>
      <c r="J3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Impresiones$ 900.00.00 x 12</v>
      </c>
      <c r="K359" s="161" t="str">
        <f>IF((EJECUTADO[[#This Row],[MONTO DISPONIBLE ]]-EJECUTADO[[#This Row],[MONTO SOLICITADO]])&gt;=0,"PRESUPUESTO: SI","PRESUPUESTO: NO")</f>
        <v>PRESUPUESTO: SI</v>
      </c>
      <c r="L359" s="162">
        <f>SUMIF(PRESUPUESTO[CUENTA],EJECUTADO[[#This Row],[CUENTA]],PRESUPUESTO[MONTO])-SUMIF($F$1:F358,EJECUTADO[[#This Row],[CUENTA]],$M$1:M358)</f>
        <v>10800</v>
      </c>
      <c r="M359" s="2">
        <v>900</v>
      </c>
      <c r="N359" s="2"/>
      <c r="O359" s="2"/>
      <c r="P359" s="162">
        <f>+EJECUTADO[[#This Row],[MONTO SOLICITADO]]-EJECUTADO[[#This Row],[RETENCION IVA]]-EJECUTADO[[#This Row],[RETENCION ISR]]</f>
        <v>900</v>
      </c>
      <c r="Q359" s="84" t="s">
        <v>1000</v>
      </c>
      <c r="R359" s="2"/>
      <c r="S359">
        <v>1</v>
      </c>
      <c r="T359" s="168" t="str">
        <f t="shared" si="10"/>
        <v>PRE-ESPECIALIDAD  - Impresiones$ 900.00.00 x 12 Disponible $10800 Solicitado $900 PRESUPUESTO: SI</v>
      </c>
    </row>
    <row r="360" spans="1:20" ht="30" x14ac:dyDescent="0.25">
      <c r="A360" s="6">
        <f t="shared" si="11"/>
        <v>359</v>
      </c>
      <c r="B360" s="21">
        <v>45329</v>
      </c>
      <c r="C360" s="17" t="s">
        <v>1230</v>
      </c>
      <c r="D360" s="65" t="s">
        <v>1231</v>
      </c>
      <c r="E360" s="65"/>
      <c r="F360" t="s">
        <v>1548</v>
      </c>
      <c r="G360" s="161">
        <f>MONTH(EJECUTADO[[#This Row],[FECHA]])</f>
        <v>2</v>
      </c>
      <c r="H360" s="163" t="str">
        <f>MID(EJECUTADO[[#This Row],[CUENTA]],1,4)</f>
        <v>E-21</v>
      </c>
      <c r="I360" s="163" t="str">
        <f>INDEX(CATALOGO[Descripción],MATCH(EJECUTADO[[#This Row],[APLICACIÓN]]&amp;"-00-00-00",CATALOGO[Código],0))</f>
        <v>CENTRO DE FORMACION PROFESIONAL y EXT U</v>
      </c>
      <c r="J3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despensa</v>
      </c>
      <c r="K360" s="161" t="str">
        <f>IF((EJECUTADO[[#This Row],[MONTO DISPONIBLE ]]-EJECUTADO[[#This Row],[MONTO SOLICITADO]])&gt;=0,"PRESUPUESTO: SI","PRESUPUESTO: NO")</f>
        <v>PRESUPUESTO: NO</v>
      </c>
      <c r="L360" s="162">
        <f>SUMIF(PRESUPUESTO[CUENTA],EJECUTADO[[#This Row],[CUENTA]],PRESUPUESTO[MONTO])-SUMIF($F$1:F359,EJECUTADO[[#This Row],[CUENTA]],$M$1:M359)</f>
        <v>500</v>
      </c>
      <c r="M360" s="2">
        <v>1500</v>
      </c>
      <c r="N360" s="2"/>
      <c r="O360" s="2"/>
      <c r="P360" s="162">
        <f>+EJECUTADO[[#This Row],[MONTO SOLICITADO]]-EJECUTADO[[#This Row],[RETENCION IVA]]-EJECUTADO[[#This Row],[RETENCION ISR]]</f>
        <v>1500</v>
      </c>
      <c r="Q360" s="84" t="s">
        <v>1000</v>
      </c>
      <c r="R360" s="2"/>
      <c r="S360">
        <v>1</v>
      </c>
      <c r="T360" s="168" t="str">
        <f t="shared" si="10"/>
        <v>CENTRO DE FORMACION PROFESIONAL y EXT U - Insumos de despensa Disponible $500 Solicitado $1500 PRESUPUESTO: NO</v>
      </c>
    </row>
    <row r="361" spans="1:20" ht="30" x14ac:dyDescent="0.25">
      <c r="A361" s="6">
        <f t="shared" si="11"/>
        <v>360</v>
      </c>
      <c r="B361" s="21">
        <v>45329</v>
      </c>
      <c r="C361" s="17" t="s">
        <v>1230</v>
      </c>
      <c r="D361" s="65" t="s">
        <v>1231</v>
      </c>
      <c r="E361" s="65"/>
      <c r="F361" t="s">
        <v>1115</v>
      </c>
      <c r="G361" s="161">
        <f>MONTH(EJECUTADO[[#This Row],[FECHA]])</f>
        <v>2</v>
      </c>
      <c r="H361" s="163" t="str">
        <f>MID(EJECUTADO[[#This Row],[CUENTA]],1,4)</f>
        <v>E-24</v>
      </c>
      <c r="I361" s="163" t="str">
        <f>INDEX(CATALOGO[Descripción],MATCH(EJECUTADO[[#This Row],[APLICACIÓN]]&amp;"-00-00-00",CATALOGO[Código],0))</f>
        <v>NUEVO INGRESO</v>
      </c>
      <c r="J3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Fotocopiadoras totales  $ 2,900.00 x 12</v>
      </c>
      <c r="K361" s="161" t="str">
        <f>IF((EJECUTADO[[#This Row],[MONTO DISPONIBLE ]]-EJECUTADO[[#This Row],[MONTO SOLICITADO]])&gt;=0,"PRESUPUESTO: SI","PRESUPUESTO: NO")</f>
        <v>PRESUPUESTO: SI</v>
      </c>
      <c r="L361" s="162">
        <f>SUMIF(PRESUPUESTO[CUENTA],EJECUTADO[[#This Row],[CUENTA]],PRESUPUESTO[MONTO])-SUMIF($F$1:F360,EJECUTADO[[#This Row],[CUENTA]],$M$1:M360)</f>
        <v>31891.06</v>
      </c>
      <c r="M361" s="2">
        <v>2900</v>
      </c>
      <c r="N361" s="2"/>
      <c r="O361" s="2"/>
      <c r="P361" s="162">
        <f>+EJECUTADO[[#This Row],[MONTO SOLICITADO]]-EJECUTADO[[#This Row],[RETENCION IVA]]-EJECUTADO[[#This Row],[RETENCION ISR]]</f>
        <v>2900</v>
      </c>
      <c r="Q361" s="84" t="s">
        <v>1000</v>
      </c>
      <c r="R361" s="2"/>
      <c r="S361">
        <v>1</v>
      </c>
      <c r="T361" s="168" t="str">
        <f t="shared" si="10"/>
        <v>NUEVO INGRESO - Fotocopiadoras totales  $ 2,900.00 x 12 Disponible $31891.06 Solicitado $2900 PRESUPUESTO: SI</v>
      </c>
    </row>
    <row r="362" spans="1:20" ht="30" x14ac:dyDescent="0.25">
      <c r="A362" s="6">
        <f t="shared" si="11"/>
        <v>361</v>
      </c>
      <c r="B362" s="21">
        <v>45329</v>
      </c>
      <c r="C362" s="17" t="s">
        <v>1230</v>
      </c>
      <c r="D362" s="65" t="s">
        <v>1231</v>
      </c>
      <c r="E362" s="65"/>
      <c r="F362" t="s">
        <v>1242</v>
      </c>
      <c r="G362" s="161">
        <f>MONTH(EJECUTADO[[#This Row],[FECHA]])</f>
        <v>2</v>
      </c>
      <c r="H362" s="163" t="str">
        <f>MID(EJECUTADO[[#This Row],[CUENTA]],1,4)</f>
        <v>E-24</v>
      </c>
      <c r="I362" s="163" t="str">
        <f>INDEX(CATALOGO[Descripción],MATCH(EJECUTADO[[#This Row],[APLICACIÓN]]&amp;"-00-00-00",CATALOGO[Código],0))</f>
        <v>NUEVO INGRESO</v>
      </c>
      <c r="J3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Útiles de Escritorio y otros</v>
      </c>
      <c r="K362" s="161" t="str">
        <f>IF((EJECUTADO[[#This Row],[MONTO DISPONIBLE ]]-EJECUTADO[[#This Row],[MONTO SOLICITADO]])&gt;=0,"PRESUPUESTO: SI","PRESUPUESTO: NO")</f>
        <v>PRESUPUESTO: SI</v>
      </c>
      <c r="L362" s="162">
        <f>SUMIF(PRESUPUESTO[CUENTA],EJECUTADO[[#This Row],[CUENTA]],PRESUPUESTO[MONTO])-SUMIF($F$1:F361,EJECUTADO[[#This Row],[CUENTA]],$M$1:M361)</f>
        <v>2400</v>
      </c>
      <c r="M362" s="2">
        <v>600</v>
      </c>
      <c r="N362" s="2"/>
      <c r="O362" s="2"/>
      <c r="P362" s="162">
        <f>+EJECUTADO[[#This Row],[MONTO SOLICITADO]]-EJECUTADO[[#This Row],[RETENCION IVA]]-EJECUTADO[[#This Row],[RETENCION ISR]]</f>
        <v>600</v>
      </c>
      <c r="Q362" s="84" t="s">
        <v>1000</v>
      </c>
      <c r="R362" s="2"/>
      <c r="S362">
        <v>1</v>
      </c>
      <c r="T362" s="168" t="str">
        <f t="shared" si="10"/>
        <v>NUEVO INGRESO - Metrocentro - Útiles de Escritorio y otros Disponible $2400 Solicitado $600 PRESUPUESTO: SI</v>
      </c>
    </row>
    <row r="363" spans="1:20" ht="30" x14ac:dyDescent="0.25">
      <c r="A363" s="6">
        <f t="shared" si="11"/>
        <v>362</v>
      </c>
      <c r="B363" s="21">
        <v>45329</v>
      </c>
      <c r="C363" s="17" t="s">
        <v>1230</v>
      </c>
      <c r="D363" s="65" t="s">
        <v>1231</v>
      </c>
      <c r="E363" s="65"/>
      <c r="F363" t="s">
        <v>1243</v>
      </c>
      <c r="G363" s="161">
        <f>MONTH(EJECUTADO[[#This Row],[FECHA]])</f>
        <v>2</v>
      </c>
      <c r="H363" s="163" t="str">
        <f>MID(EJECUTADO[[#This Row],[CUENTA]],1,4)</f>
        <v>E-24</v>
      </c>
      <c r="I363" s="163" t="str">
        <f>INDEX(CATALOGO[Descripción],MATCH(EJECUTADO[[#This Row],[APLICACIÓN]]&amp;"-00-00-00",CATALOGO[Código],0))</f>
        <v>NUEVO INGRESO</v>
      </c>
      <c r="J3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Plaza Mundo - Insumos de oficina- agua cristal $ 44.00 </v>
      </c>
      <c r="K363" s="161" t="str">
        <f>IF((EJECUTADO[[#This Row],[MONTO DISPONIBLE ]]-EJECUTADO[[#This Row],[MONTO SOLICITADO]])&gt;=0,"PRESUPUESTO: SI","PRESUPUESTO: NO")</f>
        <v>PRESUPUESTO: NO</v>
      </c>
      <c r="L363" s="162">
        <f>SUMIF(PRESUPUESTO[CUENTA],EJECUTADO[[#This Row],[CUENTA]],PRESUPUESTO[MONTO])-SUMIF($F$1:F362,EJECUTADO[[#This Row],[CUENTA]],$M$1:M362)</f>
        <v>-500</v>
      </c>
      <c r="M363" s="2">
        <v>600</v>
      </c>
      <c r="N363" s="2"/>
      <c r="O363" s="2"/>
      <c r="P363" s="162">
        <f>+EJECUTADO[[#This Row],[MONTO SOLICITADO]]-EJECUTADO[[#This Row],[RETENCION IVA]]-EJECUTADO[[#This Row],[RETENCION ISR]]</f>
        <v>600</v>
      </c>
      <c r="Q363" s="84" t="s">
        <v>1000</v>
      </c>
      <c r="R363" s="2"/>
      <c r="S363">
        <v>1</v>
      </c>
      <c r="T363" s="168" t="str">
        <f t="shared" si="10"/>
        <v>NUEVO INGRESO - Plaza Mundo - Insumos de oficina- agua cristal $ 44.00  Disponible $-500 Solicitado $600 PRESUPUESTO: NO</v>
      </c>
    </row>
    <row r="364" spans="1:20" ht="30" x14ac:dyDescent="0.25">
      <c r="A364" s="6">
        <f t="shared" si="11"/>
        <v>363</v>
      </c>
      <c r="B364" s="21">
        <v>45329</v>
      </c>
      <c r="C364" s="17" t="s">
        <v>1230</v>
      </c>
      <c r="D364" s="65" t="s">
        <v>1231</v>
      </c>
      <c r="E364" s="65"/>
      <c r="F364" t="s">
        <v>1244</v>
      </c>
      <c r="G364" s="161">
        <f>MONTH(EJECUTADO[[#This Row],[FECHA]])</f>
        <v>2</v>
      </c>
      <c r="H364" s="163" t="str">
        <f>MID(EJECUTADO[[#This Row],[CUENTA]],1,4)</f>
        <v>E-25</v>
      </c>
      <c r="I364" s="163" t="str">
        <f>INDEX(CATALOGO[Descripción],MATCH(EJECUTADO[[#This Row],[APLICACIÓN]]&amp;"-00-00-00",CATALOGO[Código],0))</f>
        <v>DECANATO DE ESTUDIANTES</v>
      </c>
      <c r="J3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</v>
      </c>
      <c r="K364" s="161" t="str">
        <f>IF((EJECUTADO[[#This Row],[MONTO DISPONIBLE ]]-EJECUTADO[[#This Row],[MONTO SOLICITADO]])&gt;=0,"PRESUPUESTO: SI","PRESUPUESTO: NO")</f>
        <v>PRESUPUESTO: NO</v>
      </c>
      <c r="L364" s="162">
        <f>SUMIF(PRESUPUESTO[CUENTA],EJECUTADO[[#This Row],[CUENTA]],PRESUPUESTO[MONTO])-SUMIF($F$1:F363,EJECUTADO[[#This Row],[CUENTA]],$M$1:M363)</f>
        <v>-1900</v>
      </c>
      <c r="M364" s="2">
        <v>2400</v>
      </c>
      <c r="N364" s="2"/>
      <c r="O364" s="2"/>
      <c r="P364" s="162">
        <f>+EJECUTADO[[#This Row],[MONTO SOLICITADO]]-EJECUTADO[[#This Row],[RETENCION IVA]]-EJECUTADO[[#This Row],[RETENCION ISR]]</f>
        <v>2400</v>
      </c>
      <c r="Q364" s="84" t="s">
        <v>1000</v>
      </c>
      <c r="R364" s="2"/>
      <c r="S364">
        <v>1</v>
      </c>
      <c r="T364" s="168" t="str">
        <f t="shared" si="10"/>
        <v>DECANATO DE ESTUDIANTES - PAPELERIA Y UTILES  Disponible $-1900 Solicitado $2400 PRESUPUESTO: NO</v>
      </c>
    </row>
    <row r="365" spans="1:20" ht="30" x14ac:dyDescent="0.25">
      <c r="A365" s="6">
        <f t="shared" si="11"/>
        <v>364</v>
      </c>
      <c r="B365" s="21">
        <v>45329</v>
      </c>
      <c r="C365" s="17" t="s">
        <v>1230</v>
      </c>
      <c r="D365" s="65" t="s">
        <v>1231</v>
      </c>
      <c r="E365" s="65"/>
      <c r="F365" t="s">
        <v>1245</v>
      </c>
      <c r="G365" s="161">
        <f>MONTH(EJECUTADO[[#This Row],[FECHA]])</f>
        <v>2</v>
      </c>
      <c r="H365" s="163" t="str">
        <f>MID(EJECUTADO[[#This Row],[CUENTA]],1,4)</f>
        <v>E-27</v>
      </c>
      <c r="I365" s="163" t="str">
        <f>INDEX(CATALOGO[Descripción],MATCH(EJECUTADO[[#This Row],[APLICACIÓN]]&amp;"-00-00-00",CATALOGO[Código],0))</f>
        <v>INSUMOS DE OFICINA</v>
      </c>
      <c r="J3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365" s="161" t="str">
        <f>IF((EJECUTADO[[#This Row],[MONTO DISPONIBLE ]]-EJECUTADO[[#This Row],[MONTO SOLICITADO]])&gt;=0,"PRESUPUESTO: SI","PRESUPUESTO: NO")</f>
        <v>PRESUPUESTO: SI</v>
      </c>
      <c r="L365" s="162">
        <f>SUMIF(PRESUPUESTO[CUENTA],EJECUTADO[[#This Row],[CUENTA]],PRESUPUESTO[MONTO])-SUMIF($F$1:F364,EJECUTADO[[#This Row],[CUENTA]],$M$1:M364)</f>
        <v>62822.36</v>
      </c>
      <c r="M365" s="2">
        <v>5880</v>
      </c>
      <c r="N365" s="2"/>
      <c r="O365" s="2"/>
      <c r="P365" s="162">
        <f>+EJECUTADO[[#This Row],[MONTO SOLICITADO]]-EJECUTADO[[#This Row],[RETENCION IVA]]-EJECUTADO[[#This Row],[RETENCION ISR]]</f>
        <v>5880</v>
      </c>
      <c r="Q365" s="84" t="s">
        <v>1000</v>
      </c>
      <c r="R365" s="2"/>
      <c r="S365">
        <v>1</v>
      </c>
      <c r="T365" s="168" t="str">
        <f t="shared" si="10"/>
        <v>INSUMOS DE OFICINA - IMPRESIONES ADMINISTRATIVAS Disponible $62822.36 Solicitado $5880 PRESUPUESTO: SI</v>
      </c>
    </row>
    <row r="366" spans="1:20" ht="30" x14ac:dyDescent="0.25">
      <c r="A366" s="6">
        <f t="shared" si="11"/>
        <v>365</v>
      </c>
      <c r="B366" s="21">
        <v>45329</v>
      </c>
      <c r="C366" s="17" t="s">
        <v>1230</v>
      </c>
      <c r="D366" s="65" t="s">
        <v>1231</v>
      </c>
      <c r="E366" s="65"/>
      <c r="F366" t="s">
        <v>1549</v>
      </c>
      <c r="G366" s="161">
        <f>MONTH(EJECUTADO[[#This Row],[FECHA]])</f>
        <v>2</v>
      </c>
      <c r="H366" s="163" t="str">
        <f>MID(EJECUTADO[[#This Row],[CUENTA]],1,4)</f>
        <v>E-29</v>
      </c>
      <c r="I366" s="163" t="str">
        <f>INDEX(CATALOGO[Descripción],MATCH(EJECUTADO[[#This Row],[APLICACIÓN]]&amp;"-00-00-00",CATALOGO[Código],0))</f>
        <v xml:space="preserve">BIBLIOTECA </v>
      </c>
      <c r="J3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$ 1,020.00 x 12</v>
      </c>
      <c r="K366" s="161" t="str">
        <f>IF((EJECUTADO[[#This Row],[MONTO DISPONIBLE ]]-EJECUTADO[[#This Row],[MONTO SOLICITADO]])&gt;=0,"PRESUPUESTO: SI","PRESUPUESTO: NO")</f>
        <v>PRESUPUESTO: SI</v>
      </c>
      <c r="L366" s="162">
        <f>SUMIF(PRESUPUESTO[CUENTA],EJECUTADO[[#This Row],[CUENTA]],PRESUPUESTO[MONTO])-SUMIF($F$1:F365,EJECUTADO[[#This Row],[CUENTA]],$M$1:M365)</f>
        <v>12240</v>
      </c>
      <c r="M366" s="2">
        <v>1020</v>
      </c>
      <c r="N366" s="2"/>
      <c r="O366" s="2"/>
      <c r="P366" s="162">
        <f>+EJECUTADO[[#This Row],[MONTO SOLICITADO]]-EJECUTADO[[#This Row],[RETENCION IVA]]-EJECUTADO[[#This Row],[RETENCION ISR]]</f>
        <v>1020</v>
      </c>
      <c r="Q366" s="84" t="s">
        <v>1000</v>
      </c>
      <c r="R366" s="2"/>
      <c r="S366">
        <v>1</v>
      </c>
      <c r="T366" s="168" t="str">
        <f t="shared" si="10"/>
        <v>BIBLIOTECA  - Impresiones $ 1,020.00 x 12 Disponible $12240 Solicitado $1020 PRESUPUESTO: SI</v>
      </c>
    </row>
    <row r="367" spans="1:20" ht="30" x14ac:dyDescent="0.25">
      <c r="A367" s="6">
        <f t="shared" si="11"/>
        <v>366</v>
      </c>
      <c r="B367" s="21">
        <v>45329</v>
      </c>
      <c r="C367" s="17" t="s">
        <v>1230</v>
      </c>
      <c r="D367" s="65" t="s">
        <v>1231</v>
      </c>
      <c r="E367" s="65"/>
      <c r="F367" t="s">
        <v>1219</v>
      </c>
      <c r="G367" s="161">
        <f>MONTH(EJECUTADO[[#This Row],[FECHA]])</f>
        <v>2</v>
      </c>
      <c r="H367" s="163" t="str">
        <f>MID(EJECUTADO[[#This Row],[CUENTA]],1,4)</f>
        <v>E-33</v>
      </c>
      <c r="I367" s="163" t="str">
        <f>INDEX(CATALOGO[Descripción],MATCH(EJECUTADO[[#This Row],[APLICACIÓN]]&amp;"-00-00-00",CATALOGO[Código],0))</f>
        <v xml:space="preserve">PROVEEDORES </v>
      </c>
      <c r="J3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367" s="161" t="str">
        <f>IF((EJECUTADO[[#This Row],[MONTO DISPONIBLE ]]-EJECUTADO[[#This Row],[MONTO SOLICITADO]])&gt;=0,"PRESUPUESTO: SI","PRESUPUESTO: NO")</f>
        <v>PRESUPUESTO: SI</v>
      </c>
      <c r="L367" s="162">
        <f>SUMIF(PRESUPUESTO[CUENTA],EJECUTADO[[#This Row],[CUENTA]],PRESUPUESTO[MONTO])-SUMIF($F$1:F366,EJECUTADO[[#This Row],[CUENTA]],$M$1:M366)</f>
        <v>83100.38</v>
      </c>
      <c r="M367" s="2">
        <v>500</v>
      </c>
      <c r="N367" s="2"/>
      <c r="O367" s="2"/>
      <c r="P367" s="162">
        <f>+EJECUTADO[[#This Row],[MONTO SOLICITADO]]-EJECUTADO[[#This Row],[RETENCION IVA]]-EJECUTADO[[#This Row],[RETENCION ISR]]</f>
        <v>500</v>
      </c>
      <c r="Q367" s="84" t="s">
        <v>1000</v>
      </c>
      <c r="R367" s="2"/>
      <c r="S367">
        <v>1</v>
      </c>
      <c r="T367" s="168" t="str">
        <f t="shared" si="10"/>
        <v>PROVEEDORES  - OTROS Disponible $83100.38 Solicitado $500 PRESUPUESTO: SI</v>
      </c>
    </row>
    <row r="368" spans="1:20" ht="60" x14ac:dyDescent="0.25">
      <c r="A368" s="6">
        <f t="shared" si="11"/>
        <v>367</v>
      </c>
      <c r="B368" s="21">
        <v>45329</v>
      </c>
      <c r="C368" s="17" t="s">
        <v>1256</v>
      </c>
      <c r="D368" s="65" t="s">
        <v>1257</v>
      </c>
      <c r="E368" s="65"/>
      <c r="F368" s="68" t="s">
        <v>1258</v>
      </c>
      <c r="G368" s="161">
        <f>MONTH(EJECUTADO[[#This Row],[FECHA]])</f>
        <v>2</v>
      </c>
      <c r="H368" s="163" t="str">
        <f>MID(EJECUTADO[[#This Row],[CUENTA]],1,4)</f>
        <v>E-22</v>
      </c>
      <c r="I368" s="163" t="str">
        <f>INDEX(CATALOGO[Descripción],MATCH(EJECUTADO[[#This Row],[APLICACIÓN]]&amp;"-00-00-00",CATALOGO[Código],0))</f>
        <v>CAPACITACIÓN AL PERSONAL</v>
      </c>
      <c r="J3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68" s="161" t="str">
        <f>IF((EJECUTADO[[#This Row],[MONTO DISPONIBLE ]]-EJECUTADO[[#This Row],[MONTO SOLICITADO]])&gt;=0,"PRESUPUESTO: SI","PRESUPUESTO: NO")</f>
        <v>PRESUPUESTO: NO</v>
      </c>
      <c r="L368" s="162">
        <f>SUMIF(PRESUPUESTO[CUENTA],EJECUTADO[[#This Row],[CUENTA]],PRESUPUESTO[MONTO])-SUMIF($F$1:F367,EJECUTADO[[#This Row],[CUENTA]],$M$1:M367)</f>
        <v>-2722.2200000000003</v>
      </c>
      <c r="M368" s="2">
        <v>741</v>
      </c>
      <c r="N368" s="2"/>
      <c r="O368" s="2"/>
      <c r="P368" s="162">
        <f>+EJECUTADO[[#This Row],[MONTO SOLICITADO]]-EJECUTADO[[#This Row],[RETENCION IVA]]-EJECUTADO[[#This Row],[RETENCION ISR]]</f>
        <v>741</v>
      </c>
      <c r="Q368" s="84" t="s">
        <v>1000</v>
      </c>
      <c r="R368" s="2"/>
      <c r="S368">
        <v>1</v>
      </c>
      <c r="T368" s="168" t="str">
        <f t="shared" si="10"/>
        <v>CAPACITACIÓN AL PERSONAL - CAPACITACIONES TALLER PRINCIPIOS Y VALORES (DR.MALUMBRES) Disponible $-2722.22 Solicitado $741 PRESUPUESTO: NO</v>
      </c>
    </row>
    <row r="369" spans="1:20" ht="75" x14ac:dyDescent="0.25">
      <c r="A369" s="6">
        <f t="shared" si="11"/>
        <v>368</v>
      </c>
      <c r="B369" s="21">
        <v>45329</v>
      </c>
      <c r="C369" s="17" t="s">
        <v>1256</v>
      </c>
      <c r="D369" s="65" t="s">
        <v>1259</v>
      </c>
      <c r="E369" s="65"/>
      <c r="F369" s="68" t="s">
        <v>1258</v>
      </c>
      <c r="G369" s="161">
        <f>MONTH(EJECUTADO[[#This Row],[FECHA]])</f>
        <v>2</v>
      </c>
      <c r="H369" s="163" t="str">
        <f>MID(EJECUTADO[[#This Row],[CUENTA]],1,4)</f>
        <v>E-22</v>
      </c>
      <c r="I369" s="163" t="str">
        <f>INDEX(CATALOGO[Descripción],MATCH(EJECUTADO[[#This Row],[APLICACIÓN]]&amp;"-00-00-00",CATALOGO[Código],0))</f>
        <v>CAPACITACIÓN AL PERSONAL</v>
      </c>
      <c r="J3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69" s="161" t="str">
        <f>IF((EJECUTADO[[#This Row],[MONTO DISPONIBLE ]]-EJECUTADO[[#This Row],[MONTO SOLICITADO]])&gt;=0,"PRESUPUESTO: SI","PRESUPUESTO: NO")</f>
        <v>PRESUPUESTO: NO</v>
      </c>
      <c r="L369" s="162">
        <f>SUMIF(PRESUPUESTO[CUENTA],EJECUTADO[[#This Row],[CUENTA]],PRESUPUESTO[MONTO])-SUMIF($F$1:F368,EJECUTADO[[#This Row],[CUENTA]],$M$1:M368)</f>
        <v>-3463.2200000000003</v>
      </c>
      <c r="M369" s="2">
        <v>125</v>
      </c>
      <c r="N369" s="2"/>
      <c r="O369" s="2"/>
      <c r="P369" s="162">
        <f>+EJECUTADO[[#This Row],[MONTO SOLICITADO]]-EJECUTADO[[#This Row],[RETENCION IVA]]-EJECUTADO[[#This Row],[RETENCION ISR]]</f>
        <v>125</v>
      </c>
      <c r="Q369" s="84" t="s">
        <v>1000</v>
      </c>
      <c r="R369" s="2"/>
      <c r="S369">
        <v>1</v>
      </c>
      <c r="T369" s="168" t="str">
        <f t="shared" si="10"/>
        <v>CAPACITACIÓN AL PERSONAL - CAPACITACIONES TALLER PRINCIPIOS Y VALORES (DR.MALUMBRES) Disponible $-3463.22 Solicitado $125 PRESUPUESTO: NO</v>
      </c>
    </row>
    <row r="370" spans="1:20" ht="60" x14ac:dyDescent="0.25">
      <c r="A370" s="6">
        <f t="shared" si="11"/>
        <v>369</v>
      </c>
      <c r="B370" s="21">
        <v>45329</v>
      </c>
      <c r="C370" s="17" t="s">
        <v>1256</v>
      </c>
      <c r="D370" s="65" t="s">
        <v>1257</v>
      </c>
      <c r="E370" s="65"/>
      <c r="F370" s="68" t="s">
        <v>1258</v>
      </c>
      <c r="G370" s="161">
        <f>MONTH(EJECUTADO[[#This Row],[FECHA]])</f>
        <v>2</v>
      </c>
      <c r="H370" s="163" t="str">
        <f>MID(EJECUTADO[[#This Row],[CUENTA]],1,4)</f>
        <v>E-22</v>
      </c>
      <c r="I370" s="163" t="str">
        <f>INDEX(CATALOGO[Descripción],MATCH(EJECUTADO[[#This Row],[APLICACIÓN]]&amp;"-00-00-00",CATALOGO[Código],0))</f>
        <v>CAPACITACIÓN AL PERSONAL</v>
      </c>
      <c r="J3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70" s="161" t="str">
        <f>IF((EJECUTADO[[#This Row],[MONTO DISPONIBLE ]]-EJECUTADO[[#This Row],[MONTO SOLICITADO]])&gt;=0,"PRESUPUESTO: SI","PRESUPUESTO: NO")</f>
        <v>PRESUPUESTO: NO</v>
      </c>
      <c r="L370" s="162">
        <f>SUMIF(PRESUPUESTO[CUENTA],EJECUTADO[[#This Row],[CUENTA]],PRESUPUESTO[MONTO])-SUMIF($F$1:F369,EJECUTADO[[#This Row],[CUENTA]],$M$1:M369)</f>
        <v>-3588.2200000000003</v>
      </c>
      <c r="M370" s="2">
        <v>741</v>
      </c>
      <c r="N370" s="2"/>
      <c r="O370" s="2"/>
      <c r="P370" s="162">
        <f>+EJECUTADO[[#This Row],[MONTO SOLICITADO]]-EJECUTADO[[#This Row],[RETENCION IVA]]-EJECUTADO[[#This Row],[RETENCION ISR]]</f>
        <v>741</v>
      </c>
      <c r="Q370" s="84" t="s">
        <v>1000</v>
      </c>
      <c r="R370" s="2"/>
      <c r="S370">
        <v>1</v>
      </c>
      <c r="T370" s="168" t="str">
        <f t="shared" si="10"/>
        <v>CAPACITACIÓN AL PERSONAL - CAPACITACIONES TALLER PRINCIPIOS Y VALORES (DR.MALUMBRES) Disponible $-3588.22 Solicitado $741 PRESUPUESTO: NO</v>
      </c>
    </row>
    <row r="371" spans="1:20" ht="75" x14ac:dyDescent="0.25">
      <c r="A371" s="6">
        <f t="shared" si="11"/>
        <v>370</v>
      </c>
      <c r="B371" s="21">
        <v>45329</v>
      </c>
      <c r="C371" s="17" t="s">
        <v>1256</v>
      </c>
      <c r="D371" s="65" t="s">
        <v>1259</v>
      </c>
      <c r="E371" s="65"/>
      <c r="F371" s="68" t="s">
        <v>1258</v>
      </c>
      <c r="G371" s="161">
        <f>MONTH(EJECUTADO[[#This Row],[FECHA]])</f>
        <v>2</v>
      </c>
      <c r="H371" s="163" t="str">
        <f>MID(EJECUTADO[[#This Row],[CUENTA]],1,4)</f>
        <v>E-22</v>
      </c>
      <c r="I371" s="163" t="str">
        <f>INDEX(CATALOGO[Descripción],MATCH(EJECUTADO[[#This Row],[APLICACIÓN]]&amp;"-00-00-00",CATALOGO[Código],0))</f>
        <v>CAPACITACIÓN AL PERSONAL</v>
      </c>
      <c r="J3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71" s="161" t="str">
        <f>IF((EJECUTADO[[#This Row],[MONTO DISPONIBLE ]]-EJECUTADO[[#This Row],[MONTO SOLICITADO]])&gt;=0,"PRESUPUESTO: SI","PRESUPUESTO: NO")</f>
        <v>PRESUPUESTO: NO</v>
      </c>
      <c r="L371" s="162">
        <f>SUMIF(PRESUPUESTO[CUENTA],EJECUTADO[[#This Row],[CUENTA]],PRESUPUESTO[MONTO])-SUMIF($F$1:F370,EJECUTADO[[#This Row],[CUENTA]],$M$1:M370)</f>
        <v>-4329.22</v>
      </c>
      <c r="M371" s="2">
        <v>125</v>
      </c>
      <c r="N371" s="2"/>
      <c r="O371" s="2"/>
      <c r="P371" s="162">
        <f>+EJECUTADO[[#This Row],[MONTO SOLICITADO]]-EJECUTADO[[#This Row],[RETENCION IVA]]-EJECUTADO[[#This Row],[RETENCION ISR]]</f>
        <v>125</v>
      </c>
      <c r="Q371" s="84" t="s">
        <v>1000</v>
      </c>
      <c r="R371" s="2"/>
      <c r="S371">
        <v>1</v>
      </c>
      <c r="T371" s="168" t="str">
        <f t="shared" si="10"/>
        <v>CAPACITACIÓN AL PERSONAL - CAPACITACIONES TALLER PRINCIPIOS Y VALORES (DR.MALUMBRES) Disponible $-4329.22 Solicitado $125 PRESUPUESTO: NO</v>
      </c>
    </row>
    <row r="372" spans="1:20" ht="60" x14ac:dyDescent="0.25">
      <c r="A372" s="6">
        <f t="shared" si="11"/>
        <v>371</v>
      </c>
      <c r="B372" s="21">
        <v>45329</v>
      </c>
      <c r="C372" s="17" t="s">
        <v>1256</v>
      </c>
      <c r="D372" s="65" t="s">
        <v>1257</v>
      </c>
      <c r="E372" s="65"/>
      <c r="F372" s="68" t="s">
        <v>1258</v>
      </c>
      <c r="G372" s="161">
        <f>MONTH(EJECUTADO[[#This Row],[FECHA]])</f>
        <v>2</v>
      </c>
      <c r="H372" s="163" t="str">
        <f>MID(EJECUTADO[[#This Row],[CUENTA]],1,4)</f>
        <v>E-22</v>
      </c>
      <c r="I372" s="163" t="str">
        <f>INDEX(CATALOGO[Descripción],MATCH(EJECUTADO[[#This Row],[APLICACIÓN]]&amp;"-00-00-00",CATALOGO[Código],0))</f>
        <v>CAPACITACIÓN AL PERSONAL</v>
      </c>
      <c r="J3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72" s="161" t="str">
        <f>IF((EJECUTADO[[#This Row],[MONTO DISPONIBLE ]]-EJECUTADO[[#This Row],[MONTO SOLICITADO]])&gt;=0,"PRESUPUESTO: SI","PRESUPUESTO: NO")</f>
        <v>PRESUPUESTO: NO</v>
      </c>
      <c r="L372" s="162">
        <f>SUMIF(PRESUPUESTO[CUENTA],EJECUTADO[[#This Row],[CUENTA]],PRESUPUESTO[MONTO])-SUMIF($F$1:F371,EJECUTADO[[#This Row],[CUENTA]],$M$1:M371)</f>
        <v>-4454.22</v>
      </c>
      <c r="M372" s="2">
        <v>740.22</v>
      </c>
      <c r="N372" s="2"/>
      <c r="O372" s="2"/>
      <c r="P372" s="162">
        <f>+EJECUTADO[[#This Row],[MONTO SOLICITADO]]-EJECUTADO[[#This Row],[RETENCION IVA]]-EJECUTADO[[#This Row],[RETENCION ISR]]</f>
        <v>740.22</v>
      </c>
      <c r="Q372" s="84" t="s">
        <v>1000</v>
      </c>
      <c r="R372" s="2"/>
      <c r="S372">
        <v>1</v>
      </c>
      <c r="T372" s="168" t="str">
        <f t="shared" si="10"/>
        <v>CAPACITACIÓN AL PERSONAL - CAPACITACIONES TALLER PRINCIPIOS Y VALORES (DR.MALUMBRES) Disponible $-4454.22 Solicitado $740.22 PRESUPUESTO: NO</v>
      </c>
    </row>
    <row r="373" spans="1:20" ht="75" x14ac:dyDescent="0.25">
      <c r="A373" s="6">
        <f t="shared" si="11"/>
        <v>372</v>
      </c>
      <c r="B373" s="21">
        <v>45329</v>
      </c>
      <c r="C373" s="17" t="s">
        <v>1256</v>
      </c>
      <c r="D373" s="65" t="s">
        <v>1259</v>
      </c>
      <c r="E373" s="65"/>
      <c r="F373" s="68" t="s">
        <v>1258</v>
      </c>
      <c r="G373" s="161">
        <f>MONTH(EJECUTADO[[#This Row],[FECHA]])</f>
        <v>2</v>
      </c>
      <c r="H373" s="163" t="str">
        <f>MID(EJECUTADO[[#This Row],[CUENTA]],1,4)</f>
        <v>E-22</v>
      </c>
      <c r="I373" s="163" t="str">
        <f>INDEX(CATALOGO[Descripción],MATCH(EJECUTADO[[#This Row],[APLICACIÓN]]&amp;"-00-00-00",CATALOGO[Código],0))</f>
        <v>CAPACITACIÓN AL PERSONAL</v>
      </c>
      <c r="J3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73" s="161" t="str">
        <f>IF((EJECUTADO[[#This Row],[MONTO DISPONIBLE ]]-EJECUTADO[[#This Row],[MONTO SOLICITADO]])&gt;=0,"PRESUPUESTO: SI","PRESUPUESTO: NO")</f>
        <v>PRESUPUESTO: NO</v>
      </c>
      <c r="L373" s="162">
        <f>SUMIF(PRESUPUESTO[CUENTA],EJECUTADO[[#This Row],[CUENTA]],PRESUPUESTO[MONTO])-SUMIF($F$1:F372,EJECUTADO[[#This Row],[CUENTA]],$M$1:M372)</f>
        <v>-5194.4400000000005</v>
      </c>
      <c r="M373" s="2">
        <v>125</v>
      </c>
      <c r="N373" s="2"/>
      <c r="O373" s="2"/>
      <c r="P373" s="162">
        <f>+EJECUTADO[[#This Row],[MONTO SOLICITADO]]-EJECUTADO[[#This Row],[RETENCION IVA]]-EJECUTADO[[#This Row],[RETENCION ISR]]</f>
        <v>125</v>
      </c>
      <c r="Q373" s="84" t="s">
        <v>1000</v>
      </c>
      <c r="R373" s="2"/>
      <c r="S373">
        <v>1</v>
      </c>
      <c r="T373" s="168" t="str">
        <f t="shared" si="10"/>
        <v>CAPACITACIÓN AL PERSONAL - CAPACITACIONES TALLER PRINCIPIOS Y VALORES (DR.MALUMBRES) Disponible $-5194.44 Solicitado $125 PRESUPUESTO: NO</v>
      </c>
    </row>
    <row r="374" spans="1:20" ht="75" x14ac:dyDescent="0.25">
      <c r="A374" s="6">
        <f t="shared" si="11"/>
        <v>373</v>
      </c>
      <c r="B374" s="21">
        <v>45329</v>
      </c>
      <c r="C374" s="17" t="s">
        <v>1256</v>
      </c>
      <c r="D374" s="65" t="s">
        <v>1259</v>
      </c>
      <c r="E374" s="65"/>
      <c r="F374" s="68" t="s">
        <v>1258</v>
      </c>
      <c r="G374" s="161">
        <f>MONTH(EJECUTADO[[#This Row],[FECHA]])</f>
        <v>2</v>
      </c>
      <c r="H374" s="163" t="str">
        <f>MID(EJECUTADO[[#This Row],[CUENTA]],1,4)</f>
        <v>E-22</v>
      </c>
      <c r="I374" s="163" t="str">
        <f>INDEX(CATALOGO[Descripción],MATCH(EJECUTADO[[#This Row],[APLICACIÓN]]&amp;"-00-00-00",CATALOGO[Código],0))</f>
        <v>CAPACITACIÓN AL PERSONAL</v>
      </c>
      <c r="J3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374" s="161" t="str">
        <f>IF((EJECUTADO[[#This Row],[MONTO DISPONIBLE ]]-EJECUTADO[[#This Row],[MONTO SOLICITADO]])&gt;=0,"PRESUPUESTO: SI","PRESUPUESTO: NO")</f>
        <v>PRESUPUESTO: NO</v>
      </c>
      <c r="L374" s="162">
        <f>SUMIF(PRESUPUESTO[CUENTA],EJECUTADO[[#This Row],[CUENTA]],PRESUPUESTO[MONTO])-SUMIF($F$1:F373,EJECUTADO[[#This Row],[CUENTA]],$M$1:M373)</f>
        <v>-5319.4400000000005</v>
      </c>
      <c r="M374" s="2">
        <v>125</v>
      </c>
      <c r="N374" s="2"/>
      <c r="O374" s="2"/>
      <c r="P374" s="162">
        <f>+EJECUTADO[[#This Row],[MONTO SOLICITADO]]-EJECUTADO[[#This Row],[RETENCION IVA]]-EJECUTADO[[#This Row],[RETENCION ISR]]</f>
        <v>125</v>
      </c>
      <c r="Q374" s="84" t="s">
        <v>1000</v>
      </c>
      <c r="R374" s="2"/>
      <c r="S374">
        <v>1</v>
      </c>
      <c r="T374" s="168" t="str">
        <f t="shared" si="10"/>
        <v>CAPACITACIÓN AL PERSONAL - CAPACITACIONES TALLER PRINCIPIOS Y VALORES (DR.MALUMBRES) Disponible $-5319.44 Solicitado $125 PRESUPUESTO: NO</v>
      </c>
    </row>
    <row r="375" spans="1:20" ht="30" x14ac:dyDescent="0.25">
      <c r="A375" s="6">
        <f t="shared" si="11"/>
        <v>374</v>
      </c>
      <c r="B375" s="21">
        <v>45329</v>
      </c>
      <c r="C375" s="17" t="s">
        <v>1248</v>
      </c>
      <c r="D375" s="65" t="s">
        <v>119</v>
      </c>
      <c r="E375" s="65"/>
      <c r="F375" t="s">
        <v>1249</v>
      </c>
      <c r="G375" s="161">
        <f>MONTH(EJECUTADO[[#This Row],[FECHA]])</f>
        <v>2</v>
      </c>
      <c r="H375" s="163" t="str">
        <f>MID(EJECUTADO[[#This Row],[CUENTA]],1,4)</f>
        <v>E-01</v>
      </c>
      <c r="I375" s="163" t="str">
        <f>INDEX(CATALOGO[Descripción],MATCH(EJECUTADO[[#This Row],[APLICACIÓN]]&amp;"-00-00-00",CATALOGO[Código],0))</f>
        <v>SERVICIOS PROFESIONALES</v>
      </c>
      <c r="J3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Sra. Lilian de Burgos $ 4500 x 12</v>
      </c>
      <c r="K375" s="161" t="str">
        <f>IF((EJECUTADO[[#This Row],[MONTO DISPONIBLE ]]-EJECUTADO[[#This Row],[MONTO SOLICITADO]])&gt;=0,"PRESUPUESTO: SI","PRESUPUESTO: NO")</f>
        <v>PRESUPUESTO: SI</v>
      </c>
      <c r="L375" s="162">
        <f>SUMIF(PRESUPUESTO[CUENTA],EJECUTADO[[#This Row],[CUENTA]],PRESUPUESTO[MONTO])-SUMIF($F$1:F374,EJECUTADO[[#This Row],[CUENTA]],$M$1:M374)</f>
        <v>49500</v>
      </c>
      <c r="M375" s="2">
        <v>4500</v>
      </c>
      <c r="N375" s="2"/>
      <c r="O375" s="2"/>
      <c r="P375" s="162">
        <f>+EJECUTADO[[#This Row],[MONTO SOLICITADO]]-EJECUTADO[[#This Row],[RETENCION IVA]]-EJECUTADO[[#This Row],[RETENCION ISR]]</f>
        <v>4500</v>
      </c>
      <c r="Q375" s="84" t="s">
        <v>1000</v>
      </c>
      <c r="R375" s="2"/>
      <c r="S375">
        <v>1</v>
      </c>
      <c r="T375" s="168" t="str">
        <f t="shared" si="10"/>
        <v>SERVICIOS PROFESIONALES - Honorarios Sra. Lilian de Burgos $ 4500 x 12 Disponible $49500 Solicitado $4500 PRESUPUESTO: SI</v>
      </c>
    </row>
    <row r="376" spans="1:20" ht="30" x14ac:dyDescent="0.25">
      <c r="A376" s="6">
        <f t="shared" si="11"/>
        <v>375</v>
      </c>
      <c r="B376" s="21">
        <v>45329</v>
      </c>
      <c r="C376" s="17" t="s">
        <v>1250</v>
      </c>
      <c r="D376" s="65" t="s">
        <v>119</v>
      </c>
      <c r="E376" s="65"/>
      <c r="F376" t="s">
        <v>1251</v>
      </c>
      <c r="G376" s="161">
        <f>MONTH(EJECUTADO[[#This Row],[FECHA]])</f>
        <v>2</v>
      </c>
      <c r="H376" s="163" t="str">
        <f>MID(EJECUTADO[[#This Row],[CUENTA]],1,4)</f>
        <v>E-01</v>
      </c>
      <c r="I376" s="163" t="str">
        <f>INDEX(CATALOGO[Descripción],MATCH(EJECUTADO[[#This Row],[APLICACIÓN]]&amp;"-00-00-00",CATALOGO[Código],0))</f>
        <v>SERVICIOS PROFESIONALES</v>
      </c>
      <c r="J3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Lic. Rita de Araujo $ 4,500.00 X12</v>
      </c>
      <c r="K376" s="161" t="str">
        <f>IF((EJECUTADO[[#This Row],[MONTO DISPONIBLE ]]-EJECUTADO[[#This Row],[MONTO SOLICITADO]])&gt;=0,"PRESUPUESTO: SI","PRESUPUESTO: NO")</f>
        <v>PRESUPUESTO: SI</v>
      </c>
      <c r="L376" s="162">
        <f>SUMIF(PRESUPUESTO[CUENTA],EJECUTADO[[#This Row],[CUENTA]],PRESUPUESTO[MONTO])-SUMIF($F$1:F375,EJECUTADO[[#This Row],[CUENTA]],$M$1:M375)</f>
        <v>49500</v>
      </c>
      <c r="M376" s="2">
        <v>4500</v>
      </c>
      <c r="N376" s="2"/>
      <c r="O376" s="2"/>
      <c r="P376" s="162">
        <f>+EJECUTADO[[#This Row],[MONTO SOLICITADO]]-EJECUTADO[[#This Row],[RETENCION IVA]]-EJECUTADO[[#This Row],[RETENCION ISR]]</f>
        <v>4500</v>
      </c>
      <c r="Q376" s="84" t="s">
        <v>1000</v>
      </c>
      <c r="R376" s="2"/>
      <c r="S376">
        <v>1</v>
      </c>
      <c r="T376" s="168" t="str">
        <f t="shared" si="10"/>
        <v>SERVICIOS PROFESIONALES - Honorarios Lic. Rita de Araujo $ 4,500.00 X12 Disponible $49500 Solicitado $4500 PRESUPUESTO: SI</v>
      </c>
    </row>
    <row r="377" spans="1:20" x14ac:dyDescent="0.25">
      <c r="A377" s="6">
        <f t="shared" si="11"/>
        <v>376</v>
      </c>
      <c r="B377" s="21">
        <v>45329</v>
      </c>
      <c r="C377" s="17" t="s">
        <v>1252</v>
      </c>
      <c r="D377" s="65" t="s">
        <v>1447</v>
      </c>
      <c r="E377" s="65"/>
      <c r="F377" t="s">
        <v>1253</v>
      </c>
      <c r="G377" s="161">
        <f>MONTH(EJECUTADO[[#This Row],[FECHA]])</f>
        <v>2</v>
      </c>
      <c r="H377" s="163" t="str">
        <f>MID(EJECUTADO[[#This Row],[CUENTA]],1,4)</f>
        <v>E-04</v>
      </c>
      <c r="I377" s="163" t="str">
        <f>INDEX(CATALOGO[Descripción],MATCH(EJECUTADO[[#This Row],[APLICACIÓN]]&amp;"-00-00-00",CATALOGO[Código],0))</f>
        <v>SUELDOS ACADÉMICOS</v>
      </c>
      <c r="J3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377" s="161" t="str">
        <f>IF((EJECUTADO[[#This Row],[MONTO DISPONIBLE ]]-EJECUTADO[[#This Row],[MONTO SOLICITADO]])&gt;=0,"PRESUPUESTO: SI","PRESUPUESTO: NO")</f>
        <v>PRESUPUESTO: SI</v>
      </c>
      <c r="L377" s="162">
        <f>SUMIF(PRESUPUESTO[CUENTA],EJECUTADO[[#This Row],[CUENTA]],PRESUPUESTO[MONTO])-SUMIF($F$1:F376,EJECUTADO[[#This Row],[CUENTA]],$M$1:M376)</f>
        <v>119300</v>
      </c>
      <c r="M377" s="2">
        <v>300</v>
      </c>
      <c r="N377" s="2"/>
      <c r="O377" s="2"/>
      <c r="P377" s="162">
        <f>+EJECUTADO[[#This Row],[MONTO SOLICITADO]]-EJECUTADO[[#This Row],[RETENCION IVA]]-EJECUTADO[[#This Row],[RETENCION ISR]]</f>
        <v>300</v>
      </c>
      <c r="Q377" s="84" t="s">
        <v>1000</v>
      </c>
      <c r="R377" s="2"/>
      <c r="S377">
        <v>1</v>
      </c>
      <c r="T377" s="168" t="str">
        <f t="shared" si="10"/>
        <v>SUELDOS ACADÉMICOS - SUELDOS Y SALARIOS VR ACADÉMICA Disponible $119300 Solicitado $300 PRESUPUESTO: SI</v>
      </c>
    </row>
    <row r="378" spans="1:20" ht="75" x14ac:dyDescent="0.25">
      <c r="A378" s="6">
        <f t="shared" si="11"/>
        <v>377</v>
      </c>
      <c r="B378" s="21">
        <v>45329</v>
      </c>
      <c r="C378" s="17" t="s">
        <v>1550</v>
      </c>
      <c r="D378" s="65" t="s">
        <v>1551</v>
      </c>
      <c r="E378" s="65"/>
      <c r="F378" t="s">
        <v>1552</v>
      </c>
      <c r="G378" s="161">
        <f>MONTH(EJECUTADO[[#This Row],[FECHA]])</f>
        <v>2</v>
      </c>
      <c r="H378" s="163" t="str">
        <f>MID(EJECUTADO[[#This Row],[CUENTA]],1,4)</f>
        <v>E-11</v>
      </c>
      <c r="I378" s="163" t="str">
        <f>INDEX(CATALOGO[Descripción],MATCH(EJECUTADO[[#This Row],[APLICACIÓN]]&amp;"-00-00-00",CATALOGO[Código],0))</f>
        <v>INVESTIGACIONES</v>
      </c>
      <c r="J3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378" s="161" t="str">
        <f>IF((EJECUTADO[[#This Row],[MONTO DISPONIBLE ]]-EJECUTADO[[#This Row],[MONTO SOLICITADO]])&gt;=0,"PRESUPUESTO: SI","PRESUPUESTO: NO")</f>
        <v>PRESUPUESTO: SI</v>
      </c>
      <c r="L378" s="162">
        <f>SUMIF(PRESUPUESTO[CUENTA],EJECUTADO[[#This Row],[CUENTA]],PRESUPUESTO[MONTO])-SUMIF($F$1:F377,EJECUTADO[[#This Row],[CUENTA]],$M$1:M377)</f>
        <v>28743</v>
      </c>
      <c r="M378" s="2">
        <v>2799</v>
      </c>
      <c r="N378" s="2"/>
      <c r="O378" s="2"/>
      <c r="P378" s="162">
        <f>+EJECUTADO[[#This Row],[MONTO SOLICITADO]]-EJECUTADO[[#This Row],[RETENCION IVA]]-EJECUTADO[[#This Row],[RETENCION ISR]]</f>
        <v>2799</v>
      </c>
      <c r="Q378" s="84" t="s">
        <v>1000</v>
      </c>
      <c r="R378" s="2"/>
      <c r="S378">
        <v>1</v>
      </c>
      <c r="T378" s="168" t="str">
        <f t="shared" si="10"/>
        <v>INVESTIGACIONES - Proyectos de investigación Disponible $28743 Solicitado $2799 PRESUPUESTO: SI</v>
      </c>
    </row>
    <row r="379" spans="1:20" ht="90" x14ac:dyDescent="0.25">
      <c r="A379" s="187"/>
      <c r="B379" s="21">
        <v>45371</v>
      </c>
      <c r="C379" s="17" t="s">
        <v>1550</v>
      </c>
      <c r="D379" s="65" t="s">
        <v>1553</v>
      </c>
      <c r="E379" s="65"/>
      <c r="F379" t="s">
        <v>1552</v>
      </c>
      <c r="G379" s="161">
        <f>MONTH(EJECUTADO[[#This Row],[FECHA]])</f>
        <v>3</v>
      </c>
      <c r="H379" s="163" t="str">
        <f>MID(EJECUTADO[[#This Row],[CUENTA]],1,4)</f>
        <v>E-11</v>
      </c>
      <c r="I379" s="163" t="str">
        <f>INDEX(CATALOGO[Descripción],MATCH(EJECUTADO[[#This Row],[APLICACIÓN]]&amp;"-00-00-00",CATALOGO[Código],0))</f>
        <v>INVESTIGACIONES</v>
      </c>
      <c r="J3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379" s="161" t="str">
        <f>IF((EJECUTADO[[#This Row],[MONTO DISPONIBLE ]]-EJECUTADO[[#This Row],[MONTO SOLICITADO]])&gt;=0,"PRESUPUESTO: SI","PRESUPUESTO: NO")</f>
        <v>PRESUPUESTO: SI</v>
      </c>
      <c r="L379" s="162">
        <f>SUMIF(PRESUPUESTO[CUENTA],EJECUTADO[[#This Row],[CUENTA]],PRESUPUESTO[MONTO])-SUMIF($F$1:F378,EJECUTADO[[#This Row],[CUENTA]],$M$1:M378)</f>
        <v>25944</v>
      </c>
      <c r="M379" s="2">
        <v>-2327.5500000000002</v>
      </c>
      <c r="N379" s="188"/>
      <c r="O379" s="188"/>
      <c r="P379" s="166">
        <v>1</v>
      </c>
      <c r="Q379" s="188" t="s">
        <v>1554</v>
      </c>
      <c r="R379" s="188"/>
      <c r="S379">
        <v>1</v>
      </c>
      <c r="T379" s="176" t="str">
        <f>_xlfn.CONCAT(I379," - ",J379," Disponible $",L379," Solicitado $",M379," ",K379,)</f>
        <v>INVESTIGACIONES - Proyectos de investigación Disponible $25944 Solicitado $-2327.55 PRESUPUESTO: SI</v>
      </c>
    </row>
    <row r="380" spans="1:20" ht="45" x14ac:dyDescent="0.25">
      <c r="A380" s="6">
        <f>+A378+1</f>
        <v>378</v>
      </c>
      <c r="B380" s="21">
        <v>45329</v>
      </c>
      <c r="C380" s="17" t="s">
        <v>1555</v>
      </c>
      <c r="D380" s="65" t="s">
        <v>1556</v>
      </c>
      <c r="E380" s="65"/>
      <c r="F380" t="s">
        <v>1557</v>
      </c>
      <c r="G380" s="161">
        <f>MONTH(EJECUTADO[[#This Row],[FECHA]])</f>
        <v>2</v>
      </c>
      <c r="H380" s="163" t="str">
        <f>MID(EJECUTADO[[#This Row],[CUENTA]],1,4)</f>
        <v>E-11</v>
      </c>
      <c r="I380" s="163" t="str">
        <f>INDEX(CATALOGO[Descripción],MATCH(EJECUTADO[[#This Row],[APLICACIÓN]]&amp;"-00-00-00",CATALOGO[Código],0))</f>
        <v>INVESTIGACIONES</v>
      </c>
      <c r="J3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GASTOS</v>
      </c>
      <c r="K380" s="161" t="str">
        <f>IF((EJECUTADO[[#This Row],[MONTO DISPONIBLE ]]-EJECUTADO[[#This Row],[MONTO SOLICITADO]])&gt;=0,"PRESUPUESTO: SI","PRESUPUESTO: NO")</f>
        <v>PRESUPUESTO: NO</v>
      </c>
      <c r="L380" s="162">
        <f>SUMIF(PRESUPUESTO[CUENTA],EJECUTADO[[#This Row],[CUENTA]],PRESUPUESTO[MONTO])-SUMIF($F$1:F378,EJECUTADO[[#This Row],[CUENTA]],$M$1:M378)</f>
        <v>600</v>
      </c>
      <c r="M380" s="2">
        <v>1866</v>
      </c>
      <c r="N380" s="2"/>
      <c r="O380" s="2"/>
      <c r="P380" s="162">
        <f>+EJECUTADO[[#This Row],[MONTO SOLICITADO]]-EJECUTADO[[#This Row],[RETENCION IVA]]-EJECUTADO[[#This Row],[RETENCION ISR]]</f>
        <v>1866</v>
      </c>
      <c r="Q380" s="84" t="s">
        <v>1000</v>
      </c>
      <c r="R380" s="2"/>
      <c r="S380">
        <v>1</v>
      </c>
      <c r="T380" s="168" t="str">
        <f t="shared" si="10"/>
        <v>INVESTIGACIONES - OTROS GASTOS Disponible $600 Solicitado $1866 PRESUPUESTO: NO</v>
      </c>
    </row>
    <row r="381" spans="1:20" ht="60" x14ac:dyDescent="0.25">
      <c r="A381" s="6">
        <f t="shared" si="11"/>
        <v>379</v>
      </c>
      <c r="B381" s="21">
        <v>45329</v>
      </c>
      <c r="C381" s="17" t="s">
        <v>1056</v>
      </c>
      <c r="D381" s="65" t="s">
        <v>1558</v>
      </c>
      <c r="E381" s="65"/>
      <c r="F381" t="s">
        <v>1559</v>
      </c>
      <c r="G381" s="161">
        <f>MONTH(EJECUTADO[[#This Row],[FECHA]])</f>
        <v>2</v>
      </c>
      <c r="H381" s="163" t="str">
        <f>MID(EJECUTADO[[#This Row],[CUENTA]],1,4)</f>
        <v>E-19</v>
      </c>
      <c r="I381" s="163" t="str">
        <f>INDEX(CATALOGO[Descripción],MATCH(EJECUTADO[[#This Row],[APLICACIÓN]]&amp;"-00-00-00",CATALOGO[Código],0))</f>
        <v>MANTENIMIENTO</v>
      </c>
      <c r="J3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Contrato de Mantenimiento Aires Acondicionados </v>
      </c>
      <c r="K381" s="161" t="str">
        <f>IF((EJECUTADO[[#This Row],[MONTO DISPONIBLE ]]-EJECUTADO[[#This Row],[MONTO SOLICITADO]])&gt;=0,"PRESUPUESTO: SI","PRESUPUESTO: NO")</f>
        <v>PRESUPUESTO: SI</v>
      </c>
      <c r="L381" s="162">
        <f>SUMIF(PRESUPUESTO[CUENTA],EJECUTADO[[#This Row],[CUENTA]],PRESUPUESTO[MONTO])-SUMIF($F$1:F380,EJECUTADO[[#This Row],[CUENTA]],$M$1:M380)</f>
        <v>32604</v>
      </c>
      <c r="M381" s="2">
        <v>447.7</v>
      </c>
      <c r="N381" s="2"/>
      <c r="O381" s="2"/>
      <c r="P381" s="162">
        <f>+EJECUTADO[[#This Row],[MONTO SOLICITADO]]-EJECUTADO[[#This Row],[RETENCION IVA]]-EJECUTADO[[#This Row],[RETENCION ISR]]</f>
        <v>447.7</v>
      </c>
      <c r="Q381" s="84" t="s">
        <v>1000</v>
      </c>
      <c r="R381" s="2"/>
      <c r="S381">
        <v>1</v>
      </c>
      <c r="T381" s="168" t="str">
        <f t="shared" si="10"/>
        <v>MANTENIMIENTO - Dir. Mantenimiento - Contrato de Mantenimiento Aires Acondicionados  Disponible $32604 Solicitado $447.7 PRESUPUESTO: SI</v>
      </c>
    </row>
    <row r="382" spans="1:20" ht="30" x14ac:dyDescent="0.25">
      <c r="A382" s="6">
        <f t="shared" si="11"/>
        <v>380</v>
      </c>
      <c r="B382" s="21">
        <v>45331</v>
      </c>
      <c r="C382" s="17" t="s">
        <v>1152</v>
      </c>
      <c r="D382" s="65" t="s">
        <v>1153</v>
      </c>
      <c r="E382" s="65"/>
      <c r="F382" t="s">
        <v>1154</v>
      </c>
      <c r="G382" s="161">
        <f>MONTH(EJECUTADO[[#This Row],[FECHA]])</f>
        <v>2</v>
      </c>
      <c r="H382" s="163" t="str">
        <f>MID(EJECUTADO[[#This Row],[CUENTA]],1,4)</f>
        <v>E-09</v>
      </c>
      <c r="I382" s="163" t="str">
        <f>INDEX(CATALOGO[Descripción],MATCH(EJECUTADO[[#This Row],[APLICACIÓN]]&amp;"-00-00-00",CATALOGO[Código],0))</f>
        <v>PRESTACIONES AL PERSONAL</v>
      </c>
      <c r="J3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382" s="161" t="str">
        <f>IF((EJECUTADO[[#This Row],[MONTO DISPONIBLE ]]-EJECUTADO[[#This Row],[MONTO SOLICITADO]])&gt;=0,"PRESUPUESTO: SI","PRESUPUESTO: NO")</f>
        <v>PRESUPUESTO: SI</v>
      </c>
      <c r="L382" s="162">
        <f>SUMIF(PRESUPUESTO[CUENTA],EJECUTADO[[#This Row],[CUENTA]],PRESUPUESTO[MONTO])-SUMIF($F$1:F381,EJECUTADO[[#This Row],[CUENTA]],$M$1:M381)</f>
        <v>195749.44</v>
      </c>
      <c r="M382" s="2">
        <v>2093.96</v>
      </c>
      <c r="N382" s="2"/>
      <c r="O382" s="2"/>
      <c r="P382" s="162">
        <f>+EJECUTADO[[#This Row],[MONTO SOLICITADO]]-EJECUTADO[[#This Row],[RETENCION IVA]]-EJECUTADO[[#This Row],[RETENCION ISR]]</f>
        <v>2093.96</v>
      </c>
      <c r="Q382" s="84" t="s">
        <v>1000</v>
      </c>
      <c r="R382" s="2"/>
      <c r="S382">
        <v>1</v>
      </c>
      <c r="T382" s="168" t="str">
        <f t="shared" si="10"/>
        <v>PRESTACIONES AL PERSONAL - GASTOS MÉDICOS  Disponible $195749.44 Solicitado $2093.96 PRESUPUESTO: SI</v>
      </c>
    </row>
    <row r="383" spans="1:20" ht="45" x14ac:dyDescent="0.25">
      <c r="A383" s="6">
        <f t="shared" si="11"/>
        <v>381</v>
      </c>
      <c r="B383" s="21">
        <v>45331</v>
      </c>
      <c r="C383" s="17" t="s">
        <v>1560</v>
      </c>
      <c r="D383" s="65" t="s">
        <v>1561</v>
      </c>
      <c r="E383" s="65"/>
      <c r="F383" t="s">
        <v>1552</v>
      </c>
      <c r="G383" s="161">
        <f>MONTH(EJECUTADO[[#This Row],[FECHA]])</f>
        <v>2</v>
      </c>
      <c r="H383" s="163" t="str">
        <f>MID(EJECUTADO[[#This Row],[CUENTA]],1,4)</f>
        <v>E-11</v>
      </c>
      <c r="I383" s="163" t="str">
        <f>INDEX(CATALOGO[Descripción],MATCH(EJECUTADO[[#This Row],[APLICACIÓN]]&amp;"-00-00-00",CATALOGO[Código],0))</f>
        <v>INVESTIGACIONES</v>
      </c>
      <c r="J3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383" s="161" t="str">
        <f>IF((EJECUTADO[[#This Row],[MONTO DISPONIBLE ]]-EJECUTADO[[#This Row],[MONTO SOLICITADO]])&gt;=0,"PRESUPUESTO: SI","PRESUPUESTO: NO")</f>
        <v>PRESUPUESTO: SI</v>
      </c>
      <c r="L383" s="162">
        <f>SUMIF(PRESUPUESTO[CUENTA],EJECUTADO[[#This Row],[CUENTA]],PRESUPUESTO[MONTO])-SUMIF($F$1:F382,EJECUTADO[[#This Row],[CUENTA]],$M$1:M382)</f>
        <v>28271.55</v>
      </c>
      <c r="M383" s="2">
        <v>945.75</v>
      </c>
      <c r="N383" s="2"/>
      <c r="O383" s="2"/>
      <c r="P383" s="162">
        <f>+EJECUTADO[[#This Row],[MONTO SOLICITADO]]-EJECUTADO[[#This Row],[RETENCION IVA]]-EJECUTADO[[#This Row],[RETENCION ISR]]</f>
        <v>945.75</v>
      </c>
      <c r="Q383" s="84" t="s">
        <v>1000</v>
      </c>
      <c r="R383" s="2"/>
      <c r="S383">
        <v>1</v>
      </c>
      <c r="T383" s="168" t="str">
        <f t="shared" si="10"/>
        <v>INVESTIGACIONES - Proyectos de investigación Disponible $28271.55 Solicitado $945.75 PRESUPUESTO: SI</v>
      </c>
    </row>
    <row r="384" spans="1:20" ht="60" x14ac:dyDescent="0.25">
      <c r="A384" s="187" t="s">
        <v>1562</v>
      </c>
      <c r="B384" s="21">
        <v>45371</v>
      </c>
      <c r="C384" s="126" t="s">
        <v>1560</v>
      </c>
      <c r="D384" s="65" t="s">
        <v>1563</v>
      </c>
      <c r="E384" s="65" t="s">
        <v>1564</v>
      </c>
      <c r="F384" t="s">
        <v>1552</v>
      </c>
      <c r="G384" s="161">
        <f>MONTH(EJECUTADO[[#This Row],[FECHA]])</f>
        <v>3</v>
      </c>
      <c r="H384" s="163" t="str">
        <f>MID(EJECUTADO[[#This Row],[CUENTA]],1,4)</f>
        <v>E-11</v>
      </c>
      <c r="I384" s="163" t="str">
        <f>INDEX(CATALOGO[Descripción],MATCH(EJECUTADO[[#This Row],[APLICACIÓN]]&amp;"-00-00-00",CATALOGO[Código],0))</f>
        <v>INVESTIGACIONES</v>
      </c>
      <c r="J3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384" s="161" t="str">
        <f>IF((EJECUTADO[[#This Row],[MONTO DISPONIBLE ]]-EJECUTADO[[#This Row],[MONTO SOLICITADO]])&gt;=0,"PRESUPUESTO: SI","PRESUPUESTO: NO")</f>
        <v>PRESUPUESTO: SI</v>
      </c>
      <c r="L384" s="162">
        <f>SUMIF(PRESUPUESTO[CUENTA],EJECUTADO[[#This Row],[CUENTA]],PRESUPUESTO[MONTO])-SUMIF($F$1:F383,EJECUTADO[[#This Row],[CUENTA]],$M$1:M383)</f>
        <v>27325.8</v>
      </c>
      <c r="M384" s="2">
        <v>-20.71</v>
      </c>
      <c r="N384" s="188"/>
      <c r="O384" s="188"/>
      <c r="P384" s="162">
        <f>+EJECUTADO[[#This Row],[MONTO SOLICITADO]]-EJECUTADO[[#This Row],[RETENCION IVA]]-EJECUTADO[[#This Row],[RETENCION ISR]]</f>
        <v>-20.71</v>
      </c>
      <c r="Q384" s="188" t="s">
        <v>1554</v>
      </c>
      <c r="R384" s="188" t="s">
        <v>1565</v>
      </c>
      <c r="S384">
        <v>1</v>
      </c>
      <c r="T384" s="176" t="str">
        <f>_xlfn.CONCAT(I384," - ",J384," Disponible $",L384," Solicitado $",M384," ",K384,)</f>
        <v>INVESTIGACIONES - Proyectos de investigación Disponible $27325.8 Solicitado $-20.71 PRESUPUESTO: SI</v>
      </c>
    </row>
    <row r="385" spans="1:20" ht="45" x14ac:dyDescent="0.25">
      <c r="A385" s="6">
        <f>+A383+1</f>
        <v>382</v>
      </c>
      <c r="B385" s="21">
        <v>45331</v>
      </c>
      <c r="C385" s="17" t="s">
        <v>1566</v>
      </c>
      <c r="D385" s="65" t="s">
        <v>1567</v>
      </c>
      <c r="E385" s="65"/>
      <c r="F385" t="s">
        <v>1568</v>
      </c>
      <c r="G385" s="161">
        <f>MONTH(EJECUTADO[[#This Row],[FECHA]])</f>
        <v>2</v>
      </c>
      <c r="H385" s="163" t="str">
        <f>MID(EJECUTADO[[#This Row],[CUENTA]],1,4)</f>
        <v>E-19</v>
      </c>
      <c r="I385" s="163" t="str">
        <f>INDEX(CATALOGO[Descripción],MATCH(EJECUTADO[[#This Row],[APLICACIÓN]]&amp;"-00-00-00",CATALOGO[Código],0))</f>
        <v>MANTENIMIENTO</v>
      </c>
      <c r="J3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Mantto. preventivo planta fotovoltaíca </v>
      </c>
      <c r="K385" s="161" t="str">
        <f>IF((EJECUTADO[[#This Row],[MONTO DISPONIBLE ]]-EJECUTADO[[#This Row],[MONTO SOLICITADO]])&gt;=0,"PRESUPUESTO: SI","PRESUPUESTO: NO")</f>
        <v>PRESUPUESTO: NO</v>
      </c>
      <c r="L385" s="162">
        <f>SUMIF(PRESUPUESTO[CUENTA],EJECUTADO[[#This Row],[CUENTA]],PRESUPUESTO[MONTO])-SUMIF($F$1:F383,EJECUTADO[[#This Row],[CUENTA]],$M$1:M383)</f>
        <v>4000</v>
      </c>
      <c r="M385" s="2">
        <v>4068</v>
      </c>
      <c r="N385" s="2"/>
      <c r="O385" s="2"/>
      <c r="P385" s="162">
        <f>+EJECUTADO[[#This Row],[MONTO SOLICITADO]]-EJECUTADO[[#This Row],[RETENCION IVA]]-EJECUTADO[[#This Row],[RETENCION ISR]]</f>
        <v>4068</v>
      </c>
      <c r="Q385" s="84" t="s">
        <v>1000</v>
      </c>
      <c r="R385" s="2"/>
      <c r="S385">
        <v>1</v>
      </c>
      <c r="T385" s="168" t="str">
        <f t="shared" si="10"/>
        <v>MANTENIMIENTO - Dir. Mantenimiento - Mantto. preventivo planta fotovoltaíca  Disponible $4000 Solicitado $4068 PRESUPUESTO: NO</v>
      </c>
    </row>
    <row r="386" spans="1:20" ht="30" x14ac:dyDescent="0.25">
      <c r="A386" s="6">
        <f t="shared" si="11"/>
        <v>383</v>
      </c>
      <c r="B386" s="21">
        <v>45331</v>
      </c>
      <c r="C386" s="17" t="s">
        <v>1220</v>
      </c>
      <c r="D386" s="65" t="s">
        <v>1569</v>
      </c>
      <c r="E386" s="65"/>
      <c r="F386" t="s">
        <v>1011</v>
      </c>
      <c r="G386" s="161">
        <f>MONTH(EJECUTADO[[#This Row],[FECHA]])</f>
        <v>2</v>
      </c>
      <c r="H386" s="163" t="str">
        <f>MID(EJECUTADO[[#This Row],[CUENTA]],1,4)</f>
        <v>E-19</v>
      </c>
      <c r="I386" s="163" t="str">
        <f>INDEX(CATALOGO[Descripción],MATCH(EJECUTADO[[#This Row],[APLICACIÓN]]&amp;"-00-00-00",CATALOGO[Código],0))</f>
        <v>MANTENIMIENTO</v>
      </c>
      <c r="J3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Combustible</v>
      </c>
      <c r="K386" s="161" t="str">
        <f>IF((EJECUTADO[[#This Row],[MONTO DISPONIBLE ]]-EJECUTADO[[#This Row],[MONTO SOLICITADO]])&gt;=0,"PRESUPUESTO: SI","PRESUPUESTO: NO")</f>
        <v>PRESUPUESTO: SI</v>
      </c>
      <c r="L386" s="162">
        <f>SUMIF(PRESUPUESTO[CUENTA],EJECUTADO[[#This Row],[CUENTA]],PRESUPUESTO[MONTO])-SUMIF($F$1:F385,EJECUTADO[[#This Row],[CUENTA]],$M$1:M385)</f>
        <v>15799.2</v>
      </c>
      <c r="M386" s="2">
        <v>1358.94</v>
      </c>
      <c r="N386" s="2"/>
      <c r="O386" s="2"/>
      <c r="P386" s="162">
        <f>+EJECUTADO[[#This Row],[MONTO SOLICITADO]]-EJECUTADO[[#This Row],[RETENCION IVA]]-EJECUTADO[[#This Row],[RETENCION ISR]]</f>
        <v>1358.94</v>
      </c>
      <c r="Q386" s="84" t="s">
        <v>1000</v>
      </c>
      <c r="R386" s="2"/>
      <c r="S386">
        <v>1</v>
      </c>
      <c r="T386" s="168" t="str">
        <f t="shared" si="10"/>
        <v>MANTENIMIENTO - Combustible Disponible $15799.2 Solicitado $1358.94 PRESUPUESTO: SI</v>
      </c>
    </row>
    <row r="387" spans="1:20" ht="30" x14ac:dyDescent="0.25">
      <c r="A387" s="6">
        <f t="shared" si="11"/>
        <v>384</v>
      </c>
      <c r="B387" s="21">
        <v>45331</v>
      </c>
      <c r="C387" s="17" t="s">
        <v>1570</v>
      </c>
      <c r="D387" s="65" t="s">
        <v>1571</v>
      </c>
      <c r="E387" s="65"/>
      <c r="F387" t="s">
        <v>1275</v>
      </c>
      <c r="G387" s="161">
        <f>MONTH(EJECUTADO[[#This Row],[FECHA]])</f>
        <v>2</v>
      </c>
      <c r="H387" s="163" t="str">
        <f>MID(EJECUTADO[[#This Row],[CUENTA]],1,4)</f>
        <v>E-27</v>
      </c>
      <c r="I387" s="163" t="str">
        <f>INDEX(CATALOGO[Descripción],MATCH(EJECUTADO[[#This Row],[APLICACIÓN]]&amp;"-00-00-00",CATALOGO[Código],0))</f>
        <v>INSUMOS DE OFICINA</v>
      </c>
      <c r="J3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387" s="161" t="str">
        <f>IF((EJECUTADO[[#This Row],[MONTO DISPONIBLE ]]-EJECUTADO[[#This Row],[MONTO SOLICITADO]])&gt;=0,"PRESUPUESTO: SI","PRESUPUESTO: NO")</f>
        <v>PRESUPUESTO: SI</v>
      </c>
      <c r="L387" s="162">
        <f>SUMIF(PRESUPUESTO[CUENTA],EJECUTADO[[#This Row],[CUENTA]],PRESUPUESTO[MONTO])-SUMIF($F$1:F386,EJECUTADO[[#This Row],[CUENTA]],$M$1:M386)</f>
        <v>46753.75</v>
      </c>
      <c r="M387" s="2">
        <v>986</v>
      </c>
      <c r="N387" s="2"/>
      <c r="O387" s="2"/>
      <c r="P387" s="162">
        <f>+EJECUTADO[[#This Row],[MONTO SOLICITADO]]-EJECUTADO[[#This Row],[RETENCION IVA]]-EJECUTADO[[#This Row],[RETENCION ISR]]</f>
        <v>986</v>
      </c>
      <c r="Q387" s="84" t="s">
        <v>1000</v>
      </c>
      <c r="R387" s="2"/>
      <c r="S387">
        <v>1</v>
      </c>
      <c r="T387" s="168" t="str">
        <f t="shared" si="10"/>
        <v>INSUMOS DE OFICINA - PAPELERIA Y UTILES Disponible $46753.75 Solicitado $986 PRESUPUESTO: SI</v>
      </c>
    </row>
    <row r="388" spans="1:20" ht="45" x14ac:dyDescent="0.25">
      <c r="A388" s="6">
        <f t="shared" si="11"/>
        <v>385</v>
      </c>
      <c r="B388" s="21">
        <v>45331</v>
      </c>
      <c r="C388" s="17" t="s">
        <v>1572</v>
      </c>
      <c r="D388" s="65" t="s">
        <v>1573</v>
      </c>
      <c r="E388" s="65"/>
      <c r="F388" t="s">
        <v>1384</v>
      </c>
      <c r="G388" s="161">
        <f>MONTH(EJECUTADO[[#This Row],[FECHA]])</f>
        <v>2</v>
      </c>
      <c r="H388" s="163" t="str">
        <f>MID(EJECUTADO[[#This Row],[CUENTA]],1,4)</f>
        <v>E-19</v>
      </c>
      <c r="I388" s="163" t="str">
        <f>INDEX(CATALOGO[Descripción],MATCH(EJECUTADO[[#This Row],[APLICACIÓN]]&amp;"-00-00-00",CATALOGO[Código],0))</f>
        <v>MANTENIMIENTO</v>
      </c>
      <c r="J3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388" s="161" t="str">
        <f>IF((EJECUTADO[[#This Row],[MONTO DISPONIBLE ]]-EJECUTADO[[#This Row],[MONTO SOLICITADO]])&gt;=0,"PRESUPUESTO: SI","PRESUPUESTO: NO")</f>
        <v>PRESUPUESTO: SI</v>
      </c>
      <c r="L388" s="162">
        <f>SUMIF(PRESUPUESTO[CUENTA],EJECUTADO[[#This Row],[CUENTA]],PRESUPUESTO[MONTO])-SUMIF($F$1:F387,EJECUTADO[[#This Row],[CUENTA]],$M$1:M387)</f>
        <v>19605</v>
      </c>
      <c r="M388" s="2">
        <v>1231</v>
      </c>
      <c r="N388" s="2"/>
      <c r="O388" s="2"/>
      <c r="P388" s="162">
        <f>+EJECUTADO[[#This Row],[MONTO SOLICITADO]]-EJECUTADO[[#This Row],[RETENCION IVA]]-EJECUTADO[[#This Row],[RETENCION ISR]]</f>
        <v>1231</v>
      </c>
      <c r="Q388" s="84" t="s">
        <v>1000</v>
      </c>
      <c r="R388" s="2"/>
      <c r="S388">
        <v>1</v>
      </c>
      <c r="T388" s="168" t="str">
        <f t="shared" ref="T388:T451" si="12">_xlfn.CONCAT(I388," - ",J388," Disponible $",L388," Solicitado $",M388," ",K388,)</f>
        <v>MANTENIMIENTO - Mantenimiento de Limpieza Disponible $19605 Solicitado $1231 PRESUPUESTO: SI</v>
      </c>
    </row>
    <row r="389" spans="1:20" ht="30" x14ac:dyDescent="0.25">
      <c r="A389" s="6">
        <f t="shared" si="11"/>
        <v>386</v>
      </c>
      <c r="B389" s="21">
        <v>45331</v>
      </c>
      <c r="C389" s="17" t="s">
        <v>1372</v>
      </c>
      <c r="D389" s="65" t="s">
        <v>1373</v>
      </c>
      <c r="E389" s="65"/>
      <c r="F389" t="s">
        <v>1374</v>
      </c>
      <c r="G389" s="161">
        <f>MONTH(EJECUTADO[[#This Row],[FECHA]])</f>
        <v>2</v>
      </c>
      <c r="H389" s="163" t="str">
        <f>MID(EJECUTADO[[#This Row],[CUENTA]],1,4)</f>
        <v>E-19</v>
      </c>
      <c r="I389" s="163" t="str">
        <f>INDEX(CATALOGO[Descripción],MATCH(EJECUTADO[[#This Row],[APLICACIÓN]]&amp;"-00-00-00",CATALOGO[Código],0))</f>
        <v>MANTENIMIENTO</v>
      </c>
      <c r="J3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Materiales Mantenimiento A/A</v>
      </c>
      <c r="K389" s="161" t="str">
        <f>IF((EJECUTADO[[#This Row],[MONTO DISPONIBLE ]]-EJECUTADO[[#This Row],[MONTO SOLICITADO]])&gt;=0,"PRESUPUESTO: SI","PRESUPUESTO: NO")</f>
        <v>PRESUPUESTO: SI</v>
      </c>
      <c r="L389" s="162">
        <f>SUMIF(PRESUPUESTO[CUENTA],EJECUTADO[[#This Row],[CUENTA]],PRESUPUESTO[MONTO])-SUMIF($F$1:F388,EJECUTADO[[#This Row],[CUENTA]],$M$1:M388)</f>
        <v>7896.55</v>
      </c>
      <c r="M389" s="2">
        <v>336</v>
      </c>
      <c r="N389" s="2"/>
      <c r="O389" s="2"/>
      <c r="P389" s="162">
        <f>+EJECUTADO[[#This Row],[MONTO SOLICITADO]]-EJECUTADO[[#This Row],[RETENCION IVA]]-EJECUTADO[[#This Row],[RETENCION ISR]]</f>
        <v>336</v>
      </c>
      <c r="Q389" s="84" t="s">
        <v>1000</v>
      </c>
      <c r="R389" s="2"/>
      <c r="S389">
        <v>1</v>
      </c>
      <c r="T389" s="168" t="str">
        <f t="shared" si="12"/>
        <v>MANTENIMIENTO - Dir. Mantenimiento - Materiales Mantenimiento A/A Disponible $7896.55 Solicitado $336 PRESUPUESTO: SI</v>
      </c>
    </row>
    <row r="390" spans="1:20" ht="60" x14ac:dyDescent="0.25">
      <c r="A390" s="6">
        <f t="shared" ref="A390:A453" si="13">+A389+1</f>
        <v>387</v>
      </c>
      <c r="B390" s="21">
        <v>45331</v>
      </c>
      <c r="C390" s="17" t="s">
        <v>1574</v>
      </c>
      <c r="D390" s="65" t="s">
        <v>1575</v>
      </c>
      <c r="E390" s="65"/>
      <c r="F390" t="s">
        <v>1219</v>
      </c>
      <c r="G390" s="161">
        <f>MONTH(EJECUTADO[[#This Row],[FECHA]])</f>
        <v>2</v>
      </c>
      <c r="H390" s="163" t="str">
        <f>MID(EJECUTADO[[#This Row],[CUENTA]],1,4)</f>
        <v>E-33</v>
      </c>
      <c r="I390" s="163" t="str">
        <f>INDEX(CATALOGO[Descripción],MATCH(EJECUTADO[[#This Row],[APLICACIÓN]]&amp;"-00-00-00",CATALOGO[Código],0))</f>
        <v xml:space="preserve">PROVEEDORES </v>
      </c>
      <c r="J3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390" s="161" t="str">
        <f>IF((EJECUTADO[[#This Row],[MONTO DISPONIBLE ]]-EJECUTADO[[#This Row],[MONTO SOLICITADO]])&gt;=0,"PRESUPUESTO: SI","PRESUPUESTO: NO")</f>
        <v>PRESUPUESTO: SI</v>
      </c>
      <c r="L390" s="162">
        <f>SUMIF(PRESUPUESTO[CUENTA],EJECUTADO[[#This Row],[CUENTA]],PRESUPUESTO[MONTO])-SUMIF($F$1:F389,EJECUTADO[[#This Row],[CUENTA]],$M$1:M389)</f>
        <v>82600.38</v>
      </c>
      <c r="M390" s="2">
        <v>49.66</v>
      </c>
      <c r="N390" s="2"/>
      <c r="O390" s="2"/>
      <c r="P390" s="162">
        <f>+EJECUTADO[[#This Row],[MONTO SOLICITADO]]-EJECUTADO[[#This Row],[RETENCION IVA]]-EJECUTADO[[#This Row],[RETENCION ISR]]</f>
        <v>49.66</v>
      </c>
      <c r="Q390" s="84" t="s">
        <v>1000</v>
      </c>
      <c r="R390" s="2"/>
      <c r="S390">
        <v>1</v>
      </c>
      <c r="T390" s="168" t="str">
        <f t="shared" si="12"/>
        <v>PROVEEDORES  - OTROS Disponible $82600.38 Solicitado $49.66 PRESUPUESTO: SI</v>
      </c>
    </row>
    <row r="391" spans="1:20" ht="45" x14ac:dyDescent="0.25">
      <c r="A391" s="6">
        <f t="shared" si="13"/>
        <v>388</v>
      </c>
      <c r="B391" s="21">
        <v>45331</v>
      </c>
      <c r="C391" s="17" t="s">
        <v>1162</v>
      </c>
      <c r="D391" s="65" t="s">
        <v>1576</v>
      </c>
      <c r="E391" s="65"/>
      <c r="F391" t="s">
        <v>1164</v>
      </c>
      <c r="G391" s="161">
        <f>MONTH(EJECUTADO[[#This Row],[FECHA]])</f>
        <v>2</v>
      </c>
      <c r="H391" s="163" t="str">
        <f>MID(EJECUTADO[[#This Row],[CUENTA]],1,4)</f>
        <v>E-24</v>
      </c>
      <c r="I391" s="163" t="str">
        <f>INDEX(CATALOGO[Descripción],MATCH(EJECUTADO[[#This Row],[APLICACIÓN]]&amp;"-00-00-00",CATALOGO[Código],0))</f>
        <v>NUEVO INGRESO</v>
      </c>
      <c r="J3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391" s="161" t="str">
        <f>IF((EJECUTADO[[#This Row],[MONTO DISPONIBLE ]]-EJECUTADO[[#This Row],[MONTO SOLICITADO]])&gt;=0,"PRESUPUESTO: SI","PRESUPUESTO: NO")</f>
        <v>PRESUPUESTO: SI</v>
      </c>
      <c r="L391" s="162">
        <f>SUMIF(PRESUPUESTO[CUENTA],EJECUTADO[[#This Row],[CUENTA]],PRESUPUESTO[MONTO])-SUMIF($F$1:F390,EJECUTADO[[#This Row],[CUENTA]],$M$1:M390)</f>
        <v>2612.2399999999998</v>
      </c>
      <c r="M391" s="2">
        <v>387.76</v>
      </c>
      <c r="N391" s="2"/>
      <c r="O391" s="2"/>
      <c r="P391" s="162">
        <f>+EJECUTADO[[#This Row],[MONTO SOLICITADO]]-EJECUTADO[[#This Row],[RETENCION IVA]]-EJECUTADO[[#This Row],[RETENCION ISR]]</f>
        <v>387.76</v>
      </c>
      <c r="Q391" s="84" t="s">
        <v>1000</v>
      </c>
      <c r="R391" s="2"/>
      <c r="S391">
        <v>1</v>
      </c>
      <c r="T391" s="168" t="str">
        <f t="shared" si="12"/>
        <v>NUEVO INGRESO - Plaza Mundo - Promoción centro de atención Disponible $2612.24 Solicitado $387.76 PRESUPUESTO: SI</v>
      </c>
    </row>
    <row r="392" spans="1:20" ht="30" x14ac:dyDescent="0.25">
      <c r="A392" s="6">
        <f t="shared" si="13"/>
        <v>389</v>
      </c>
      <c r="B392" s="21">
        <v>45331</v>
      </c>
      <c r="C392" s="17" t="s">
        <v>1577</v>
      </c>
      <c r="D392" s="65" t="s">
        <v>1578</v>
      </c>
      <c r="E392" s="65"/>
      <c r="F392" t="s">
        <v>1384</v>
      </c>
      <c r="G392" s="161">
        <f>MONTH(EJECUTADO[[#This Row],[FECHA]])</f>
        <v>2</v>
      </c>
      <c r="H392" s="163" t="str">
        <f>MID(EJECUTADO[[#This Row],[CUENTA]],1,4)</f>
        <v>E-19</v>
      </c>
      <c r="I392" s="163" t="str">
        <f>INDEX(CATALOGO[Descripción],MATCH(EJECUTADO[[#This Row],[APLICACIÓN]]&amp;"-00-00-00",CATALOGO[Código],0))</f>
        <v>MANTENIMIENTO</v>
      </c>
      <c r="J3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392" s="161" t="str">
        <f>IF((EJECUTADO[[#This Row],[MONTO DISPONIBLE ]]-EJECUTADO[[#This Row],[MONTO SOLICITADO]])&gt;=0,"PRESUPUESTO: SI","PRESUPUESTO: NO")</f>
        <v>PRESUPUESTO: SI</v>
      </c>
      <c r="L392" s="162">
        <f>SUMIF(PRESUPUESTO[CUENTA],EJECUTADO[[#This Row],[CUENTA]],PRESUPUESTO[MONTO])-SUMIF($F$1:F391,EJECUTADO[[#This Row],[CUENTA]],$M$1:M391)</f>
        <v>18374</v>
      </c>
      <c r="M392" s="2">
        <v>664.68</v>
      </c>
      <c r="N392" s="2"/>
      <c r="O392" s="2"/>
      <c r="P392" s="162">
        <f>+EJECUTADO[[#This Row],[MONTO SOLICITADO]]-EJECUTADO[[#This Row],[RETENCION IVA]]-EJECUTADO[[#This Row],[RETENCION ISR]]</f>
        <v>664.68</v>
      </c>
      <c r="Q392" s="84" t="s">
        <v>1000</v>
      </c>
      <c r="R392" s="2"/>
      <c r="S392">
        <v>1</v>
      </c>
      <c r="T392" s="168" t="str">
        <f t="shared" si="12"/>
        <v>MANTENIMIENTO - Mantenimiento de Limpieza Disponible $18374 Solicitado $664.68 PRESUPUESTO: SI</v>
      </c>
    </row>
    <row r="393" spans="1:20" ht="30" x14ac:dyDescent="0.25">
      <c r="A393" s="6">
        <f t="shared" si="13"/>
        <v>390</v>
      </c>
      <c r="B393" s="21">
        <v>45331</v>
      </c>
      <c r="C393" s="17" t="s">
        <v>1577</v>
      </c>
      <c r="D393" s="65" t="s">
        <v>1579</v>
      </c>
      <c r="E393" s="65"/>
      <c r="F393" t="s">
        <v>1580</v>
      </c>
      <c r="G393" s="161">
        <f>MONTH(EJECUTADO[[#This Row],[FECHA]])</f>
        <v>2</v>
      </c>
      <c r="H393" s="163" t="str">
        <f>MID(EJECUTADO[[#This Row],[CUENTA]],1,4)</f>
        <v>E-19</v>
      </c>
      <c r="I393" s="163" t="str">
        <f>INDEX(CATALOGO[Descripción],MATCH(EJECUTADO[[#This Row],[APLICACIÓN]]&amp;"-00-00-00",CATALOGO[Código],0))</f>
        <v>MANTENIMIENTO</v>
      </c>
      <c r="J3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 servicios sanitarios alumnos</v>
      </c>
      <c r="K393" s="161" t="str">
        <f>IF((EJECUTADO[[#This Row],[MONTO DISPONIBLE ]]-EJECUTADO[[#This Row],[MONTO SOLICITADO]])&gt;=0,"PRESUPUESTO: SI","PRESUPUESTO: NO")</f>
        <v>PRESUPUESTO: SI</v>
      </c>
      <c r="L393" s="162">
        <f>SUMIF(PRESUPUESTO[CUENTA],EJECUTADO[[#This Row],[CUENTA]],PRESUPUESTO[MONTO])-SUMIF($F$1:F392,EJECUTADO[[#This Row],[CUENTA]],$M$1:M392)</f>
        <v>7000</v>
      </c>
      <c r="M393" s="2">
        <v>3289.5</v>
      </c>
      <c r="N393" s="2"/>
      <c r="O393" s="2"/>
      <c r="P393" s="162">
        <f>+EJECUTADO[[#This Row],[MONTO SOLICITADO]]-EJECUTADO[[#This Row],[RETENCION IVA]]-EJECUTADO[[#This Row],[RETENCION ISR]]</f>
        <v>3289.5</v>
      </c>
      <c r="Q393" s="84" t="s">
        <v>1000</v>
      </c>
      <c r="R393" s="2"/>
      <c r="S393">
        <v>1</v>
      </c>
      <c r="T393" s="168" t="str">
        <f t="shared" si="12"/>
        <v>MANTENIMIENTO - Papel servicios sanitarios alumnos Disponible $7000 Solicitado $3289.5 PRESUPUESTO: SI</v>
      </c>
    </row>
    <row r="394" spans="1:20" ht="30" x14ac:dyDescent="0.25">
      <c r="A394" s="6">
        <f t="shared" si="13"/>
        <v>391</v>
      </c>
      <c r="B394" s="21">
        <v>45331</v>
      </c>
      <c r="C394" s="17" t="s">
        <v>1004</v>
      </c>
      <c r="D394" s="65" t="s">
        <v>1581</v>
      </c>
      <c r="E394" s="65"/>
      <c r="F394" t="s">
        <v>1582</v>
      </c>
      <c r="G394" s="161">
        <f>MONTH(EJECUTADO[[#This Row],[FECHA]])</f>
        <v>2</v>
      </c>
      <c r="H394" s="163" t="str">
        <f>MID(EJECUTADO[[#This Row],[CUENTA]],1,4)</f>
        <v>E-19</v>
      </c>
      <c r="I394" s="163" t="str">
        <f>INDEX(CATALOGO[Descripción],MATCH(EJECUTADO[[#This Row],[APLICACIÓN]]&amp;"-00-00-00",CATALOGO[Código],0))</f>
        <v>MANTENIMIENTO</v>
      </c>
      <c r="J3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394" s="161" t="str">
        <f>IF((EJECUTADO[[#This Row],[MONTO DISPONIBLE ]]-EJECUTADO[[#This Row],[MONTO SOLICITADO]])&gt;=0,"PRESUPUESTO: SI","PRESUPUESTO: NO")</f>
        <v>PRESUPUESTO: SI</v>
      </c>
      <c r="L394" s="162">
        <f>SUMIF(PRESUPUESTO[CUENTA],EJECUTADO[[#This Row],[CUENTA]],PRESUPUESTO[MONTO])-SUMIF($F$1:F393,EJECUTADO[[#This Row],[CUENTA]],$M$1:M393)</f>
        <v>8000</v>
      </c>
      <c r="M394" s="2">
        <v>2640</v>
      </c>
      <c r="N394" s="2"/>
      <c r="O394" s="2"/>
      <c r="P394" s="162">
        <f>+EJECUTADO[[#This Row],[MONTO SOLICITADO]]-EJECUTADO[[#This Row],[RETENCION IVA]]-EJECUTADO[[#This Row],[RETENCION ISR]]</f>
        <v>2640</v>
      </c>
      <c r="Q394" s="84" t="s">
        <v>1000</v>
      </c>
      <c r="R394" s="2"/>
      <c r="S394">
        <v>1</v>
      </c>
      <c r="T394" s="168" t="str">
        <f t="shared" si="12"/>
        <v>MANTENIMIENTO - Dir. Mantenimiento - Materiales Eléctricos  Disponible $8000 Solicitado $2640 PRESUPUESTO: SI</v>
      </c>
    </row>
    <row r="395" spans="1:20" ht="30" x14ac:dyDescent="0.25">
      <c r="A395" s="6">
        <f t="shared" si="13"/>
        <v>392</v>
      </c>
      <c r="B395" s="21">
        <v>45331</v>
      </c>
      <c r="C395" s="17" t="s">
        <v>1004</v>
      </c>
      <c r="D395" s="65" t="s">
        <v>1583</v>
      </c>
      <c r="E395" s="65"/>
      <c r="F395" t="s">
        <v>1214</v>
      </c>
      <c r="G395" s="161">
        <f>MONTH(EJECUTADO[[#This Row],[FECHA]])</f>
        <v>2</v>
      </c>
      <c r="H395" s="163" t="str">
        <f>MID(EJECUTADO[[#This Row],[CUENTA]],1,4)</f>
        <v>E-19</v>
      </c>
      <c r="I395" s="163" t="str">
        <f>INDEX(CATALOGO[Descripción],MATCH(EJECUTADO[[#This Row],[APLICACIÓN]]&amp;"-00-00-00",CATALOGO[Código],0))</f>
        <v>MANTENIMIENTO</v>
      </c>
      <c r="J3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395" s="161" t="str">
        <f>IF((EJECUTADO[[#This Row],[MONTO DISPONIBLE ]]-EJECUTADO[[#This Row],[MONTO SOLICITADO]])&gt;=0,"PRESUPUESTO: SI","PRESUPUESTO: NO")</f>
        <v>PRESUPUESTO: SI</v>
      </c>
      <c r="L395" s="162">
        <f>SUMIF(PRESUPUESTO[CUENTA],EJECUTADO[[#This Row],[CUENTA]],PRESUPUESTO[MONTO])-SUMIF($F$1:F394,EJECUTADO[[#This Row],[CUENTA]],$M$1:M394)</f>
        <v>36891.86</v>
      </c>
      <c r="M395" s="2">
        <v>12.92</v>
      </c>
      <c r="N395" s="2"/>
      <c r="O395" s="2"/>
      <c r="P395" s="162">
        <f>+EJECUTADO[[#This Row],[MONTO SOLICITADO]]-EJECUTADO[[#This Row],[RETENCION IVA]]-EJECUTADO[[#This Row],[RETENCION ISR]]</f>
        <v>12.92</v>
      </c>
      <c r="Q395" s="84" t="s">
        <v>1000</v>
      </c>
      <c r="R395" s="2"/>
      <c r="S395">
        <v>1</v>
      </c>
      <c r="T395" s="168" t="str">
        <f t="shared" si="12"/>
        <v>MANTENIMIENTO - Mantenimiento en talleres (Vehiculos) Disponible $36891.86 Solicitado $12.92 PRESUPUESTO: SI</v>
      </c>
    </row>
    <row r="396" spans="1:20" ht="30" x14ac:dyDescent="0.25">
      <c r="A396" s="6">
        <f t="shared" si="13"/>
        <v>393</v>
      </c>
      <c r="B396" s="21">
        <v>45331</v>
      </c>
      <c r="C396" s="17" t="s">
        <v>1382</v>
      </c>
      <c r="D396" s="65" t="s">
        <v>1383</v>
      </c>
      <c r="E396" s="65"/>
      <c r="F396" t="s">
        <v>1384</v>
      </c>
      <c r="G396" s="161">
        <f>MONTH(EJECUTADO[[#This Row],[FECHA]])</f>
        <v>2</v>
      </c>
      <c r="H396" s="163" t="str">
        <f>MID(EJECUTADO[[#This Row],[CUENTA]],1,4)</f>
        <v>E-19</v>
      </c>
      <c r="I396" s="163" t="str">
        <f>INDEX(CATALOGO[Descripción],MATCH(EJECUTADO[[#This Row],[APLICACIÓN]]&amp;"-00-00-00",CATALOGO[Código],0))</f>
        <v>MANTENIMIENTO</v>
      </c>
      <c r="J3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396" s="161" t="str">
        <f>IF((EJECUTADO[[#This Row],[MONTO DISPONIBLE ]]-EJECUTADO[[#This Row],[MONTO SOLICITADO]])&gt;=0,"PRESUPUESTO: SI","PRESUPUESTO: NO")</f>
        <v>PRESUPUESTO: SI</v>
      </c>
      <c r="L396" s="162">
        <f>SUMIF(PRESUPUESTO[CUENTA],EJECUTADO[[#This Row],[CUENTA]],PRESUPUESTO[MONTO])-SUMIF($F$1:F395,EJECUTADO[[#This Row],[CUENTA]],$M$1:M395)</f>
        <v>17709.32</v>
      </c>
      <c r="M396" s="2">
        <v>270</v>
      </c>
      <c r="N396" s="2"/>
      <c r="O396" s="2"/>
      <c r="P396" s="162">
        <f>+EJECUTADO[[#This Row],[MONTO SOLICITADO]]-EJECUTADO[[#This Row],[RETENCION IVA]]-EJECUTADO[[#This Row],[RETENCION ISR]]</f>
        <v>270</v>
      </c>
      <c r="Q396" s="84" t="s">
        <v>1000</v>
      </c>
      <c r="R396" s="2"/>
      <c r="S396">
        <v>1</v>
      </c>
      <c r="T396" s="168" t="str">
        <f t="shared" si="12"/>
        <v>MANTENIMIENTO - Mantenimiento de Limpieza Disponible $17709.32 Solicitado $270 PRESUPUESTO: SI</v>
      </c>
    </row>
    <row r="397" spans="1:20" ht="30" x14ac:dyDescent="0.25">
      <c r="A397" s="6">
        <f t="shared" si="13"/>
        <v>394</v>
      </c>
      <c r="B397" s="21">
        <v>45331</v>
      </c>
      <c r="C397" s="17" t="s">
        <v>1382</v>
      </c>
      <c r="D397" s="65" t="s">
        <v>1383</v>
      </c>
      <c r="E397" s="65"/>
      <c r="F397" t="s">
        <v>1199</v>
      </c>
      <c r="G397" s="161">
        <f>MONTH(EJECUTADO[[#This Row],[FECHA]])</f>
        <v>2</v>
      </c>
      <c r="H397" s="163" t="str">
        <f>MID(EJECUTADO[[#This Row],[CUENTA]],1,4)</f>
        <v>E-13</v>
      </c>
      <c r="I397" s="163" t="str">
        <f>INDEX(CATALOGO[Descripción],MATCH(EJECUTADO[[#This Row],[APLICACIÓN]]&amp;"-00-00-00",CATALOGO[Código],0))</f>
        <v>MAESTRIAS Y POSTGRADOS</v>
      </c>
      <c r="J3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LIMPIEZA Y JARDINERIA</v>
      </c>
      <c r="K397" s="161" t="str">
        <f>IF((EJECUTADO[[#This Row],[MONTO DISPONIBLE ]]-EJECUTADO[[#This Row],[MONTO SOLICITADO]])&gt;=0,"PRESUPUESTO: SI","PRESUPUESTO: NO")</f>
        <v>PRESUPUESTO: SI</v>
      </c>
      <c r="L397" s="162">
        <f>SUMIF(PRESUPUESTO[CUENTA],EJECUTADO[[#This Row],[CUENTA]],PRESUPUESTO[MONTO])-SUMIF($F$1:F396,EJECUTADO[[#This Row],[CUENTA]],$M$1:M396)</f>
        <v>37916</v>
      </c>
      <c r="M397" s="2">
        <v>125</v>
      </c>
      <c r="N397" s="2"/>
      <c r="O397" s="2"/>
      <c r="P397" s="162">
        <f>+EJECUTADO[[#This Row],[MONTO SOLICITADO]]-EJECUTADO[[#This Row],[RETENCION IVA]]-EJECUTADO[[#This Row],[RETENCION ISR]]</f>
        <v>125</v>
      </c>
      <c r="Q397" s="84" t="s">
        <v>1000</v>
      </c>
      <c r="R397" s="2"/>
      <c r="S397">
        <v>1</v>
      </c>
      <c r="T397" s="168" t="str">
        <f t="shared" si="12"/>
        <v>MAESTRIAS Y POSTGRADOS - SERVICIO DE LIMPIEZA Y JARDINERIA Disponible $37916 Solicitado $125 PRESUPUESTO: SI</v>
      </c>
    </row>
    <row r="398" spans="1:20" ht="30" x14ac:dyDescent="0.25">
      <c r="A398" s="6">
        <f t="shared" si="13"/>
        <v>395</v>
      </c>
      <c r="B398" s="21">
        <v>45331</v>
      </c>
      <c r="C398" s="17" t="s">
        <v>1584</v>
      </c>
      <c r="D398" s="65" t="s">
        <v>1585</v>
      </c>
      <c r="E398" s="65"/>
      <c r="F398" t="s">
        <v>1003</v>
      </c>
      <c r="G398" s="161">
        <f>MONTH(EJECUTADO[[#This Row],[FECHA]])</f>
        <v>2</v>
      </c>
      <c r="H398" s="163" t="str">
        <f>MID(EJECUTADO[[#This Row],[CUENTA]],1,4)</f>
        <v>E-13</v>
      </c>
      <c r="I398" s="163" t="str">
        <f>INDEX(CATALOGO[Descripción],MATCH(EJECUTADO[[#This Row],[APLICACIÓN]]&amp;"-00-00-00",CATALOGO[Código],0))</f>
        <v>MAESTRIAS Y POSTGRADOS</v>
      </c>
      <c r="J3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398" s="161" t="str">
        <f>IF((EJECUTADO[[#This Row],[MONTO DISPONIBLE ]]-EJECUTADO[[#This Row],[MONTO SOLICITADO]])&gt;=0,"PRESUPUESTO: SI","PRESUPUESTO: NO")</f>
        <v>PRESUPUESTO: SI</v>
      </c>
      <c r="L398" s="162">
        <f>SUMIF(PRESUPUESTO[CUENTA],EJECUTADO[[#This Row],[CUENTA]],PRESUPUESTO[MONTO])-SUMIF($F$1:F397,EJECUTADO[[#This Row],[CUENTA]],$M$1:M397)</f>
        <v>2569.6</v>
      </c>
      <c r="M398" s="2">
        <v>271.2</v>
      </c>
      <c r="N398" s="2"/>
      <c r="O398" s="2"/>
      <c r="P398" s="162">
        <f>+EJECUTADO[[#This Row],[MONTO SOLICITADO]]-EJECUTADO[[#This Row],[RETENCION IVA]]-EJECUTADO[[#This Row],[RETENCION ISR]]</f>
        <v>271.2</v>
      </c>
      <c r="Q398" s="84" t="s">
        <v>1000</v>
      </c>
      <c r="R398" s="2"/>
      <c r="S398">
        <v>1</v>
      </c>
      <c r="T398" s="168" t="str">
        <f t="shared" si="12"/>
        <v>MAESTRIAS Y POSTGRADOS - MANTENIMIENTO ASENSORES  Disponible $2569.6 Solicitado $271.2 PRESUPUESTO: SI</v>
      </c>
    </row>
    <row r="399" spans="1:20" ht="30" x14ac:dyDescent="0.25">
      <c r="A399" s="6">
        <f t="shared" si="13"/>
        <v>396</v>
      </c>
      <c r="B399" s="21">
        <v>45331</v>
      </c>
      <c r="C399" s="17" t="s">
        <v>1586</v>
      </c>
      <c r="D399" s="65" t="s">
        <v>1587</v>
      </c>
      <c r="E399" s="65"/>
      <c r="F399" t="s">
        <v>1315</v>
      </c>
      <c r="G399" s="161">
        <f>MONTH(EJECUTADO[[#This Row],[FECHA]])</f>
        <v>2</v>
      </c>
      <c r="H399" s="163" t="str">
        <f>MID(EJECUTADO[[#This Row],[CUENTA]],1,4)</f>
        <v>E-18</v>
      </c>
      <c r="I399" s="163" t="str">
        <f>INDEX(CATALOGO[Descripción],MATCH(EJECUTADO[[#This Row],[APLICACIÓN]]&amp;"-00-00-00",CATALOGO[Código],0))</f>
        <v>COMUNICACIÓN INSTITUCIONAL</v>
      </c>
      <c r="J3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INSTITUCIONAL</v>
      </c>
      <c r="K399" s="161" t="str">
        <f>IF((EJECUTADO[[#This Row],[MONTO DISPONIBLE ]]-EJECUTADO[[#This Row],[MONTO SOLICITADO]])&gt;=0,"PRESUPUESTO: SI","PRESUPUESTO: NO")</f>
        <v>PRESUPUESTO: NO</v>
      </c>
      <c r="L399" s="162">
        <f>SUMIF(PRESUPUESTO[CUENTA],EJECUTADO[[#This Row],[CUENTA]],PRESUPUESTO[MONTO])-SUMIF($F$1:F398,EJECUTADO[[#This Row],[CUENTA]],$M$1:M398)</f>
        <v>-14767.599999999999</v>
      </c>
      <c r="M399" s="2">
        <v>1130</v>
      </c>
      <c r="N399" s="2"/>
      <c r="O399" s="2"/>
      <c r="P399" s="162">
        <f>+EJECUTADO[[#This Row],[MONTO SOLICITADO]]-EJECUTADO[[#This Row],[RETENCION IVA]]-EJECUTADO[[#This Row],[RETENCION ISR]]</f>
        <v>1130</v>
      </c>
      <c r="Q399" s="84" t="s">
        <v>1000</v>
      </c>
      <c r="R399" s="2"/>
      <c r="S399">
        <v>1</v>
      </c>
      <c r="T399" s="168" t="str">
        <f t="shared" si="12"/>
        <v>COMUNICACIÓN INSTITUCIONAL - PUBLICIDAD INSTITUCIONAL Disponible $-14767.6 Solicitado $1130 PRESUPUESTO: NO</v>
      </c>
    </row>
    <row r="400" spans="1:20" ht="45" x14ac:dyDescent="0.25">
      <c r="A400" s="6">
        <f t="shared" si="13"/>
        <v>397</v>
      </c>
      <c r="B400" s="21">
        <v>45331</v>
      </c>
      <c r="C400" s="17" t="s">
        <v>1302</v>
      </c>
      <c r="D400" s="65" t="s">
        <v>1588</v>
      </c>
      <c r="E400" s="65"/>
      <c r="F400" t="s">
        <v>1029</v>
      </c>
      <c r="G400" s="161">
        <f>MONTH(EJECUTADO[[#This Row],[FECHA]])</f>
        <v>2</v>
      </c>
      <c r="H400" s="163" t="str">
        <f>MID(EJECUTADO[[#This Row],[CUENTA]],1,4)</f>
        <v>E-18</v>
      </c>
      <c r="I400" s="163" t="str">
        <f>INDEX(CATALOGO[Descripción],MATCH(EJECUTADO[[#This Row],[APLICACIÓN]]&amp;"-00-00-00",CATALOGO[Código],0))</f>
        <v>COMUNICACIÓN INSTITUCIONAL</v>
      </c>
      <c r="J4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Arrendamiento de 5 mupis digitales: SB, BJ, FM, GL Y GM ($2,200 mens)</v>
      </c>
      <c r="K400" s="161" t="str">
        <f>IF((EJECUTADO[[#This Row],[MONTO DISPONIBLE ]]-EJECUTADO[[#This Row],[MONTO SOLICITADO]])&gt;=0,"PRESUPUESTO: SI","PRESUPUESTO: NO")</f>
        <v>PRESUPUESTO: SI</v>
      </c>
      <c r="L400" s="162">
        <f>SUMIF(PRESUPUESTO[CUENTA],EJECUTADO[[#This Row],[CUENTA]],PRESUPUESTO[MONTO])-SUMIF($F$1:F399,EJECUTADO[[#This Row],[CUENTA]],$M$1:M399)</f>
        <v>19060.650000000001</v>
      </c>
      <c r="M400" s="2">
        <v>2486</v>
      </c>
      <c r="N400" s="2"/>
      <c r="O400" s="2"/>
      <c r="P400" s="162">
        <f>+EJECUTADO[[#This Row],[MONTO SOLICITADO]]-EJECUTADO[[#This Row],[RETENCION IVA]]-EJECUTADO[[#This Row],[RETENCION ISR]]</f>
        <v>2486</v>
      </c>
      <c r="Q400" s="84" t="s">
        <v>1000</v>
      </c>
      <c r="R400" s="2"/>
      <c r="S400">
        <v>1875480</v>
      </c>
      <c r="T400" s="168" t="str">
        <f t="shared" si="12"/>
        <v>COMUNICACIÓN INSTITUCIONAL - Com. Interna - Arrendamiento de 5 mupis digitales: SB, BJ, FM, GL Y GM ($2,200 mens) Disponible $19060.65 Solicitado $2486 PRESUPUESTO: SI</v>
      </c>
    </row>
    <row r="401" spans="1:20" ht="30" x14ac:dyDescent="0.25">
      <c r="A401" s="6">
        <f t="shared" si="13"/>
        <v>398</v>
      </c>
      <c r="B401" s="21">
        <v>45331</v>
      </c>
      <c r="C401" s="17" t="s">
        <v>1589</v>
      </c>
      <c r="D401" s="65" t="s">
        <v>1590</v>
      </c>
      <c r="E401" s="65"/>
      <c r="F401" t="s">
        <v>1591</v>
      </c>
      <c r="G401" s="161">
        <f>MONTH(EJECUTADO[[#This Row],[FECHA]])</f>
        <v>2</v>
      </c>
      <c r="H401" s="163" t="str">
        <f>MID(EJECUTADO[[#This Row],[CUENTA]],1,4)</f>
        <v>E-07</v>
      </c>
      <c r="I401" s="163" t="str">
        <f>INDEX(CATALOGO[Descripción],MATCH(EJECUTADO[[#This Row],[APLICACIÓN]]&amp;"-00-00-00",CATALOGO[Código],0))</f>
        <v>SERVICIOS TECNOLOGICOS</v>
      </c>
      <c r="J4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Enlace Comercial Columbus Network COLUMBUS NETWORKS  $ 11,967.00 x 12</v>
      </c>
      <c r="K401" s="161" t="str">
        <f>IF((EJECUTADO[[#This Row],[MONTO DISPONIBLE ]]-EJECUTADO[[#This Row],[MONTO SOLICITADO]])&gt;=0,"PRESUPUESTO: SI","PRESUPUESTO: NO")</f>
        <v>PRESUPUESTO: SI</v>
      </c>
      <c r="L401" s="162">
        <f>SUMIF(PRESUPUESTO[CUENTA],EJECUTADO[[#This Row],[CUENTA]],PRESUPUESTO[MONTO])-SUMIF($F$1:F400,EJECUTADO[[#This Row],[CUENTA]],$M$1:M400)</f>
        <v>143600</v>
      </c>
      <c r="M401" s="2">
        <v>11966.7</v>
      </c>
      <c r="N401" s="2"/>
      <c r="O401" s="2"/>
      <c r="P401" s="162">
        <f>+EJECUTADO[[#This Row],[MONTO SOLICITADO]]-EJECUTADO[[#This Row],[RETENCION IVA]]-EJECUTADO[[#This Row],[RETENCION ISR]]</f>
        <v>11966.7</v>
      </c>
      <c r="Q401" s="84" t="s">
        <v>1000</v>
      </c>
      <c r="R401" s="2"/>
      <c r="S401">
        <v>1</v>
      </c>
      <c r="T401" s="168" t="str">
        <f t="shared" si="12"/>
        <v>SERVICIOS TECNOLOGICOS - Enlace Comercial Columbus Network COLUMBUS NETWORKS  $ 11,967.00 x 12 Disponible $143600 Solicitado $11966.7 PRESUPUESTO: SI</v>
      </c>
    </row>
    <row r="402" spans="1:20" ht="30" x14ac:dyDescent="0.25">
      <c r="A402" s="6">
        <f t="shared" si="13"/>
        <v>399</v>
      </c>
      <c r="B402" s="21">
        <v>45331</v>
      </c>
      <c r="C402" s="17" t="s">
        <v>1589</v>
      </c>
      <c r="D402" s="65" t="s">
        <v>1590</v>
      </c>
      <c r="E402" s="65"/>
      <c r="F402" t="s">
        <v>1592</v>
      </c>
      <c r="G402" s="161">
        <f>MONTH(EJECUTADO[[#This Row],[FECHA]])</f>
        <v>2</v>
      </c>
      <c r="H402" s="163" t="str">
        <f>MID(EJECUTADO[[#This Row],[CUENTA]],1,4)</f>
        <v>E-13</v>
      </c>
      <c r="I402" s="163" t="str">
        <f>INDEX(CATALOGO[Descripción],MATCH(EJECUTADO[[#This Row],[APLICACIÓN]]&amp;"-00-00-00",CATALOGO[Código],0))</f>
        <v>MAESTRIAS Y POSTGRADOS</v>
      </c>
      <c r="J4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INTERNET COLUMBUS</v>
      </c>
      <c r="K402" s="161" t="str">
        <f>IF((EJECUTADO[[#This Row],[MONTO DISPONIBLE ]]-EJECUTADO[[#This Row],[MONTO SOLICITADO]])&gt;=0,"PRESUPUESTO: SI","PRESUPUESTO: NO")</f>
        <v>PRESUPUESTO: SI</v>
      </c>
      <c r="L402" s="162">
        <f>SUMIF(PRESUPUESTO[CUENTA],EJECUTADO[[#This Row],[CUENTA]],PRESUPUESTO[MONTO])-SUMIF($F$1:F401,EJECUTADO[[#This Row],[CUENTA]],$M$1:M401)</f>
        <v>30917</v>
      </c>
      <c r="M402" s="2">
        <v>2853.25</v>
      </c>
      <c r="N402" s="2"/>
      <c r="O402" s="2"/>
      <c r="P402" s="162">
        <f>+EJECUTADO[[#This Row],[MONTO SOLICITADO]]-EJECUTADO[[#This Row],[RETENCION IVA]]-EJECUTADO[[#This Row],[RETENCION ISR]]</f>
        <v>2853.25</v>
      </c>
      <c r="Q402" s="84" t="s">
        <v>1000</v>
      </c>
      <c r="R402" s="2"/>
      <c r="S402">
        <v>1</v>
      </c>
      <c r="T402" s="168" t="str">
        <f t="shared" si="12"/>
        <v>MAESTRIAS Y POSTGRADOS - SERVICIO DE INTERNET COLUMBUS Disponible $30917 Solicitado $2853.25 PRESUPUESTO: SI</v>
      </c>
    </row>
    <row r="403" spans="1:20" ht="30" x14ac:dyDescent="0.25">
      <c r="A403" s="6">
        <f t="shared" si="13"/>
        <v>400</v>
      </c>
      <c r="B403" s="21">
        <v>45331</v>
      </c>
      <c r="C403" s="17" t="s">
        <v>1589</v>
      </c>
      <c r="D403" s="65" t="s">
        <v>1590</v>
      </c>
      <c r="E403" s="65"/>
      <c r="F403" t="s">
        <v>1219</v>
      </c>
      <c r="G403" s="161">
        <f>MONTH(EJECUTADO[[#This Row],[FECHA]])</f>
        <v>2</v>
      </c>
      <c r="H403" s="163" t="str">
        <f>MID(EJECUTADO[[#This Row],[CUENTA]],1,4)</f>
        <v>E-33</v>
      </c>
      <c r="I403" s="163" t="str">
        <f>INDEX(CATALOGO[Descripción],MATCH(EJECUTADO[[#This Row],[APLICACIÓN]]&amp;"-00-00-00",CATALOGO[Código],0))</f>
        <v xml:space="preserve">PROVEEDORES </v>
      </c>
      <c r="J4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403" s="161" t="str">
        <f>IF((EJECUTADO[[#This Row],[MONTO DISPONIBLE ]]-EJECUTADO[[#This Row],[MONTO SOLICITADO]])&gt;=0,"PRESUPUESTO: SI","PRESUPUESTO: NO")</f>
        <v>PRESUPUESTO: SI</v>
      </c>
      <c r="L403" s="162">
        <f>SUMIF(PRESUPUESTO[CUENTA],EJECUTADO[[#This Row],[CUENTA]],PRESUPUESTO[MONTO])-SUMIF($F$1:F402,EJECUTADO[[#This Row],[CUENTA]],$M$1:M402)</f>
        <v>82550.720000000001</v>
      </c>
      <c r="M403" s="2">
        <v>14266.25</v>
      </c>
      <c r="N403" s="2"/>
      <c r="O403" s="2"/>
      <c r="P403" s="162">
        <f>+EJECUTADO[[#This Row],[MONTO SOLICITADO]]-EJECUTADO[[#This Row],[RETENCION IVA]]-EJECUTADO[[#This Row],[RETENCION ISR]]</f>
        <v>14266.25</v>
      </c>
      <c r="Q403" s="84" t="s">
        <v>1000</v>
      </c>
      <c r="R403" s="2"/>
      <c r="S403">
        <v>1</v>
      </c>
      <c r="T403" s="168" t="str">
        <f t="shared" si="12"/>
        <v>PROVEEDORES  - OTROS Disponible $82550.72 Solicitado $14266.25 PRESUPUESTO: SI</v>
      </c>
    </row>
    <row r="404" spans="1:20" ht="45" x14ac:dyDescent="0.25">
      <c r="A404" s="6">
        <f t="shared" si="13"/>
        <v>401</v>
      </c>
      <c r="B404" s="21">
        <v>45331</v>
      </c>
      <c r="C404" s="17" t="s">
        <v>1593</v>
      </c>
      <c r="D404" s="65" t="s">
        <v>1594</v>
      </c>
      <c r="E404" s="65"/>
      <c r="F404" t="s">
        <v>1595</v>
      </c>
      <c r="G404" s="161">
        <f>MONTH(EJECUTADO[[#This Row],[FECHA]])</f>
        <v>2</v>
      </c>
      <c r="H404" s="163" t="str">
        <f>MID(EJECUTADO[[#This Row],[CUENTA]],1,4)</f>
        <v>E-07</v>
      </c>
      <c r="I404" s="163" t="str">
        <f>INDEX(CATALOGO[Descripción],MATCH(EJECUTADO[[#This Row],[APLICACIÓN]]&amp;"-00-00-00",CATALOGO[Código],0))</f>
        <v>SERVICIOS TECNOLOGICOS</v>
      </c>
      <c r="J4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Licencias Firewall Palo alto </v>
      </c>
      <c r="K404" s="161" t="str">
        <f>IF((EJECUTADO[[#This Row],[MONTO DISPONIBLE ]]-EJECUTADO[[#This Row],[MONTO SOLICITADO]])&gt;=0,"PRESUPUESTO: SI","PRESUPUESTO: NO")</f>
        <v>PRESUPUESTO: NO</v>
      </c>
      <c r="L404" s="162">
        <f>SUMIF(PRESUPUESTO[CUENTA],EJECUTADO[[#This Row],[CUENTA]],PRESUPUESTO[MONTO])-SUMIF($F$1:F403,EJECUTADO[[#This Row],[CUENTA]],$M$1:M403)</f>
        <v>35475</v>
      </c>
      <c r="M404" s="2">
        <v>36347.53</v>
      </c>
      <c r="N404" s="2"/>
      <c r="O404" s="2"/>
      <c r="P404" s="162">
        <f>+EJECUTADO[[#This Row],[MONTO SOLICITADO]]-EJECUTADO[[#This Row],[RETENCION IVA]]-EJECUTADO[[#This Row],[RETENCION ISR]]</f>
        <v>36347.53</v>
      </c>
      <c r="Q404" s="84" t="s">
        <v>1000</v>
      </c>
      <c r="R404" s="2"/>
      <c r="S404">
        <v>1</v>
      </c>
      <c r="T404" s="168" t="str">
        <f t="shared" si="12"/>
        <v>SERVICIOS TECNOLOGICOS - Licencias Firewall Palo alto  Disponible $35475 Solicitado $36347.53 PRESUPUESTO: NO</v>
      </c>
    </row>
    <row r="405" spans="1:20" x14ac:dyDescent="0.25">
      <c r="A405" s="6">
        <f t="shared" si="13"/>
        <v>402</v>
      </c>
      <c r="B405" s="21">
        <v>45331</v>
      </c>
      <c r="C405" s="17" t="s">
        <v>1157</v>
      </c>
      <c r="D405" s="65" t="s">
        <v>1596</v>
      </c>
      <c r="E405" s="65"/>
      <c r="F405" t="s">
        <v>1159</v>
      </c>
      <c r="G405" s="161">
        <f>MONTH(EJECUTADO[[#This Row],[FECHA]])</f>
        <v>2</v>
      </c>
      <c r="H405" s="163" t="str">
        <f>MID(EJECUTADO[[#This Row],[CUENTA]],1,4)</f>
        <v>E-24</v>
      </c>
      <c r="I405" s="163" t="str">
        <f>INDEX(CATALOGO[Descripción],MATCH(EJECUTADO[[#This Row],[APLICACIÓN]]&amp;"-00-00-00",CATALOGO[Código],0))</f>
        <v>NUEVO INGRESO</v>
      </c>
      <c r="J4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405" s="161" t="str">
        <f>IF((EJECUTADO[[#This Row],[MONTO DISPONIBLE ]]-EJECUTADO[[#This Row],[MONTO SOLICITADO]])&gt;=0,"PRESUPUESTO: SI","PRESUPUESTO: NO")</f>
        <v>PRESUPUESTO: SI</v>
      </c>
      <c r="L405" s="162">
        <f>SUMIF(PRESUPUESTO[CUENTA],EJECUTADO[[#This Row],[CUENTA]],PRESUPUESTO[MONTO])-SUMIF($F$1:F404,EJECUTADO[[#This Row],[CUENTA]],$M$1:M404)</f>
        <v>32096.15</v>
      </c>
      <c r="M405" s="2">
        <v>2917.85</v>
      </c>
      <c r="N405" s="2"/>
      <c r="O405" s="2"/>
      <c r="P405" s="162">
        <f>+EJECUTADO[[#This Row],[MONTO SOLICITADO]]-EJECUTADO[[#This Row],[RETENCION IVA]]-EJECUTADO[[#This Row],[RETENCION ISR]]</f>
        <v>2917.85</v>
      </c>
      <c r="Q405" s="84" t="s">
        <v>1000</v>
      </c>
      <c r="R405" s="2"/>
      <c r="S405">
        <v>1</v>
      </c>
      <c r="T405" s="168" t="str">
        <f t="shared" si="12"/>
        <v>NUEVO INGRESO - Plaza Mundo - Renta de local $ 2,917.85 DEICE Disponible $32096.15 Solicitado $2917.85 PRESUPUESTO: SI</v>
      </c>
    </row>
    <row r="406" spans="1:20" ht="45" x14ac:dyDescent="0.25">
      <c r="A406" s="6">
        <f t="shared" si="13"/>
        <v>403</v>
      </c>
      <c r="B406" s="21">
        <v>45331</v>
      </c>
      <c r="C406" s="17" t="s">
        <v>1157</v>
      </c>
      <c r="D406" s="65" t="s">
        <v>1597</v>
      </c>
      <c r="E406" s="65"/>
      <c r="F406" t="s">
        <v>1295</v>
      </c>
      <c r="G406" s="161">
        <f>MONTH(EJECUTADO[[#This Row],[FECHA]])</f>
        <v>2</v>
      </c>
      <c r="H406" s="163" t="str">
        <f>MID(EJECUTADO[[#This Row],[CUENTA]],1,4)</f>
        <v>E-24</v>
      </c>
      <c r="I406" s="163" t="str">
        <f>INDEX(CATALOGO[Descripción],MATCH(EJECUTADO[[#This Row],[APLICACIÓN]]&amp;"-00-00-00",CATALOGO[Código],0))</f>
        <v>NUEVO INGRESO</v>
      </c>
      <c r="J4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406" s="161" t="str">
        <f>IF((EJECUTADO[[#This Row],[MONTO DISPONIBLE ]]-EJECUTADO[[#This Row],[MONTO SOLICITADO]])&gt;=0,"PRESUPUESTO: SI","PRESUPUESTO: NO")</f>
        <v>PRESUPUESTO: SI</v>
      </c>
      <c r="L406" s="162">
        <f>SUMIF(PRESUPUESTO[CUENTA],EJECUTADO[[#This Row],[CUENTA]],PRESUPUESTO[MONTO])-SUMIF($F$1:F405,EJECUTADO[[#This Row],[CUENTA]],$M$1:M405)</f>
        <v>459.28</v>
      </c>
      <c r="M406" s="2">
        <v>35.340000000000003</v>
      </c>
      <c r="N406" s="2"/>
      <c r="O406" s="2"/>
      <c r="P406" s="162">
        <f>+EJECUTADO[[#This Row],[MONTO SOLICITADO]]-EJECUTADO[[#This Row],[RETENCION IVA]]-EJECUTADO[[#This Row],[RETENCION ISR]]</f>
        <v>35.340000000000003</v>
      </c>
      <c r="Q406" s="84" t="s">
        <v>1000</v>
      </c>
      <c r="R406" s="2"/>
      <c r="S406">
        <v>1</v>
      </c>
      <c r="T406" s="168" t="str">
        <f t="shared" si="12"/>
        <v>NUEVO INGRESO - Plaza Mundo - Aromatización $ 55.00 * 12 Disponible $459.28 Solicitado $35.34 PRESUPUESTO: SI</v>
      </c>
    </row>
    <row r="407" spans="1:20" ht="30" x14ac:dyDescent="0.25">
      <c r="A407" s="6">
        <f t="shared" si="13"/>
        <v>404</v>
      </c>
      <c r="B407" s="21">
        <v>45331</v>
      </c>
      <c r="C407" s="17" t="s">
        <v>1598</v>
      </c>
      <c r="D407" s="65" t="s">
        <v>1599</v>
      </c>
      <c r="E407" s="65"/>
      <c r="F407" t="s">
        <v>1600</v>
      </c>
      <c r="G407" s="161">
        <f>MONTH(EJECUTADO[[#This Row],[FECHA]])</f>
        <v>2</v>
      </c>
      <c r="H407" s="163" t="str">
        <f>MID(EJECUTADO[[#This Row],[CUENTA]],1,4)</f>
        <v>E-09</v>
      </c>
      <c r="I407" s="163" t="str">
        <f>INDEX(CATALOGO[Descripción],MATCH(EJECUTADO[[#This Row],[APLICACIÓN]]&amp;"-00-00-00",CATALOGO[Código],0))</f>
        <v>PRESTACIONES AL PERSONAL</v>
      </c>
      <c r="J4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Café, Agua, azucar y otros</v>
      </c>
      <c r="K407" s="161" t="str">
        <f>IF((EJECUTADO[[#This Row],[MONTO DISPONIBLE ]]-EJECUTADO[[#This Row],[MONTO SOLICITADO]])&gt;=0,"PRESUPUESTO: SI","PRESUPUESTO: NO")</f>
        <v>PRESUPUESTO: SI</v>
      </c>
      <c r="L407" s="162">
        <f>SUMIF(PRESUPUESTO[CUENTA],EJECUTADO[[#This Row],[CUENTA]],PRESUPUESTO[MONTO])-SUMIF($F$1:F406,EJECUTADO[[#This Row],[CUENTA]],$M$1:M406)</f>
        <v>20000</v>
      </c>
      <c r="M407" s="2">
        <v>54.71</v>
      </c>
      <c r="N407" s="2"/>
      <c r="O407" s="2"/>
      <c r="P407" s="162">
        <f>+EJECUTADO[[#This Row],[MONTO SOLICITADO]]-EJECUTADO[[#This Row],[RETENCION IVA]]-EJECUTADO[[#This Row],[RETENCION ISR]]</f>
        <v>54.71</v>
      </c>
      <c r="Q407" s="84" t="s">
        <v>1000</v>
      </c>
      <c r="R407" s="2"/>
      <c r="S407">
        <v>1</v>
      </c>
      <c r="T407" s="168" t="str">
        <f t="shared" si="12"/>
        <v>PRESTACIONES AL PERSONAL - Café, Agua, azucar y otros Disponible $20000 Solicitado $54.71 PRESUPUESTO: SI</v>
      </c>
    </row>
    <row r="408" spans="1:20" ht="75" x14ac:dyDescent="0.25">
      <c r="A408" s="6">
        <f t="shared" si="13"/>
        <v>405</v>
      </c>
      <c r="B408" s="21">
        <v>45331</v>
      </c>
      <c r="C408" s="17" t="s">
        <v>1601</v>
      </c>
      <c r="D408" s="65" t="s">
        <v>1602</v>
      </c>
      <c r="E408" s="65"/>
      <c r="F408" t="s">
        <v>1603</v>
      </c>
      <c r="G408" s="161">
        <f>MONTH(EJECUTADO[[#This Row],[FECHA]])</f>
        <v>2</v>
      </c>
      <c r="H408" s="163" t="str">
        <f>MID(EJECUTADO[[#This Row],[CUENTA]],1,4)</f>
        <v>E-22</v>
      </c>
      <c r="I408" s="163" t="str">
        <f>INDEX(CATALOGO[Descripción],MATCH(EJECUTADO[[#This Row],[APLICACIÓN]]&amp;"-00-00-00",CATALOGO[Código],0))</f>
        <v>CAPACITACIÓN AL PERSONAL</v>
      </c>
      <c r="J4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Maestría Beatríaz Martínez</v>
      </c>
      <c r="K408" s="161" t="str">
        <f>IF((EJECUTADO[[#This Row],[MONTO DISPONIBLE ]]-EJECUTADO[[#This Row],[MONTO SOLICITADO]])&gt;=0,"PRESUPUESTO: SI","PRESUPUESTO: NO")</f>
        <v>PRESUPUESTO: SI</v>
      </c>
      <c r="L408" s="162">
        <f>SUMIF(PRESUPUESTO[CUENTA],EJECUTADO[[#This Row],[CUENTA]],PRESUPUESTO[MONTO])-SUMIF($F$1:F407,EJECUTADO[[#This Row],[CUENTA]],$M$1:M407)</f>
        <v>1400</v>
      </c>
      <c r="M408" s="2">
        <v>112.5</v>
      </c>
      <c r="N408" s="2"/>
      <c r="O408" s="2"/>
      <c r="P408" s="162">
        <f>+EJECUTADO[[#This Row],[MONTO SOLICITADO]]-EJECUTADO[[#This Row],[RETENCION IVA]]-EJECUTADO[[#This Row],[RETENCION ISR]]</f>
        <v>112.5</v>
      </c>
      <c r="Q408" s="84" t="s">
        <v>1000</v>
      </c>
      <c r="R408" s="2"/>
      <c r="S408">
        <v>1</v>
      </c>
      <c r="T408" s="168" t="str">
        <f t="shared" si="12"/>
        <v>CAPACITACIÓN AL PERSONAL - FCCS - Maestría Beatríaz Martínez Disponible $1400 Solicitado $112.5 PRESUPUESTO: SI</v>
      </c>
    </row>
    <row r="409" spans="1:20" ht="60" x14ac:dyDescent="0.25">
      <c r="A409" s="6">
        <f t="shared" si="13"/>
        <v>406</v>
      </c>
      <c r="B409" s="21">
        <v>45331</v>
      </c>
      <c r="C409" s="17" t="s">
        <v>1601</v>
      </c>
      <c r="D409" s="65" t="s">
        <v>1604</v>
      </c>
      <c r="E409" s="65"/>
      <c r="F409" t="s">
        <v>1603</v>
      </c>
      <c r="G409" s="161">
        <f>MONTH(EJECUTADO[[#This Row],[FECHA]])</f>
        <v>2</v>
      </c>
      <c r="H409" s="163" t="str">
        <f>MID(EJECUTADO[[#This Row],[CUENTA]],1,4)</f>
        <v>E-22</v>
      </c>
      <c r="I409" s="163" t="str">
        <f>INDEX(CATALOGO[Descripción],MATCH(EJECUTADO[[#This Row],[APLICACIÓN]]&amp;"-00-00-00",CATALOGO[Código],0))</f>
        <v>CAPACITACIÓN AL PERSONAL</v>
      </c>
      <c r="J4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Maestría Beatríaz Martínez</v>
      </c>
      <c r="K409" s="161" t="str">
        <f>IF((EJECUTADO[[#This Row],[MONTO DISPONIBLE ]]-EJECUTADO[[#This Row],[MONTO SOLICITADO]])&gt;=0,"PRESUPUESTO: SI","PRESUPUESTO: NO")</f>
        <v>PRESUPUESTO: SI</v>
      </c>
      <c r="L409" s="162">
        <f>SUMIF(PRESUPUESTO[CUENTA],EJECUTADO[[#This Row],[CUENTA]],PRESUPUESTO[MONTO])-SUMIF($F$1:F408,EJECUTADO[[#This Row],[CUENTA]],$M$1:M408)</f>
        <v>1287.5</v>
      </c>
      <c r="M409" s="2">
        <v>37.5</v>
      </c>
      <c r="N409" s="2"/>
      <c r="O409" s="2"/>
      <c r="P409" s="162">
        <f>+EJECUTADO[[#This Row],[MONTO SOLICITADO]]-EJECUTADO[[#This Row],[RETENCION IVA]]-EJECUTADO[[#This Row],[RETENCION ISR]]</f>
        <v>37.5</v>
      </c>
      <c r="Q409" s="84" t="s">
        <v>1000</v>
      </c>
      <c r="R409" s="2"/>
      <c r="S409">
        <v>1</v>
      </c>
      <c r="T409" s="168" t="str">
        <f t="shared" si="12"/>
        <v>CAPACITACIÓN AL PERSONAL - FCCS - Maestría Beatríaz Martínez Disponible $1287.5 Solicitado $37.5 PRESUPUESTO: SI</v>
      </c>
    </row>
    <row r="410" spans="1:20" ht="30" x14ac:dyDescent="0.25">
      <c r="A410" s="6">
        <f t="shared" si="13"/>
        <v>407</v>
      </c>
      <c r="B410" s="21">
        <v>45331</v>
      </c>
      <c r="C410" s="17" t="s">
        <v>1605</v>
      </c>
      <c r="D410" s="65" t="s">
        <v>1606</v>
      </c>
      <c r="E410" s="65"/>
      <c r="F410" t="s">
        <v>1607</v>
      </c>
      <c r="G410" s="161">
        <f>MONTH(EJECUTADO[[#This Row],[FECHA]])</f>
        <v>2</v>
      </c>
      <c r="H410" s="163" t="str">
        <f>MID(EJECUTADO[[#This Row],[CUENTA]],1,4)</f>
        <v>E-26</v>
      </c>
      <c r="I410" s="163" t="str">
        <f>INDEX(CATALOGO[Descripción],MATCH(EJECUTADO[[#This Row],[APLICACIÓN]]&amp;"-00-00-00",CATALOGO[Código],0))</f>
        <v>EVENTOS ACADEMICOS, CULTURALES  E INSTITUCIONALES</v>
      </c>
      <c r="J4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Vinculación padres de familia  - FACE</v>
      </c>
      <c r="K410" s="161" t="str">
        <f>IF((EJECUTADO[[#This Row],[MONTO DISPONIBLE ]]-EJECUTADO[[#This Row],[MONTO SOLICITADO]])&gt;=0,"PRESUPUESTO: SI","PRESUPUESTO: NO")</f>
        <v>PRESUPUESTO: SI</v>
      </c>
      <c r="L410" s="162">
        <f>SUMIF(PRESUPUESTO[CUENTA],EJECUTADO[[#This Row],[CUENTA]],PRESUPUESTO[MONTO])-SUMIF($F$1:F409,EJECUTADO[[#This Row],[CUENTA]],$M$1:M409)</f>
        <v>500</v>
      </c>
      <c r="M410" s="2">
        <v>242.31</v>
      </c>
      <c r="N410" s="2"/>
      <c r="O410" s="2"/>
      <c r="P410" s="162">
        <f>+EJECUTADO[[#This Row],[MONTO SOLICITADO]]-EJECUTADO[[#This Row],[RETENCION IVA]]-EJECUTADO[[#This Row],[RETENCION ISR]]</f>
        <v>242.31</v>
      </c>
      <c r="Q410" s="84" t="s">
        <v>1000</v>
      </c>
      <c r="R410" s="2"/>
      <c r="S410">
        <v>1</v>
      </c>
      <c r="T410" s="168" t="str">
        <f t="shared" si="12"/>
        <v>EVENTOS ACADEMICOS, CULTURALES  E INSTITUCIONALES - Vinculación padres de familia  - FACE Disponible $500 Solicitado $242.31 PRESUPUESTO: SI</v>
      </c>
    </row>
    <row r="411" spans="1:20" ht="60" x14ac:dyDescent="0.25">
      <c r="A411" s="6">
        <f t="shared" si="13"/>
        <v>408</v>
      </c>
      <c r="B411" s="21">
        <v>45331</v>
      </c>
      <c r="C411" s="17" t="s">
        <v>1260</v>
      </c>
      <c r="D411" s="65" t="s">
        <v>1608</v>
      </c>
      <c r="E411" s="65"/>
      <c r="F411" t="s">
        <v>1262</v>
      </c>
      <c r="G411" s="161">
        <f>MONTH(EJECUTADO[[#This Row],[FECHA]])</f>
        <v>2</v>
      </c>
      <c r="H411" s="163" t="str">
        <f>MID(EJECUTADO[[#This Row],[CUENTA]],1,4)</f>
        <v>E-08</v>
      </c>
      <c r="I411" s="163" t="str">
        <f>INDEX(CATALOGO[Descripción],MATCH(EJECUTADO[[#This Row],[APLICACIÓN]]&amp;"-00-00-00",CATALOGO[Código],0))</f>
        <v>INVERSIONES Y PROYECTOS ESPECIALES</v>
      </c>
      <c r="J4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 DOCENTE CONECTADO 2024</v>
      </c>
      <c r="K411" s="161" t="str">
        <f>IF((EJECUTADO[[#This Row],[MONTO DISPONIBLE ]]-EJECUTADO[[#This Row],[MONTO SOLICITADO]])&gt;=0,"PRESUPUESTO: SI","PRESUPUESTO: NO")</f>
        <v>PRESUPUESTO: NO</v>
      </c>
      <c r="L411" s="162">
        <f>SUMIF(PRESUPUESTO[CUENTA],EJECUTADO[[#This Row],[CUENTA]],PRESUPUESTO[MONTO])-SUMIF($F$1:F410,EJECUTADO[[#This Row],[CUENTA]],$M$1:M410)</f>
        <v>196394</v>
      </c>
      <c r="M411" s="2">
        <v>199248</v>
      </c>
      <c r="N411" s="2"/>
      <c r="O411" s="2"/>
      <c r="P411" s="162">
        <f>+EJECUTADO[[#This Row],[MONTO SOLICITADO]]-EJECUTADO[[#This Row],[RETENCION IVA]]-EJECUTADO[[#This Row],[RETENCION ISR]]</f>
        <v>199248</v>
      </c>
      <c r="Q411" s="84" t="s">
        <v>1000</v>
      </c>
      <c r="R411" s="2"/>
      <c r="S411">
        <v>1</v>
      </c>
      <c r="T411" s="168" t="str">
        <f t="shared" si="12"/>
        <v>INVERSIONES Y PROYECTOS ESPECIALES - PROYECTO DOCENTE CONECTADO 2024 Disponible $196394 Solicitado $199248 PRESUPUESTO: NO</v>
      </c>
    </row>
    <row r="412" spans="1:20" ht="30" x14ac:dyDescent="0.25">
      <c r="A412" s="6">
        <f t="shared" si="13"/>
        <v>409</v>
      </c>
      <c r="B412" s="21">
        <v>45331</v>
      </c>
      <c r="C412" s="17" t="s">
        <v>1260</v>
      </c>
      <c r="D412" s="65" t="s">
        <v>1609</v>
      </c>
      <c r="E412" s="65"/>
      <c r="F412" t="s">
        <v>1354</v>
      </c>
      <c r="G412" s="161">
        <f>MONTH(EJECUTADO[[#This Row],[FECHA]])</f>
        <v>2</v>
      </c>
      <c r="H412" s="163" t="str">
        <f>MID(EJECUTADO[[#This Row],[CUENTA]],1,4)</f>
        <v>E-07</v>
      </c>
      <c r="I412" s="163" t="str">
        <f>INDEX(CATALOGO[Descripción],MATCH(EJECUTADO[[#This Row],[APLICACIÓN]]&amp;"-00-00-00",CATALOGO[Código],0))</f>
        <v>SERVICIOS TECNOLOGICOS</v>
      </c>
      <c r="J4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Partes y suministros</v>
      </c>
      <c r="K412" s="161" t="str">
        <f>IF((EJECUTADO[[#This Row],[MONTO DISPONIBLE ]]-EJECUTADO[[#This Row],[MONTO SOLICITADO]])&gt;=0,"PRESUPUESTO: SI","PRESUPUESTO: NO")</f>
        <v>PRESUPUESTO: NO</v>
      </c>
      <c r="L412" s="162">
        <f>SUMIF(PRESUPUESTO[CUENTA],EJECUTADO[[#This Row],[CUENTA]],PRESUPUESTO[MONTO])-SUMIF($F$1:F411,EJECUTADO[[#This Row],[CUENTA]],$M$1:M411)</f>
        <v>1963.6</v>
      </c>
      <c r="M412" s="2">
        <v>2380</v>
      </c>
      <c r="N412" s="2"/>
      <c r="O412" s="2"/>
      <c r="P412" s="162">
        <f>+EJECUTADO[[#This Row],[MONTO SOLICITADO]]-EJECUTADO[[#This Row],[RETENCION IVA]]-EJECUTADO[[#This Row],[RETENCION ISR]]</f>
        <v>2380</v>
      </c>
      <c r="Q412" s="84" t="s">
        <v>1000</v>
      </c>
      <c r="R412" s="2"/>
      <c r="S412">
        <v>1</v>
      </c>
      <c r="T412" s="168" t="str">
        <f t="shared" si="12"/>
        <v>SERVICIOS TECNOLOGICOS - Partes y suministros Disponible $1963.6 Solicitado $2380 PRESUPUESTO: NO</v>
      </c>
    </row>
    <row r="413" spans="1:20" ht="45" x14ac:dyDescent="0.25">
      <c r="A413" s="6">
        <f t="shared" si="13"/>
        <v>410</v>
      </c>
      <c r="B413" s="21">
        <v>45331</v>
      </c>
      <c r="C413" s="17" t="s">
        <v>1260</v>
      </c>
      <c r="D413" s="65" t="s">
        <v>1610</v>
      </c>
      <c r="E413" s="65"/>
      <c r="F413" t="s">
        <v>1006</v>
      </c>
      <c r="G413" s="161">
        <f>MONTH(EJECUTADO[[#This Row],[FECHA]])</f>
        <v>2</v>
      </c>
      <c r="H413" s="163" t="str">
        <f>MID(EJECUTADO[[#This Row],[CUENTA]],1,4)</f>
        <v>E-08</v>
      </c>
      <c r="I413" s="163" t="str">
        <f>INDEX(CATALOGO[Descripción],MATCH(EJECUTADO[[#This Row],[APLICACIÓN]]&amp;"-00-00-00",CATALOGO[Código],0))</f>
        <v>INVERSIONES Y PROYECTOS ESPECIALES</v>
      </c>
      <c r="J4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UNIDADES ACADEMICAS</v>
      </c>
      <c r="K413" s="161" t="str">
        <f>IF((EJECUTADO[[#This Row],[MONTO DISPONIBLE ]]-EJECUTADO[[#This Row],[MONTO SOLICITADO]])&gt;=0,"PRESUPUESTO: SI","PRESUPUESTO: NO")</f>
        <v>PRESUPUESTO: SI</v>
      </c>
      <c r="L413" s="162">
        <f>SUMIF(PRESUPUESTO[CUENTA],EJECUTADO[[#This Row],[CUENTA]],PRESUPUESTO[MONTO])-SUMIF($F$1:F412,EJECUTADO[[#This Row],[CUENTA]],$M$1:M412)</f>
        <v>4493.1499999999996</v>
      </c>
      <c r="M413" s="2">
        <v>245</v>
      </c>
      <c r="N413" s="2"/>
      <c r="O413" s="2"/>
      <c r="P413" s="162">
        <f>+EJECUTADO[[#This Row],[MONTO SOLICITADO]]-EJECUTADO[[#This Row],[RETENCION IVA]]-EJECUTADO[[#This Row],[RETENCION ISR]]</f>
        <v>245</v>
      </c>
      <c r="Q413" s="84" t="s">
        <v>1000</v>
      </c>
      <c r="R413" s="2"/>
      <c r="S413">
        <v>1</v>
      </c>
      <c r="T413" s="168" t="str">
        <f t="shared" si="12"/>
        <v>INVERSIONES Y PROYECTOS ESPECIALES - OTRAS UNIDADES ACADEMICAS Disponible $4493.15 Solicitado $245 PRESUPUESTO: SI</v>
      </c>
    </row>
    <row r="414" spans="1:20" ht="60" x14ac:dyDescent="0.25">
      <c r="A414" s="6">
        <f t="shared" si="13"/>
        <v>411</v>
      </c>
      <c r="B414" s="21">
        <v>45331</v>
      </c>
      <c r="C414" s="17" t="s">
        <v>1260</v>
      </c>
      <c r="D414" s="65" t="s">
        <v>1611</v>
      </c>
      <c r="E414" s="65"/>
      <c r="F414" t="s">
        <v>1557</v>
      </c>
      <c r="G414" s="161">
        <f>MONTH(EJECUTADO[[#This Row],[FECHA]])</f>
        <v>2</v>
      </c>
      <c r="H414" s="163" t="str">
        <f>MID(EJECUTADO[[#This Row],[CUENTA]],1,4)</f>
        <v>E-11</v>
      </c>
      <c r="I414" s="163" t="str">
        <f>INDEX(CATALOGO[Descripción],MATCH(EJECUTADO[[#This Row],[APLICACIÓN]]&amp;"-00-00-00",CATALOGO[Código],0))</f>
        <v>INVESTIGACIONES</v>
      </c>
      <c r="J4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GASTOS</v>
      </c>
      <c r="K414" s="161" t="str">
        <f>IF((EJECUTADO[[#This Row],[MONTO DISPONIBLE ]]-EJECUTADO[[#This Row],[MONTO SOLICITADO]])&gt;=0,"PRESUPUESTO: SI","PRESUPUESTO: NO")</f>
        <v>PRESUPUESTO: NO</v>
      </c>
      <c r="L414" s="162">
        <f>SUMIF(PRESUPUESTO[CUENTA],EJECUTADO[[#This Row],[CUENTA]],PRESUPUESTO[MONTO])-SUMIF($F$1:F413,EJECUTADO[[#This Row],[CUENTA]],$M$1:M413)</f>
        <v>-1266</v>
      </c>
      <c r="M414" s="2">
        <v>1170</v>
      </c>
      <c r="N414" s="2"/>
      <c r="O414" s="2"/>
      <c r="P414" s="162">
        <f>+EJECUTADO[[#This Row],[MONTO SOLICITADO]]-EJECUTADO[[#This Row],[RETENCION IVA]]-EJECUTADO[[#This Row],[RETENCION ISR]]</f>
        <v>1170</v>
      </c>
      <c r="Q414" s="84" t="s">
        <v>1000</v>
      </c>
      <c r="R414" s="2"/>
      <c r="S414">
        <v>1</v>
      </c>
      <c r="T414" s="168" t="str">
        <f t="shared" si="12"/>
        <v>INVESTIGACIONES - OTROS GASTOS Disponible $-1266 Solicitado $1170 PRESUPUESTO: NO</v>
      </c>
    </row>
    <row r="415" spans="1:20" ht="30" x14ac:dyDescent="0.25">
      <c r="A415" s="6">
        <f t="shared" si="13"/>
        <v>412</v>
      </c>
      <c r="B415" s="21">
        <v>45331</v>
      </c>
      <c r="C415" s="17" t="s">
        <v>1260</v>
      </c>
      <c r="D415" s="65" t="s">
        <v>1612</v>
      </c>
      <c r="E415" s="65"/>
      <c r="F415" t="s">
        <v>1006</v>
      </c>
      <c r="G415" s="161">
        <f>MONTH(EJECUTADO[[#This Row],[FECHA]])</f>
        <v>2</v>
      </c>
      <c r="H415" s="163" t="str">
        <f>MID(EJECUTADO[[#This Row],[CUENTA]],1,4)</f>
        <v>E-08</v>
      </c>
      <c r="I415" s="163" t="str">
        <f>INDEX(CATALOGO[Descripción],MATCH(EJECUTADO[[#This Row],[APLICACIÓN]]&amp;"-00-00-00",CATALOGO[Código],0))</f>
        <v>INVERSIONES Y PROYECTOS ESPECIALES</v>
      </c>
      <c r="J4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UNIDADES ACADEMICAS</v>
      </c>
      <c r="K415" s="161" t="str">
        <f>IF((EJECUTADO[[#This Row],[MONTO DISPONIBLE ]]-EJECUTADO[[#This Row],[MONTO SOLICITADO]])&gt;=0,"PRESUPUESTO: SI","PRESUPUESTO: NO")</f>
        <v>PRESUPUESTO: SI</v>
      </c>
      <c r="L415" s="162">
        <f>SUMIF(PRESUPUESTO[CUENTA],EJECUTADO[[#This Row],[CUENTA]],PRESUPUESTO[MONTO])-SUMIF($F$1:F414,EJECUTADO[[#This Row],[CUENTA]],$M$1:M414)</f>
        <v>4248.1499999999996</v>
      </c>
      <c r="M415" s="2">
        <v>1482</v>
      </c>
      <c r="N415" s="2"/>
      <c r="O415" s="2"/>
      <c r="P415" s="162">
        <f>+EJECUTADO[[#This Row],[MONTO SOLICITADO]]-EJECUTADO[[#This Row],[RETENCION IVA]]-EJECUTADO[[#This Row],[RETENCION ISR]]</f>
        <v>1482</v>
      </c>
      <c r="Q415" s="84" t="s">
        <v>1000</v>
      </c>
      <c r="R415" s="2"/>
      <c r="S415">
        <v>1</v>
      </c>
      <c r="T415" s="168" t="str">
        <f t="shared" si="12"/>
        <v>INVERSIONES Y PROYECTOS ESPECIALES - OTRAS UNIDADES ACADEMICAS Disponible $4248.15 Solicitado $1482 PRESUPUESTO: SI</v>
      </c>
    </row>
    <row r="416" spans="1:20" ht="45" x14ac:dyDescent="0.25">
      <c r="A416" s="6">
        <f t="shared" si="13"/>
        <v>413</v>
      </c>
      <c r="B416" s="21">
        <v>45334</v>
      </c>
      <c r="C416" s="17" t="s">
        <v>1152</v>
      </c>
      <c r="D416" s="65" t="s">
        <v>1613</v>
      </c>
      <c r="E416" s="65"/>
      <c r="F416" t="s">
        <v>1281</v>
      </c>
      <c r="G416" s="161">
        <f>MONTH(EJECUTADO[[#This Row],[FECHA]])</f>
        <v>2</v>
      </c>
      <c r="H416" s="163" t="str">
        <f>MID(EJECUTADO[[#This Row],[CUENTA]],1,4)</f>
        <v>E-03</v>
      </c>
      <c r="I416" s="163" t="str">
        <f>INDEX(CATALOGO[Descripción],MATCH(EJECUTADO[[#This Row],[APLICACIÓN]]&amp;"-00-00-00",CATALOGO[Código],0))</f>
        <v>SUELDOS ADMINISTRATIVOS</v>
      </c>
      <c r="J4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416" s="161" t="str">
        <f>IF((EJECUTADO[[#This Row],[MONTO DISPONIBLE ]]-EJECUTADO[[#This Row],[MONTO SOLICITADO]])&gt;=0,"PRESUPUESTO: SI","PRESUPUESTO: NO")</f>
        <v>PRESUPUESTO: SI</v>
      </c>
      <c r="L416" s="162">
        <f>SUMIF(PRESUPUESTO[CUENTA],EJECUTADO[[#This Row],[CUENTA]],PRESUPUESTO[MONTO])-SUMIF($F$1:F415,EJECUTADO[[#This Row],[CUENTA]],$M$1:M415)</f>
        <v>291768.51</v>
      </c>
      <c r="M416" s="2">
        <v>45</v>
      </c>
      <c r="N416" s="2"/>
      <c r="O416" s="2"/>
      <c r="P416" s="162">
        <f>+EJECUTADO[[#This Row],[MONTO SOLICITADO]]-EJECUTADO[[#This Row],[RETENCION IVA]]-EJECUTADO[[#This Row],[RETENCION ISR]]</f>
        <v>45</v>
      </c>
      <c r="Q416" s="84" t="s">
        <v>1000</v>
      </c>
      <c r="R416" s="2"/>
      <c r="S416">
        <v>1</v>
      </c>
      <c r="T416" s="168" t="str">
        <f t="shared" si="12"/>
        <v>SUELDOS ADMINISTRATIVOS - SUELDOS Y SALARIOS VICERRECTORÍA FINANCIERA  Disponible $291768.51 Solicitado $45 PRESUPUESTO: SI</v>
      </c>
    </row>
    <row r="417" spans="1:20" ht="30" x14ac:dyDescent="0.25">
      <c r="A417" s="6">
        <f t="shared" si="13"/>
        <v>414</v>
      </c>
      <c r="B417" s="21">
        <v>45334</v>
      </c>
      <c r="C417" s="17" t="s">
        <v>1152</v>
      </c>
      <c r="D417" s="65" t="s">
        <v>1614</v>
      </c>
      <c r="E417" s="65"/>
      <c r="F417" t="s">
        <v>1615</v>
      </c>
      <c r="G417" s="161">
        <f>MONTH(EJECUTADO[[#This Row],[FECHA]])</f>
        <v>2</v>
      </c>
      <c r="H417" s="163" t="str">
        <f>MID(EJECUTADO[[#This Row],[CUENTA]],1,4)</f>
        <v>E-09</v>
      </c>
      <c r="I417" s="163" t="str">
        <f>INDEX(CATALOGO[Descripción],MATCH(EJECUTADO[[#This Row],[APLICACIÓN]]&amp;"-00-00-00",CATALOGO[Código],0))</f>
        <v>PRESTACIONES AL PERSONAL</v>
      </c>
      <c r="J4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CLINICA EMPRESARIAL</v>
      </c>
      <c r="K417" s="161" t="str">
        <f>IF((EJECUTADO[[#This Row],[MONTO DISPONIBLE ]]-EJECUTADO[[#This Row],[MONTO SOLICITADO]])&gt;=0,"PRESUPUESTO: SI","PRESUPUESTO: NO")</f>
        <v>PRESUPUESTO: SI</v>
      </c>
      <c r="L417" s="162">
        <f>SUMIF(PRESUPUESTO[CUENTA],EJECUTADO[[#This Row],[CUENTA]],PRESUPUESTO[MONTO])-SUMIF($F$1:F416,EJECUTADO[[#This Row],[CUENTA]],$M$1:M416)</f>
        <v>1500</v>
      </c>
      <c r="M417" s="2">
        <v>57.14</v>
      </c>
      <c r="N417" s="2"/>
      <c r="O417" s="2"/>
      <c r="P417" s="162">
        <f>+EJECUTADO[[#This Row],[MONTO SOLICITADO]]-EJECUTADO[[#This Row],[RETENCION IVA]]-EJECUTADO[[#This Row],[RETENCION ISR]]</f>
        <v>57.14</v>
      </c>
      <c r="Q417" s="84" t="s">
        <v>1000</v>
      </c>
      <c r="R417" s="2"/>
      <c r="S417">
        <v>1</v>
      </c>
      <c r="T417" s="168" t="str">
        <f t="shared" si="12"/>
        <v>PRESTACIONES AL PERSONAL - CLINICA EMPRESARIAL Disponible $1500 Solicitado $57.14 PRESUPUESTO: SI</v>
      </c>
    </row>
    <row r="418" spans="1:20" ht="30" x14ac:dyDescent="0.25">
      <c r="A418" s="6">
        <f t="shared" si="13"/>
        <v>415</v>
      </c>
      <c r="B418" s="21">
        <v>45334</v>
      </c>
      <c r="C418" s="17" t="s">
        <v>1152</v>
      </c>
      <c r="D418" s="65" t="s">
        <v>1616</v>
      </c>
      <c r="E418" s="65"/>
      <c r="F418" t="s">
        <v>1557</v>
      </c>
      <c r="G418" s="161">
        <f>MONTH(EJECUTADO[[#This Row],[FECHA]])</f>
        <v>2</v>
      </c>
      <c r="H418" s="163" t="str">
        <f>MID(EJECUTADO[[#This Row],[CUENTA]],1,4)</f>
        <v>E-11</v>
      </c>
      <c r="I418" s="163" t="str">
        <f>INDEX(CATALOGO[Descripción],MATCH(EJECUTADO[[#This Row],[APLICACIÓN]]&amp;"-00-00-00",CATALOGO[Código],0))</f>
        <v>INVESTIGACIONES</v>
      </c>
      <c r="J4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GASTOS</v>
      </c>
      <c r="K418" s="161" t="str">
        <f>IF((EJECUTADO[[#This Row],[MONTO DISPONIBLE ]]-EJECUTADO[[#This Row],[MONTO SOLICITADO]])&gt;=0,"PRESUPUESTO: SI","PRESUPUESTO: NO")</f>
        <v>PRESUPUESTO: NO</v>
      </c>
      <c r="L418" s="162">
        <f>SUMIF(PRESUPUESTO[CUENTA],EJECUTADO[[#This Row],[CUENTA]],PRESUPUESTO[MONTO])-SUMIF($F$1:F417,EJECUTADO[[#This Row],[CUENTA]],$M$1:M417)</f>
        <v>-2436</v>
      </c>
      <c r="M418" s="2">
        <v>11.43</v>
      </c>
      <c r="N418" s="2"/>
      <c r="O418" s="2"/>
      <c r="P418" s="162">
        <f>+EJECUTADO[[#This Row],[MONTO SOLICITADO]]-EJECUTADO[[#This Row],[RETENCION IVA]]-EJECUTADO[[#This Row],[RETENCION ISR]]</f>
        <v>11.43</v>
      </c>
      <c r="Q418" s="84" t="s">
        <v>1000</v>
      </c>
      <c r="R418" s="2"/>
      <c r="S418">
        <v>1</v>
      </c>
      <c r="T418" s="168" t="str">
        <f t="shared" si="12"/>
        <v>INVESTIGACIONES - OTROS GASTOS Disponible $-2436 Solicitado $11.43 PRESUPUESTO: NO</v>
      </c>
    </row>
    <row r="419" spans="1:20" ht="30" x14ac:dyDescent="0.25">
      <c r="A419" s="6">
        <f t="shared" si="13"/>
        <v>416</v>
      </c>
      <c r="B419" s="21">
        <v>45334</v>
      </c>
      <c r="C419" s="17" t="s">
        <v>1152</v>
      </c>
      <c r="D419" s="65" t="s">
        <v>1080</v>
      </c>
      <c r="E419" s="65"/>
      <c r="F419" t="s">
        <v>1081</v>
      </c>
      <c r="G419" s="161">
        <f>MONTH(EJECUTADO[[#This Row],[FECHA]])</f>
        <v>2</v>
      </c>
      <c r="H419" s="163" t="str">
        <f>MID(EJECUTADO[[#This Row],[CUENTA]],1,4)</f>
        <v>E-10</v>
      </c>
      <c r="I419" s="163" t="str">
        <f>INDEX(CATALOGO[Descripción],MATCH(EJECUTADO[[#This Row],[APLICACIÓN]]&amp;"-00-00-00",CATALOGO[Código],0))</f>
        <v>SERVICIOS PUBLICOS</v>
      </c>
      <c r="J4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419" s="161" t="str">
        <f>IF((EJECUTADO[[#This Row],[MONTO DISPONIBLE ]]-EJECUTADO[[#This Row],[MONTO SOLICITADO]])&gt;=0,"PRESUPUESTO: SI","PRESUPUESTO: NO")</f>
        <v>PRESUPUESTO: SI</v>
      </c>
      <c r="L419" s="162">
        <f>SUMIF(PRESUPUESTO[CUENTA],EJECUTADO[[#This Row],[CUENTA]],PRESUPUESTO[MONTO])-SUMIF($F$1:F418,EJECUTADO[[#This Row],[CUENTA]],$M$1:M418)</f>
        <v>337728.88</v>
      </c>
      <c r="M419" s="2">
        <v>31.73</v>
      </c>
      <c r="N419" s="2"/>
      <c r="O419" s="2"/>
      <c r="P419" s="162">
        <f>+EJECUTADO[[#This Row],[MONTO SOLICITADO]]-EJECUTADO[[#This Row],[RETENCION IVA]]-EJECUTADO[[#This Row],[RETENCION ISR]]</f>
        <v>31.73</v>
      </c>
      <c r="Q419" s="84" t="s">
        <v>1000</v>
      </c>
      <c r="R419" s="2"/>
      <c r="S419">
        <v>1</v>
      </c>
      <c r="T419" s="168" t="str">
        <f t="shared" si="12"/>
        <v>SERVICIOS PUBLICOS - ENERGÍA ELÉCTRICA Disponible $337728.88 Solicitado $31.73 PRESUPUESTO: SI</v>
      </c>
    </row>
    <row r="420" spans="1:20" ht="30" x14ac:dyDescent="0.25">
      <c r="A420" s="6">
        <f t="shared" si="13"/>
        <v>417</v>
      </c>
      <c r="B420" s="21">
        <v>45334</v>
      </c>
      <c r="C420" s="17" t="s">
        <v>1152</v>
      </c>
      <c r="D420" s="65" t="s">
        <v>248</v>
      </c>
      <c r="E420" s="65"/>
      <c r="F420" t="s">
        <v>1119</v>
      </c>
      <c r="G420" s="161">
        <f>MONTH(EJECUTADO[[#This Row],[FECHA]])</f>
        <v>2</v>
      </c>
      <c r="H420" s="163" t="str">
        <f>MID(EJECUTADO[[#This Row],[CUENTA]],1,4)</f>
        <v>E-10</v>
      </c>
      <c r="I420" s="163" t="str">
        <f>INDEX(CATALOGO[Descripción],MATCH(EJECUTADO[[#This Row],[APLICACIÓN]]&amp;"-00-00-00",CATALOGO[Código],0))</f>
        <v>SERVICIOS PUBLICOS</v>
      </c>
      <c r="J4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420" s="161" t="str">
        <f>IF((EJECUTADO[[#This Row],[MONTO DISPONIBLE ]]-EJECUTADO[[#This Row],[MONTO SOLICITADO]])&gt;=0,"PRESUPUESTO: SI","PRESUPUESTO: NO")</f>
        <v>PRESUPUESTO: NO</v>
      </c>
      <c r="L420" s="162">
        <f>SUMIF(PRESUPUESTO[CUENTA],EJECUTADO[[#This Row],[CUENTA]],PRESUPUESTO[MONTO])-SUMIF($F$1:F419,EJECUTADO[[#This Row],[CUENTA]],$M$1:M419)</f>
        <v>-6100.33</v>
      </c>
      <c r="M420" s="2">
        <v>71.040000000000006</v>
      </c>
      <c r="N420" s="2"/>
      <c r="O420" s="2"/>
      <c r="P420" s="162">
        <f>+EJECUTADO[[#This Row],[MONTO SOLICITADO]]-EJECUTADO[[#This Row],[RETENCION IVA]]-EJECUTADO[[#This Row],[RETENCION ISR]]</f>
        <v>71.040000000000006</v>
      </c>
      <c r="Q420" s="84" t="s">
        <v>1000</v>
      </c>
      <c r="R420" s="2"/>
      <c r="S420">
        <v>1</v>
      </c>
      <c r="T420" s="168" t="str">
        <f t="shared" si="12"/>
        <v>SERVICIOS PUBLICOS - IMPUESTOS MUNICIPALES Disponible $-6100.33 Solicitado $71.04 PRESUPUESTO: NO</v>
      </c>
    </row>
    <row r="421" spans="1:20" ht="30" x14ac:dyDescent="0.25">
      <c r="A421" s="6">
        <f t="shared" si="13"/>
        <v>418</v>
      </c>
      <c r="B421" s="21">
        <v>45334</v>
      </c>
      <c r="C421" s="17" t="s">
        <v>1152</v>
      </c>
      <c r="D421" s="65" t="s">
        <v>249</v>
      </c>
      <c r="E421" s="65"/>
      <c r="F421" t="s">
        <v>1084</v>
      </c>
      <c r="G421" s="161">
        <f>MONTH(EJECUTADO[[#This Row],[FECHA]])</f>
        <v>2</v>
      </c>
      <c r="H421" s="163" t="str">
        <f>MID(EJECUTADO[[#This Row],[CUENTA]],1,4)</f>
        <v>E-10</v>
      </c>
      <c r="I421" s="163" t="str">
        <f>INDEX(CATALOGO[Descripción],MATCH(EJECUTADO[[#This Row],[APLICACIÓN]]&amp;"-00-00-00",CATALOGO[Código],0))</f>
        <v>SERVICIOS PUBLICOS</v>
      </c>
      <c r="J4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421" s="161" t="str">
        <f>IF((EJECUTADO[[#This Row],[MONTO DISPONIBLE ]]-EJECUTADO[[#This Row],[MONTO SOLICITADO]])&gt;=0,"PRESUPUESTO: SI","PRESUPUESTO: NO")</f>
        <v>PRESUPUESTO: SI</v>
      </c>
      <c r="L421" s="162">
        <f>SUMIF(PRESUPUESTO[CUENTA],EJECUTADO[[#This Row],[CUENTA]],PRESUPUESTO[MONTO])-SUMIF($F$1:F420,EJECUTADO[[#This Row],[CUENTA]],$M$1:M420)</f>
        <v>84629.459999999992</v>
      </c>
      <c r="M421" s="2">
        <v>24</v>
      </c>
      <c r="N421" s="2"/>
      <c r="O421" s="2"/>
      <c r="P421" s="162">
        <f>+EJECUTADO[[#This Row],[MONTO SOLICITADO]]-EJECUTADO[[#This Row],[RETENCION IVA]]-EJECUTADO[[#This Row],[RETENCION ISR]]</f>
        <v>24</v>
      </c>
      <c r="Q421" s="84" t="s">
        <v>1000</v>
      </c>
      <c r="R421" s="2"/>
      <c r="S421">
        <v>1</v>
      </c>
      <c r="T421" s="168" t="str">
        <f t="shared" si="12"/>
        <v>SERVICIOS PUBLICOS - SERVICIO DE AGUA Disponible $84629.46 Solicitado $24 PRESUPUESTO: SI</v>
      </c>
    </row>
    <row r="422" spans="1:20" ht="30" x14ac:dyDescent="0.25">
      <c r="A422" s="6">
        <f t="shared" si="13"/>
        <v>419</v>
      </c>
      <c r="B422" s="21">
        <v>45334</v>
      </c>
      <c r="C422" s="17" t="s">
        <v>1152</v>
      </c>
      <c r="D422" s="65" t="s">
        <v>250</v>
      </c>
      <c r="E422" s="65"/>
      <c r="F422" t="s">
        <v>1617</v>
      </c>
      <c r="G422" s="161">
        <f>MONTH(EJECUTADO[[#This Row],[FECHA]])</f>
        <v>2</v>
      </c>
      <c r="H422" s="163" t="str">
        <f>MID(EJECUTADO[[#This Row],[CUENTA]],1,4)</f>
        <v>E-10</v>
      </c>
      <c r="I422" s="163" t="str">
        <f>INDEX(CATALOGO[Descripción],MATCH(EJECUTADO[[#This Row],[APLICACIÓN]]&amp;"-00-00-00",CATALOGO[Código],0))</f>
        <v>SERVICIOS PUBLICOS</v>
      </c>
      <c r="J4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422" s="161" t="str">
        <f>IF((EJECUTADO[[#This Row],[MONTO DISPONIBLE ]]-EJECUTADO[[#This Row],[MONTO SOLICITADO]])&gt;=0,"PRESUPUESTO: SI","PRESUPUESTO: NO")</f>
        <v>PRESUPUESTO: SI</v>
      </c>
      <c r="L422" s="162">
        <f>SUMIF(PRESUPUESTO[CUENTA],EJECUTADO[[#This Row],[CUENTA]],PRESUPUESTO[MONTO])-SUMIF($F$1:F421,EJECUTADO[[#This Row],[CUENTA]],$M$1:M421)</f>
        <v>50000</v>
      </c>
      <c r="M422" s="2">
        <v>23.9</v>
      </c>
      <c r="N422" s="2"/>
      <c r="O422" s="2"/>
      <c r="P422" s="162">
        <f>+EJECUTADO[[#This Row],[MONTO SOLICITADO]]-EJECUTADO[[#This Row],[RETENCION IVA]]-EJECUTADO[[#This Row],[RETENCION ISR]]</f>
        <v>23.9</v>
      </c>
      <c r="Q422" s="84" t="s">
        <v>1000</v>
      </c>
      <c r="R422" s="2"/>
      <c r="S422">
        <v>1</v>
      </c>
      <c r="T422" s="168" t="str">
        <f t="shared" si="12"/>
        <v>SERVICIOS PUBLICOS - SERVICIO TELEFÓNICO Disponible $50000 Solicitado $23.9 PRESUPUESTO: SI</v>
      </c>
    </row>
    <row r="423" spans="1:20" ht="30" x14ac:dyDescent="0.25">
      <c r="A423" s="6">
        <f t="shared" si="13"/>
        <v>420</v>
      </c>
      <c r="B423" s="21">
        <v>45334</v>
      </c>
      <c r="C423" s="17" t="s">
        <v>1152</v>
      </c>
      <c r="D423" s="65" t="s">
        <v>1618</v>
      </c>
      <c r="E423" s="65"/>
      <c r="F423" t="s">
        <v>1108</v>
      </c>
      <c r="G423" s="161">
        <f>MONTH(EJECUTADO[[#This Row],[FECHA]])</f>
        <v>2</v>
      </c>
      <c r="H423" s="163" t="str">
        <f>MID(EJECUTADO[[#This Row],[CUENTA]],1,4)</f>
        <v>E-16</v>
      </c>
      <c r="I423" s="163" t="str">
        <f>INDEX(CATALOGO[Descripción],MATCH(EJECUTADO[[#This Row],[APLICACIÓN]]&amp;"-00-00-00",CATALOGO[Código],0))</f>
        <v xml:space="preserve">PRE-ESPECIALIDAD </v>
      </c>
      <c r="J4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423" s="161" t="str">
        <f>IF((EJECUTADO[[#This Row],[MONTO DISPONIBLE ]]-EJECUTADO[[#This Row],[MONTO SOLICITADO]])&gt;=0,"PRESUPUESTO: SI","PRESUPUESTO: NO")</f>
        <v>PRESUPUESTO: NO</v>
      </c>
      <c r="L423" s="162">
        <f>SUMIF(PRESUPUESTO[CUENTA],EJECUTADO[[#This Row],[CUENTA]],PRESUPUESTO[MONTO])-SUMIF($F$1:F422,EJECUTADO[[#This Row],[CUENTA]],$M$1:M422)</f>
        <v>-206.8</v>
      </c>
      <c r="M423" s="2">
        <v>15.2</v>
      </c>
      <c r="N423" s="2"/>
      <c r="O423" s="2"/>
      <c r="P423" s="162">
        <f>+EJECUTADO[[#This Row],[MONTO SOLICITADO]]-EJECUTADO[[#This Row],[RETENCION IVA]]-EJECUTADO[[#This Row],[RETENCION ISR]]</f>
        <v>15.2</v>
      </c>
      <c r="Q423" s="84" t="s">
        <v>1000</v>
      </c>
      <c r="R423" s="2"/>
      <c r="S423">
        <v>1</v>
      </c>
      <c r="T423" s="168" t="str">
        <f t="shared" si="12"/>
        <v>PRE-ESPECIALIDAD  - nd Disponible $-206.8 Solicitado $15.2 PRESUPUESTO: NO</v>
      </c>
    </row>
    <row r="424" spans="1:20" ht="30" x14ac:dyDescent="0.25">
      <c r="A424" s="6">
        <f t="shared" si="13"/>
        <v>421</v>
      </c>
      <c r="B424" s="21">
        <v>45334</v>
      </c>
      <c r="C424" s="17" t="s">
        <v>1152</v>
      </c>
      <c r="D424" s="65" t="s">
        <v>1619</v>
      </c>
      <c r="E424" s="65"/>
      <c r="F424" t="s">
        <v>1355</v>
      </c>
      <c r="G424" s="161">
        <f>MONTH(EJECUTADO[[#This Row],[FECHA]])</f>
        <v>2</v>
      </c>
      <c r="H424" s="163" t="str">
        <f>MID(EJECUTADO[[#This Row],[CUENTA]],1,4)</f>
        <v>E-19</v>
      </c>
      <c r="I424" s="163" t="str">
        <f>INDEX(CATALOGO[Descripción],MATCH(EJECUTADO[[#This Row],[APLICACIÓN]]&amp;"-00-00-00",CATALOGO[Código],0))</f>
        <v>MANTENIMIENTO</v>
      </c>
      <c r="J4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424" s="161" t="str">
        <f>IF((EJECUTADO[[#This Row],[MONTO DISPONIBLE ]]-EJECUTADO[[#This Row],[MONTO SOLICITADO]])&gt;=0,"PRESUPUESTO: SI","PRESUPUESTO: NO")</f>
        <v>PRESUPUESTO: NO</v>
      </c>
      <c r="L424" s="162">
        <f>SUMIF(PRESUPUESTO[CUENTA],EJECUTADO[[#This Row],[CUENTA]],PRESUPUESTO[MONTO])-SUMIF($F$1:F423,EJECUTADO[[#This Row],[CUENTA]],$M$1:M423)</f>
        <v>-6495.7599999999993</v>
      </c>
      <c r="M424" s="2">
        <v>55.97</v>
      </c>
      <c r="N424" s="2"/>
      <c r="O424" s="2"/>
      <c r="P424" s="162">
        <f>+EJECUTADO[[#This Row],[MONTO SOLICITADO]]-EJECUTADO[[#This Row],[RETENCION IVA]]-EJECUTADO[[#This Row],[RETENCION ISR]]</f>
        <v>55.97</v>
      </c>
      <c r="Q424" s="84" t="s">
        <v>1000</v>
      </c>
      <c r="R424" s="2"/>
      <c r="S424">
        <v>1</v>
      </c>
      <c r="T424" s="168" t="e">
        <f t="shared" si="12"/>
        <v>#N/A</v>
      </c>
    </row>
    <row r="425" spans="1:20" ht="30" x14ac:dyDescent="0.25">
      <c r="A425" s="6">
        <f t="shared" si="13"/>
        <v>422</v>
      </c>
      <c r="B425" s="21">
        <v>45334</v>
      </c>
      <c r="C425" s="17" t="s">
        <v>1152</v>
      </c>
      <c r="D425" s="65" t="s">
        <v>1620</v>
      </c>
      <c r="E425" s="65"/>
      <c r="F425" t="s">
        <v>1384</v>
      </c>
      <c r="G425" s="161">
        <f>MONTH(EJECUTADO[[#This Row],[FECHA]])</f>
        <v>2</v>
      </c>
      <c r="H425" s="163" t="str">
        <f>MID(EJECUTADO[[#This Row],[CUENTA]],1,4)</f>
        <v>E-19</v>
      </c>
      <c r="I425" s="163" t="str">
        <f>INDEX(CATALOGO[Descripción],MATCH(EJECUTADO[[#This Row],[APLICACIÓN]]&amp;"-00-00-00",CATALOGO[Código],0))</f>
        <v>MANTENIMIENTO</v>
      </c>
      <c r="J4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425" s="161" t="str">
        <f>IF((EJECUTADO[[#This Row],[MONTO DISPONIBLE ]]-EJECUTADO[[#This Row],[MONTO SOLICITADO]])&gt;=0,"PRESUPUESTO: SI","PRESUPUESTO: NO")</f>
        <v>PRESUPUESTO: SI</v>
      </c>
      <c r="L425" s="162">
        <f>SUMIF(PRESUPUESTO[CUENTA],EJECUTADO[[#This Row],[CUENTA]],PRESUPUESTO[MONTO])-SUMIF($F$1:F424,EJECUTADO[[#This Row],[CUENTA]],$M$1:M424)</f>
        <v>17439.32</v>
      </c>
      <c r="M425" s="2">
        <v>155</v>
      </c>
      <c r="N425" s="2"/>
      <c r="O425" s="2"/>
      <c r="P425" s="162">
        <f>+EJECUTADO[[#This Row],[MONTO SOLICITADO]]-EJECUTADO[[#This Row],[RETENCION IVA]]-EJECUTADO[[#This Row],[RETENCION ISR]]</f>
        <v>155</v>
      </c>
      <c r="Q425" s="84" t="s">
        <v>1000</v>
      </c>
      <c r="R425" s="2"/>
      <c r="S425">
        <v>1</v>
      </c>
      <c r="T425" s="168" t="str">
        <f t="shared" si="12"/>
        <v>MANTENIMIENTO - Mantenimiento de Limpieza Disponible $17439.32 Solicitado $155 PRESUPUESTO: SI</v>
      </c>
    </row>
    <row r="426" spans="1:20" ht="30" x14ac:dyDescent="0.25">
      <c r="A426" s="6">
        <f t="shared" si="13"/>
        <v>423</v>
      </c>
      <c r="B426" s="21">
        <v>45334</v>
      </c>
      <c r="C426" s="17" t="s">
        <v>1152</v>
      </c>
      <c r="D426" s="65" t="s">
        <v>1621</v>
      </c>
      <c r="E426" s="65"/>
      <c r="F426" t="s">
        <v>1622</v>
      </c>
      <c r="G426" s="161">
        <f>MONTH(EJECUTADO[[#This Row],[FECHA]])</f>
        <v>2</v>
      </c>
      <c r="H426" s="163" t="str">
        <f>MID(EJECUTADO[[#This Row],[CUENTA]],1,4)</f>
        <v>E-19</v>
      </c>
      <c r="I426" s="163" t="str">
        <f>INDEX(CATALOGO[Descripción],MATCH(EJECUTADO[[#This Row],[APLICACIÓN]]&amp;"-00-00-00",CATALOGO[Código],0))</f>
        <v>MANTENIMIENTO</v>
      </c>
      <c r="J4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Mantenimiento de Jardines</v>
      </c>
      <c r="K426" s="161" t="str">
        <f>IF((EJECUTADO[[#This Row],[MONTO DISPONIBLE ]]-EJECUTADO[[#This Row],[MONTO SOLICITADO]])&gt;=0,"PRESUPUESTO: SI","PRESUPUESTO: NO")</f>
        <v>PRESUPUESTO: SI</v>
      </c>
      <c r="L426" s="162">
        <f>SUMIF(PRESUPUESTO[CUENTA],EJECUTADO[[#This Row],[CUENTA]],PRESUPUESTO[MONTO])-SUMIF($F$1:F425,EJECUTADO[[#This Row],[CUENTA]],$M$1:M425)</f>
        <v>1400</v>
      </c>
      <c r="M426" s="2">
        <v>20</v>
      </c>
      <c r="N426" s="2"/>
      <c r="O426" s="2"/>
      <c r="P426" s="162">
        <f>+EJECUTADO[[#This Row],[MONTO SOLICITADO]]-EJECUTADO[[#This Row],[RETENCION IVA]]-EJECUTADO[[#This Row],[RETENCION ISR]]</f>
        <v>20</v>
      </c>
      <c r="Q426" s="84" t="s">
        <v>1000</v>
      </c>
      <c r="R426" s="2"/>
      <c r="S426">
        <v>1</v>
      </c>
      <c r="T426" s="168" t="str">
        <f t="shared" si="12"/>
        <v>MANTENIMIENTO - Dir. Mantenimiento - Mantenimiento de Jardines Disponible $1400 Solicitado $20 PRESUPUESTO: SI</v>
      </c>
    </row>
    <row r="427" spans="1:20" ht="30" x14ac:dyDescent="0.25">
      <c r="A427" s="6">
        <f t="shared" si="13"/>
        <v>424</v>
      </c>
      <c r="B427" s="21">
        <v>45334</v>
      </c>
      <c r="C427" s="17" t="s">
        <v>1152</v>
      </c>
      <c r="D427" s="65" t="s">
        <v>1427</v>
      </c>
      <c r="E427" s="65"/>
      <c r="F427" t="s">
        <v>1042</v>
      </c>
      <c r="G427" s="161">
        <f>MONTH(EJECUTADO[[#This Row],[FECHA]])</f>
        <v>2</v>
      </c>
      <c r="H427" s="163" t="str">
        <f>MID(EJECUTADO[[#This Row],[CUENTA]],1,4)</f>
        <v>E-23</v>
      </c>
      <c r="I427" s="163" t="str">
        <f>INDEX(CATALOGO[Descripción],MATCH(EJECUTADO[[#This Row],[APLICACIÓN]]&amp;"-00-00-00",CATALOGO[Código],0))</f>
        <v>GASTOS DE VIAJE</v>
      </c>
      <c r="J4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427" s="161" t="str">
        <f>IF((EJECUTADO[[#This Row],[MONTO DISPONIBLE ]]-EJECUTADO[[#This Row],[MONTO SOLICITADO]])&gt;=0,"PRESUPUESTO: SI","PRESUPUESTO: NO")</f>
        <v>PRESUPUESTO: SI</v>
      </c>
      <c r="L427" s="162">
        <f>SUMIF(PRESUPUESTO[CUENTA],EJECUTADO[[#This Row],[CUENTA]],PRESUPUESTO[MONTO])-SUMIF($F$1:F426,EJECUTADO[[#This Row],[CUENTA]],$M$1:M426)</f>
        <v>2922</v>
      </c>
      <c r="M427" s="2">
        <v>7</v>
      </c>
      <c r="N427" s="2"/>
      <c r="O427" s="2"/>
      <c r="P427" s="162">
        <f>+EJECUTADO[[#This Row],[MONTO SOLICITADO]]-EJECUTADO[[#This Row],[RETENCION IVA]]-EJECUTADO[[#This Row],[RETENCION ISR]]</f>
        <v>7</v>
      </c>
      <c r="Q427" s="84" t="s">
        <v>1000</v>
      </c>
      <c r="R427" s="2"/>
      <c r="S427">
        <v>1</v>
      </c>
      <c r="T427" s="168" t="str">
        <f t="shared" si="12"/>
        <v>GASTOS DE VIAJE - OTROS VIATICOS AL PERSONAL Disponible $2922 Solicitado $7 PRESUPUESTO: SI</v>
      </c>
    </row>
    <row r="428" spans="1:20" ht="30" x14ac:dyDescent="0.25">
      <c r="A428" s="6">
        <f t="shared" si="13"/>
        <v>425</v>
      </c>
      <c r="B428" s="21">
        <v>45334</v>
      </c>
      <c r="C428" s="17" t="s">
        <v>1152</v>
      </c>
      <c r="D428" s="65" t="s">
        <v>261</v>
      </c>
      <c r="E428" s="65"/>
      <c r="F428" t="s">
        <v>1242</v>
      </c>
      <c r="G428" s="161">
        <f>MONTH(EJECUTADO[[#This Row],[FECHA]])</f>
        <v>2</v>
      </c>
      <c r="H428" s="163" t="str">
        <f>MID(EJECUTADO[[#This Row],[CUENTA]],1,4)</f>
        <v>E-24</v>
      </c>
      <c r="I428" s="163" t="str">
        <f>INDEX(CATALOGO[Descripción],MATCH(EJECUTADO[[#This Row],[APLICACIÓN]]&amp;"-00-00-00",CATALOGO[Código],0))</f>
        <v>NUEVO INGRESO</v>
      </c>
      <c r="J4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Útiles de Escritorio y otros</v>
      </c>
      <c r="K428" s="161" t="str">
        <f>IF((EJECUTADO[[#This Row],[MONTO DISPONIBLE ]]-EJECUTADO[[#This Row],[MONTO SOLICITADO]])&gt;=0,"PRESUPUESTO: SI","PRESUPUESTO: NO")</f>
        <v>PRESUPUESTO: SI</v>
      </c>
      <c r="L428" s="162">
        <f>SUMIF(PRESUPUESTO[CUENTA],EJECUTADO[[#This Row],[CUENTA]],PRESUPUESTO[MONTO])-SUMIF($F$1:F427,EJECUTADO[[#This Row],[CUENTA]],$M$1:M427)</f>
        <v>1800</v>
      </c>
      <c r="M428" s="2">
        <v>11.51</v>
      </c>
      <c r="N428" s="2"/>
      <c r="O428" s="2"/>
      <c r="P428" s="162">
        <f>+EJECUTADO[[#This Row],[MONTO SOLICITADO]]-EJECUTADO[[#This Row],[RETENCION IVA]]-EJECUTADO[[#This Row],[RETENCION ISR]]</f>
        <v>11.51</v>
      </c>
      <c r="Q428" s="84" t="s">
        <v>1000</v>
      </c>
      <c r="R428" s="2"/>
      <c r="S428">
        <v>1</v>
      </c>
      <c r="T428" s="168" t="str">
        <f t="shared" si="12"/>
        <v>NUEVO INGRESO - Metrocentro - Útiles de Escritorio y otros Disponible $1800 Solicitado $11.51 PRESUPUESTO: SI</v>
      </c>
    </row>
    <row r="429" spans="1:20" ht="30" x14ac:dyDescent="0.25">
      <c r="A429" s="6">
        <f t="shared" si="13"/>
        <v>426</v>
      </c>
      <c r="B429" s="21">
        <v>45334</v>
      </c>
      <c r="C429" s="17" t="s">
        <v>1152</v>
      </c>
      <c r="D429" s="65" t="s">
        <v>1623</v>
      </c>
      <c r="E429" s="65"/>
      <c r="F429" t="s">
        <v>1143</v>
      </c>
      <c r="G429" s="161">
        <f>MONTH(EJECUTADO[[#This Row],[FECHA]])</f>
        <v>2</v>
      </c>
      <c r="H429" s="163" t="str">
        <f>MID(EJECUTADO[[#This Row],[CUENTA]],1,4)</f>
        <v>E-26</v>
      </c>
      <c r="I429" s="163" t="str">
        <f>INDEX(CATALOGO[Descripción],MATCH(EJECUTADO[[#This Row],[APLICACIÓN]]&amp;"-00-00-00",CATALOGO[Código],0))</f>
        <v>EVENTOS ACADEMICOS, CULTURALES  E INSTITUCIONALES</v>
      </c>
      <c r="J4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CONGRESO DOCENTES </v>
      </c>
      <c r="K429" s="161" t="str">
        <f>IF((EJECUTADO[[#This Row],[MONTO DISPONIBLE ]]-EJECUTADO[[#This Row],[MONTO SOLICITADO]])&gt;=0,"PRESUPUESTO: SI","PRESUPUESTO: NO")</f>
        <v>PRESUPUESTO: SI</v>
      </c>
      <c r="L429" s="162">
        <f>SUMIF(PRESUPUESTO[CUENTA],EJECUTADO[[#This Row],[CUENTA]],PRESUPUESTO[MONTO])-SUMIF($F$1:F428,EJECUTADO[[#This Row],[CUENTA]],$M$1:M428)</f>
        <v>1289.869999999999</v>
      </c>
      <c r="M429" s="2">
        <v>37.9</v>
      </c>
      <c r="N429" s="2"/>
      <c r="O429" s="2"/>
      <c r="P429" s="162">
        <f>+EJECUTADO[[#This Row],[MONTO SOLICITADO]]-EJECUTADO[[#This Row],[RETENCION IVA]]-EJECUTADO[[#This Row],[RETENCION ISR]]</f>
        <v>37.9</v>
      </c>
      <c r="Q429" s="84" t="s">
        <v>1000</v>
      </c>
      <c r="R429" s="2"/>
      <c r="S429">
        <v>1</v>
      </c>
      <c r="T429" s="168" t="str">
        <f t="shared" si="12"/>
        <v>EVENTOS ACADEMICOS, CULTURALES  E INSTITUCIONALES - CONGRESO DOCENTES  Disponible $1289.87 Solicitado $37.9 PRESUPUESTO: SI</v>
      </c>
    </row>
    <row r="430" spans="1:20" ht="30" x14ac:dyDescent="0.25">
      <c r="A430" s="6">
        <f t="shared" si="13"/>
        <v>427</v>
      </c>
      <c r="B430" s="21">
        <v>45334</v>
      </c>
      <c r="C430" s="17" t="s">
        <v>1152</v>
      </c>
      <c r="D430" s="65" t="s">
        <v>1509</v>
      </c>
      <c r="E430" s="65"/>
      <c r="F430" t="s">
        <v>1275</v>
      </c>
      <c r="G430" s="161">
        <f>MONTH(EJECUTADO[[#This Row],[FECHA]])</f>
        <v>2</v>
      </c>
      <c r="H430" s="163" t="str">
        <f>MID(EJECUTADO[[#This Row],[CUENTA]],1,4)</f>
        <v>E-27</v>
      </c>
      <c r="I430" s="163" t="str">
        <f>INDEX(CATALOGO[Descripción],MATCH(EJECUTADO[[#This Row],[APLICACIÓN]]&amp;"-00-00-00",CATALOGO[Código],0))</f>
        <v>INSUMOS DE OFICINA</v>
      </c>
      <c r="J4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430" s="161" t="str">
        <f>IF((EJECUTADO[[#This Row],[MONTO DISPONIBLE ]]-EJECUTADO[[#This Row],[MONTO SOLICITADO]])&gt;=0,"PRESUPUESTO: SI","PRESUPUESTO: NO")</f>
        <v>PRESUPUESTO: SI</v>
      </c>
      <c r="L430" s="162">
        <f>SUMIF(PRESUPUESTO[CUENTA],EJECUTADO[[#This Row],[CUENTA]],PRESUPUESTO[MONTO])-SUMIF($F$1:F429,EJECUTADO[[#This Row],[CUENTA]],$M$1:M429)</f>
        <v>45767.75</v>
      </c>
      <c r="M430" s="2">
        <v>54</v>
      </c>
      <c r="N430" s="2"/>
      <c r="O430" s="2"/>
      <c r="P430" s="162">
        <f>+EJECUTADO[[#This Row],[MONTO SOLICITADO]]-EJECUTADO[[#This Row],[RETENCION IVA]]-EJECUTADO[[#This Row],[RETENCION ISR]]</f>
        <v>54</v>
      </c>
      <c r="Q430" s="84" t="s">
        <v>1000</v>
      </c>
      <c r="R430" s="2"/>
      <c r="S430">
        <v>1</v>
      </c>
      <c r="T430" s="168" t="str">
        <f t="shared" si="12"/>
        <v>INSUMOS DE OFICINA - PAPELERIA Y UTILES Disponible $45767.75 Solicitado $54 PRESUPUESTO: SI</v>
      </c>
    </row>
    <row r="431" spans="1:20" ht="30" x14ac:dyDescent="0.25">
      <c r="A431" s="6">
        <f t="shared" si="13"/>
        <v>428</v>
      </c>
      <c r="B431" s="21">
        <v>45334</v>
      </c>
      <c r="C431" s="17" t="s">
        <v>1152</v>
      </c>
      <c r="D431" s="65" t="s">
        <v>1624</v>
      </c>
      <c r="E431" s="65"/>
      <c r="F431" t="s">
        <v>1625</v>
      </c>
      <c r="G431" s="161">
        <f>MONTH(EJECUTADO[[#This Row],[FECHA]])</f>
        <v>2</v>
      </c>
      <c r="H431" s="163" t="str">
        <f>MID(EJECUTADO[[#This Row],[CUENTA]],1,4)</f>
        <v>E-30</v>
      </c>
      <c r="I431" s="163" t="str">
        <f>INDEX(CATALOGO[Descripción],MATCH(EJECUTADO[[#This Row],[APLICACIÓN]]&amp;"-00-00-00",CATALOGO[Código],0))</f>
        <v>MEMBRESIAS Y SUSCRIPCIONES</v>
      </c>
      <c r="J4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 Price Smart Licda Marielos L.</v>
      </c>
      <c r="K431" s="161" t="str">
        <f>IF((EJECUTADO[[#This Row],[MONTO DISPONIBLE ]]-EJECUTADO[[#This Row],[MONTO SOLICITADO]])&gt;=0,"PRESUPUESTO: SI","PRESUPUESTO: NO")</f>
        <v>PRESUPUESTO: NO</v>
      </c>
      <c r="L431" s="162">
        <f>SUMIF(PRESUPUESTO[CUENTA],EJECUTADO[[#This Row],[CUENTA]],PRESUPUESTO[MONTO])-SUMIF($F$1:F430,EJECUTADO[[#This Row],[CUENTA]],$M$1:M430)</f>
        <v>40</v>
      </c>
      <c r="M431" s="2">
        <v>45.2</v>
      </c>
      <c r="N431" s="2"/>
      <c r="O431" s="2"/>
      <c r="P431" s="162">
        <f>+EJECUTADO[[#This Row],[MONTO SOLICITADO]]-EJECUTADO[[#This Row],[RETENCION IVA]]-EJECUTADO[[#This Row],[RETENCION ISR]]</f>
        <v>45.2</v>
      </c>
      <c r="Q431" s="84" t="s">
        <v>1000</v>
      </c>
      <c r="R431" s="2"/>
      <c r="S431">
        <v>1</v>
      </c>
      <c r="T431" s="168" t="str">
        <f t="shared" si="12"/>
        <v>MEMBRESIAS Y SUSCRIPCIONES - Membresia Price Smart Licda Marielos L. Disponible $40 Solicitado $45.2 PRESUPUESTO: NO</v>
      </c>
    </row>
    <row r="432" spans="1:20" ht="45" x14ac:dyDescent="0.25">
      <c r="A432" s="6">
        <f t="shared" si="13"/>
        <v>429</v>
      </c>
      <c r="B432" s="21">
        <v>45334</v>
      </c>
      <c r="C432" s="17" t="s">
        <v>1279</v>
      </c>
      <c r="D432" s="65" t="s">
        <v>1626</v>
      </c>
      <c r="E432" s="65"/>
      <c r="F432" t="s">
        <v>1281</v>
      </c>
      <c r="G432" s="161">
        <f>MONTH(EJECUTADO[[#This Row],[FECHA]])</f>
        <v>2</v>
      </c>
      <c r="H432" s="163" t="str">
        <f>MID(EJECUTADO[[#This Row],[CUENTA]],1,4)</f>
        <v>E-03</v>
      </c>
      <c r="I432" s="163" t="str">
        <f>INDEX(CATALOGO[Descripción],MATCH(EJECUTADO[[#This Row],[APLICACIÓN]]&amp;"-00-00-00",CATALOGO[Código],0))</f>
        <v>SUELDOS ADMINISTRATIVOS</v>
      </c>
      <c r="J4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432" s="161" t="str">
        <f>IF((EJECUTADO[[#This Row],[MONTO DISPONIBLE ]]-EJECUTADO[[#This Row],[MONTO SOLICITADO]])&gt;=0,"PRESUPUESTO: SI","PRESUPUESTO: NO")</f>
        <v>PRESUPUESTO: SI</v>
      </c>
      <c r="L432" s="162">
        <f>SUMIF(PRESUPUESTO[CUENTA],EJECUTADO[[#This Row],[CUENTA]],PRESUPUESTO[MONTO])-SUMIF($F$1:F431,EJECUTADO[[#This Row],[CUENTA]],$M$1:M431)</f>
        <v>291723.51</v>
      </c>
      <c r="M432" s="2">
        <v>275</v>
      </c>
      <c r="N432" s="2"/>
      <c r="O432" s="2"/>
      <c r="P432" s="162">
        <f>+EJECUTADO[[#This Row],[MONTO SOLICITADO]]-EJECUTADO[[#This Row],[RETENCION IVA]]-EJECUTADO[[#This Row],[RETENCION ISR]]</f>
        <v>275</v>
      </c>
      <c r="Q432" s="84" t="s">
        <v>1000</v>
      </c>
      <c r="R432" s="2"/>
      <c r="S432">
        <v>1</v>
      </c>
      <c r="T432" s="168" t="str">
        <f t="shared" si="12"/>
        <v>SUELDOS ADMINISTRATIVOS - SUELDOS Y SALARIOS VICERRECTORÍA FINANCIERA  Disponible $291723.51 Solicitado $275 PRESUPUESTO: SI</v>
      </c>
    </row>
    <row r="433" spans="1:20" ht="45" x14ac:dyDescent="0.25">
      <c r="A433" s="6">
        <f t="shared" si="13"/>
        <v>430</v>
      </c>
      <c r="B433" s="21">
        <v>45334</v>
      </c>
      <c r="C433" s="17" t="s">
        <v>1282</v>
      </c>
      <c r="D433" s="65" t="s">
        <v>1626</v>
      </c>
      <c r="E433" s="65"/>
      <c r="F433" t="s">
        <v>1281</v>
      </c>
      <c r="G433" s="161">
        <f>MONTH(EJECUTADO[[#This Row],[FECHA]])</f>
        <v>2</v>
      </c>
      <c r="H433" s="163" t="str">
        <f>MID(EJECUTADO[[#This Row],[CUENTA]],1,4)</f>
        <v>E-03</v>
      </c>
      <c r="I433" s="163" t="str">
        <f>INDEX(CATALOGO[Descripción],MATCH(EJECUTADO[[#This Row],[APLICACIÓN]]&amp;"-00-00-00",CATALOGO[Código],0))</f>
        <v>SUELDOS ADMINISTRATIVOS</v>
      </c>
      <c r="J4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433" s="161" t="str">
        <f>IF((EJECUTADO[[#This Row],[MONTO DISPONIBLE ]]-EJECUTADO[[#This Row],[MONTO SOLICITADO]])&gt;=0,"PRESUPUESTO: SI","PRESUPUESTO: NO")</f>
        <v>PRESUPUESTO: SI</v>
      </c>
      <c r="L433" s="162">
        <f>SUMIF(PRESUPUESTO[CUENTA],EJECUTADO[[#This Row],[CUENTA]],PRESUPUESTO[MONTO])-SUMIF($F$1:F432,EJECUTADO[[#This Row],[CUENTA]],$M$1:M432)</f>
        <v>291448.51</v>
      </c>
      <c r="M433" s="2">
        <v>275</v>
      </c>
      <c r="N433" s="2"/>
      <c r="O433" s="2"/>
      <c r="P433" s="162">
        <f>+EJECUTADO[[#This Row],[MONTO SOLICITADO]]-EJECUTADO[[#This Row],[RETENCION IVA]]-EJECUTADO[[#This Row],[RETENCION ISR]]</f>
        <v>275</v>
      </c>
      <c r="Q433" s="84" t="s">
        <v>1000</v>
      </c>
      <c r="R433" s="2"/>
      <c r="S433">
        <v>1</v>
      </c>
      <c r="T433" s="168" t="str">
        <f t="shared" si="12"/>
        <v>SUELDOS ADMINISTRATIVOS - SUELDOS Y SALARIOS VICERRECTORÍA FINANCIERA  Disponible $291448.51 Solicitado $275 PRESUPUESTO: SI</v>
      </c>
    </row>
    <row r="434" spans="1:20" x14ac:dyDescent="0.25">
      <c r="A434" s="6">
        <f t="shared" si="13"/>
        <v>431</v>
      </c>
      <c r="B434" s="21">
        <v>45334</v>
      </c>
      <c r="C434" s="17" t="s">
        <v>1079</v>
      </c>
      <c r="D434" s="65" t="s">
        <v>1080</v>
      </c>
      <c r="E434" s="65"/>
      <c r="F434" t="s">
        <v>1081</v>
      </c>
      <c r="G434" s="161">
        <f>MONTH(EJECUTADO[[#This Row],[FECHA]])</f>
        <v>2</v>
      </c>
      <c r="H434" s="163" t="str">
        <f>MID(EJECUTADO[[#This Row],[CUENTA]],1,4)</f>
        <v>E-10</v>
      </c>
      <c r="I434" s="163" t="str">
        <f>INDEX(CATALOGO[Descripción],MATCH(EJECUTADO[[#This Row],[APLICACIÓN]]&amp;"-00-00-00",CATALOGO[Código],0))</f>
        <v>SERVICIOS PUBLICOS</v>
      </c>
      <c r="J4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434" s="161" t="str">
        <f>IF((EJECUTADO[[#This Row],[MONTO DISPONIBLE ]]-EJECUTADO[[#This Row],[MONTO SOLICITADO]])&gt;=0,"PRESUPUESTO: SI","PRESUPUESTO: NO")</f>
        <v>PRESUPUESTO: SI</v>
      </c>
      <c r="L434" s="162">
        <f>SUMIF(PRESUPUESTO[CUENTA],EJECUTADO[[#This Row],[CUENTA]],PRESUPUESTO[MONTO])-SUMIF($F$1:F433,EJECUTADO[[#This Row],[CUENTA]],$M$1:M433)</f>
        <v>337697.15</v>
      </c>
      <c r="M434" s="2">
        <v>4365.37</v>
      </c>
      <c r="N434" s="2"/>
      <c r="O434" s="2"/>
      <c r="P434" s="162">
        <f>+EJECUTADO[[#This Row],[MONTO SOLICITADO]]-EJECUTADO[[#This Row],[RETENCION IVA]]-EJECUTADO[[#This Row],[RETENCION ISR]]</f>
        <v>4365.37</v>
      </c>
      <c r="Q434" s="84" t="s">
        <v>1000</v>
      </c>
      <c r="R434" s="2"/>
      <c r="S434">
        <v>1</v>
      </c>
      <c r="T434" s="168" t="str">
        <f t="shared" si="12"/>
        <v>SERVICIOS PUBLICOS - ENERGÍA ELÉCTRICA Disponible $337697.15 Solicitado $4365.37 PRESUPUESTO: SI</v>
      </c>
    </row>
    <row r="435" spans="1:20" ht="30" x14ac:dyDescent="0.25">
      <c r="A435" s="6">
        <f t="shared" si="13"/>
        <v>432</v>
      </c>
      <c r="B435" s="21">
        <v>45334</v>
      </c>
      <c r="C435" s="17" t="s">
        <v>1079</v>
      </c>
      <c r="D435" s="65" t="s">
        <v>248</v>
      </c>
      <c r="E435" s="65"/>
      <c r="F435" t="s">
        <v>1119</v>
      </c>
      <c r="G435" s="161">
        <f>MONTH(EJECUTADO[[#This Row],[FECHA]])</f>
        <v>2</v>
      </c>
      <c r="H435" s="163" t="str">
        <f>MID(EJECUTADO[[#This Row],[CUENTA]],1,4)</f>
        <v>E-10</v>
      </c>
      <c r="I435" s="163" t="str">
        <f>INDEX(CATALOGO[Descripción],MATCH(EJECUTADO[[#This Row],[APLICACIÓN]]&amp;"-00-00-00",CATALOGO[Código],0))</f>
        <v>SERVICIOS PUBLICOS</v>
      </c>
      <c r="J4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435" s="161" t="str">
        <f>IF((EJECUTADO[[#This Row],[MONTO DISPONIBLE ]]-EJECUTADO[[#This Row],[MONTO SOLICITADO]])&gt;=0,"PRESUPUESTO: SI","PRESUPUESTO: NO")</f>
        <v>PRESUPUESTO: NO</v>
      </c>
      <c r="L435" s="162">
        <f>SUMIF(PRESUPUESTO[CUENTA],EJECUTADO[[#This Row],[CUENTA]],PRESUPUESTO[MONTO])-SUMIF($F$1:F434,EJECUTADO[[#This Row],[CUENTA]],$M$1:M434)</f>
        <v>-6171.37</v>
      </c>
      <c r="M435" s="2">
        <v>1452.28</v>
      </c>
      <c r="N435" s="2"/>
      <c r="O435" s="2"/>
      <c r="P435" s="162">
        <f>+EJECUTADO[[#This Row],[MONTO SOLICITADO]]-EJECUTADO[[#This Row],[RETENCION IVA]]-EJECUTADO[[#This Row],[RETENCION ISR]]</f>
        <v>1452.28</v>
      </c>
      <c r="Q435" s="84" t="s">
        <v>1000</v>
      </c>
      <c r="R435" s="2"/>
      <c r="S435">
        <v>1</v>
      </c>
      <c r="T435" s="168" t="str">
        <f t="shared" si="12"/>
        <v>SERVICIOS PUBLICOS - IMPUESTOS MUNICIPALES Disponible $-6171.37 Solicitado $1452.28 PRESUPUESTO: NO</v>
      </c>
    </row>
    <row r="436" spans="1:20" ht="30" x14ac:dyDescent="0.25">
      <c r="A436" s="6">
        <f t="shared" si="13"/>
        <v>433</v>
      </c>
      <c r="B436" s="21">
        <v>45334</v>
      </c>
      <c r="C436" s="17" t="s">
        <v>1627</v>
      </c>
      <c r="D436" s="65" t="s">
        <v>1628</v>
      </c>
      <c r="E436" s="65"/>
      <c r="F436" t="s">
        <v>1629</v>
      </c>
      <c r="G436" s="161">
        <f>MONTH(EJECUTADO[[#This Row],[FECHA]])</f>
        <v>2</v>
      </c>
      <c r="H436" s="163" t="str">
        <f>MID(EJECUTADO[[#This Row],[CUENTA]],1,4)</f>
        <v>E-22</v>
      </c>
      <c r="I436" s="163" t="str">
        <f>INDEX(CATALOGO[Descripción],MATCH(EJECUTADO[[#This Row],[APLICACIÓN]]&amp;"-00-00-00",CATALOGO[Código],0))</f>
        <v>CAPACITACIÓN AL PERSONAL</v>
      </c>
      <c r="J4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436" s="161" t="str">
        <f>IF((EJECUTADO[[#This Row],[MONTO DISPONIBLE ]]-EJECUTADO[[#This Row],[MONTO SOLICITADO]])&gt;=0,"PRESUPUESTO: SI","PRESUPUESTO: NO")</f>
        <v>PRESUPUESTO: NO</v>
      </c>
      <c r="L436" s="162">
        <f>SUMIF(PRESUPUESTO[CUENTA],EJECUTADO[[#This Row],[CUENTA]],PRESUPUESTO[MONTO])-SUMIF($F$1:F435,EJECUTADO[[#This Row],[CUENTA]],$M$1:M435)</f>
        <v>0</v>
      </c>
      <c r="M436" s="2">
        <v>101.7</v>
      </c>
      <c r="N436" s="2"/>
      <c r="O436" s="2"/>
      <c r="P436" s="162">
        <f>+EJECUTADO[[#This Row],[MONTO SOLICITADO]]-EJECUTADO[[#This Row],[RETENCION IVA]]-EJECUTADO[[#This Row],[RETENCION ISR]]</f>
        <v>101.7</v>
      </c>
      <c r="Q436" s="84" t="s">
        <v>1000</v>
      </c>
      <c r="R436" s="2"/>
      <c r="S436">
        <v>1</v>
      </c>
      <c r="T436" s="168" t="str">
        <f t="shared" si="12"/>
        <v>CAPACITACIÓN AL PERSONAL - LA CUENTA SELECCIONADA NO PERMITE MOVIMIENTO Disponible $0 Solicitado $101.7 PRESUPUESTO: NO</v>
      </c>
    </row>
    <row r="437" spans="1:20" ht="60" x14ac:dyDescent="0.25">
      <c r="A437" s="6">
        <f t="shared" si="13"/>
        <v>434</v>
      </c>
      <c r="B437" s="21">
        <v>45334</v>
      </c>
      <c r="C437" s="17" t="s">
        <v>1630</v>
      </c>
      <c r="D437" s="65" t="s">
        <v>1631</v>
      </c>
      <c r="E437" s="65"/>
      <c r="F437" t="s">
        <v>1632</v>
      </c>
      <c r="G437" s="161">
        <f>MONTH(EJECUTADO[[#This Row],[FECHA]])</f>
        <v>2</v>
      </c>
      <c r="H437" s="163" t="str">
        <f>MID(EJECUTADO[[#This Row],[CUENTA]],1,4)</f>
        <v>E-07</v>
      </c>
      <c r="I437" s="163" t="str">
        <f>INDEX(CATALOGO[Descripción],MATCH(EJECUTADO[[#This Row],[APLICACIÓN]]&amp;"-00-00-00",CATALOGO[Código],0))</f>
        <v>SERVICIOS TECNOLOGICOS</v>
      </c>
      <c r="J4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Licenciamiento anual para 41 usuarios </v>
      </c>
      <c r="K437" s="161" t="str">
        <f>IF((EJECUTADO[[#This Row],[MONTO DISPONIBLE ]]-EJECUTADO[[#This Row],[MONTO SOLICITADO]])&gt;=0,"PRESUPUESTO: SI","PRESUPUESTO: NO")</f>
        <v>PRESUPUESTO: SI</v>
      </c>
      <c r="L437" s="162">
        <f>SUMIF(PRESUPUESTO[CUENTA],EJECUTADO[[#This Row],[CUENTA]],PRESUPUESTO[MONTO])-SUMIF($F$1:F436,EJECUTADO[[#This Row],[CUENTA]],$M$1:M436)</f>
        <v>18000</v>
      </c>
      <c r="M437" s="2">
        <v>17801.61</v>
      </c>
      <c r="N437" s="2"/>
      <c r="O437" s="2"/>
      <c r="P437" s="162">
        <f>+EJECUTADO[[#This Row],[MONTO SOLICITADO]]-EJECUTADO[[#This Row],[RETENCION IVA]]-EJECUTADO[[#This Row],[RETENCION ISR]]</f>
        <v>17801.61</v>
      </c>
      <c r="Q437" s="84" t="s">
        <v>1000</v>
      </c>
      <c r="R437" s="2"/>
      <c r="S437">
        <v>1</v>
      </c>
      <c r="T437" s="168" t="str">
        <f t="shared" si="12"/>
        <v>SERVICIOS TECNOLOGICOS - Licenciamiento anual para 41 usuarios  Disponible $18000 Solicitado $17801.61 PRESUPUESTO: SI</v>
      </c>
    </row>
    <row r="438" spans="1:20" ht="105" x14ac:dyDescent="0.25">
      <c r="A438" s="6">
        <f t="shared" si="13"/>
        <v>435</v>
      </c>
      <c r="B438" s="21">
        <v>45334</v>
      </c>
      <c r="C438" s="17" t="s">
        <v>1633</v>
      </c>
      <c r="D438" s="65" t="s">
        <v>1634</v>
      </c>
      <c r="E438" s="65"/>
      <c r="F438" t="s">
        <v>1635</v>
      </c>
      <c r="G438" s="161">
        <f>MONTH(EJECUTADO[[#This Row],[FECHA]])</f>
        <v>2</v>
      </c>
      <c r="H438" s="163" t="str">
        <f>MID(EJECUTADO[[#This Row],[CUENTA]],1,4)</f>
        <v>E-24</v>
      </c>
      <c r="I438" s="163" t="str">
        <f>INDEX(CATALOGO[Descripción],MATCH(EJECUTADO[[#This Row],[APLICACIÓN]]&amp;"-00-00-00",CATALOGO[Código],0))</f>
        <v>NUEVO INGRESO</v>
      </c>
      <c r="J4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Viaticos y atenciones a Personal proceso inscripción</v>
      </c>
      <c r="K438" s="161" t="str">
        <f>IF((EJECUTADO[[#This Row],[MONTO DISPONIBLE ]]-EJECUTADO[[#This Row],[MONTO SOLICITADO]])&gt;=0,"PRESUPUESTO: SI","PRESUPUESTO: NO")</f>
        <v>PRESUPUESTO: SI</v>
      </c>
      <c r="L438" s="162">
        <f>SUMIF(PRESUPUESTO[CUENTA],EJECUTADO[[#This Row],[CUENTA]],PRESUPUESTO[MONTO])-SUMIF($F$1:F437,EJECUTADO[[#This Row],[CUENTA]],$M$1:M437)</f>
        <v>13000</v>
      </c>
      <c r="M438" s="2">
        <v>3116.5</v>
      </c>
      <c r="N438" s="2"/>
      <c r="O438" s="2"/>
      <c r="P438" s="162">
        <f>+EJECUTADO[[#This Row],[MONTO SOLICITADO]]-EJECUTADO[[#This Row],[RETENCION IVA]]-EJECUTADO[[#This Row],[RETENCION ISR]]</f>
        <v>3116.5</v>
      </c>
      <c r="Q438" s="84" t="s">
        <v>1000</v>
      </c>
      <c r="R438" s="2"/>
      <c r="S438">
        <v>1</v>
      </c>
      <c r="T438" s="168" t="str">
        <f t="shared" si="12"/>
        <v>NUEVO INGRESO - Viaticos y atenciones a Personal proceso inscripción Disponible $13000 Solicitado $3116.5 PRESUPUESTO: SI</v>
      </c>
    </row>
    <row r="439" spans="1:20" ht="45" x14ac:dyDescent="0.25">
      <c r="A439" s="6">
        <f t="shared" si="13"/>
        <v>436</v>
      </c>
      <c r="B439" s="21">
        <v>45334</v>
      </c>
      <c r="C439" s="17" t="s">
        <v>1636</v>
      </c>
      <c r="D439" s="65" t="s">
        <v>1637</v>
      </c>
      <c r="E439" s="65"/>
      <c r="F439" t="s">
        <v>1638</v>
      </c>
      <c r="G439" s="161">
        <f>MONTH(EJECUTADO[[#This Row],[FECHA]])</f>
        <v>2</v>
      </c>
      <c r="H439" s="163" t="str">
        <f>MID(EJECUTADO[[#This Row],[CUENTA]],1,4)</f>
        <v>E-22</v>
      </c>
      <c r="I439" s="163" t="str">
        <f>INDEX(CATALOGO[Descripción],MATCH(EJECUTADO[[#This Row],[APLICACIÓN]]&amp;"-00-00-00",CATALOGO[Código],0))</f>
        <v>CAPACITACIÓN AL PERSONAL</v>
      </c>
      <c r="J4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439" s="161" t="str">
        <f>IF((EJECUTADO[[#This Row],[MONTO DISPONIBLE ]]-EJECUTADO[[#This Row],[MONTO SOLICITADO]])&gt;=0,"PRESUPUESTO: SI","PRESUPUESTO: NO")</f>
        <v>PRESUPUESTO: SI</v>
      </c>
      <c r="L439" s="162">
        <f>SUMIF(PRESUPUESTO[CUENTA],EJECUTADO[[#This Row],[CUENTA]],PRESUPUESTO[MONTO])-SUMIF($F$1:F438,EJECUTADO[[#This Row],[CUENTA]],$M$1:M438)</f>
        <v>21010.55</v>
      </c>
      <c r="M439" s="2">
        <v>169.18</v>
      </c>
      <c r="N439" s="2"/>
      <c r="O439" s="2"/>
      <c r="P439" s="162">
        <f>+EJECUTADO[[#This Row],[MONTO SOLICITADO]]-EJECUTADO[[#This Row],[RETENCION IVA]]-EJECUTADO[[#This Row],[RETENCION ISR]]</f>
        <v>169.18</v>
      </c>
      <c r="Q439" s="84" t="s">
        <v>1000</v>
      </c>
      <c r="R439" s="2"/>
      <c r="S439">
        <v>1</v>
      </c>
      <c r="T439" s="168" t="str">
        <f t="shared" si="12"/>
        <v>CAPACITACIÓN AL PERSONAL - Cohorte No. 2 (10 participantes) año 1 Disponible $21010.55 Solicitado $169.18 PRESUPUESTO: SI</v>
      </c>
    </row>
    <row r="440" spans="1:20" ht="45" x14ac:dyDescent="0.25">
      <c r="A440" s="6">
        <f t="shared" si="13"/>
        <v>437</v>
      </c>
      <c r="B440" s="21">
        <v>45334</v>
      </c>
      <c r="C440" s="17" t="s">
        <v>1639</v>
      </c>
      <c r="D440" s="65" t="s">
        <v>1640</v>
      </c>
      <c r="E440" s="65"/>
      <c r="F440" t="s">
        <v>1638</v>
      </c>
      <c r="G440" s="161">
        <f>MONTH(EJECUTADO[[#This Row],[FECHA]])</f>
        <v>2</v>
      </c>
      <c r="H440" s="163" t="str">
        <f>MID(EJECUTADO[[#This Row],[CUENTA]],1,4)</f>
        <v>E-22</v>
      </c>
      <c r="I440" s="163" t="str">
        <f>INDEX(CATALOGO[Descripción],MATCH(EJECUTADO[[#This Row],[APLICACIÓN]]&amp;"-00-00-00",CATALOGO[Código],0))</f>
        <v>CAPACITACIÓN AL PERSONAL</v>
      </c>
      <c r="J4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440" s="161" t="str">
        <f>IF((EJECUTADO[[#This Row],[MONTO DISPONIBLE ]]-EJECUTADO[[#This Row],[MONTO SOLICITADO]])&gt;=0,"PRESUPUESTO: SI","PRESUPUESTO: NO")</f>
        <v>PRESUPUESTO: SI</v>
      </c>
      <c r="L440" s="162">
        <f>SUMIF(PRESUPUESTO[CUENTA],EJECUTADO[[#This Row],[CUENTA]],PRESUPUESTO[MONTO])-SUMIF($F$1:F439,EJECUTADO[[#This Row],[CUENTA]],$M$1:M439)</f>
        <v>20841.37</v>
      </c>
      <c r="M440" s="2">
        <v>169.18</v>
      </c>
      <c r="N440" s="2"/>
      <c r="O440" s="2"/>
      <c r="P440" s="162">
        <f>+EJECUTADO[[#This Row],[MONTO SOLICITADO]]-EJECUTADO[[#This Row],[RETENCION IVA]]-EJECUTADO[[#This Row],[RETENCION ISR]]</f>
        <v>169.18</v>
      </c>
      <c r="Q440" s="84" t="s">
        <v>1000</v>
      </c>
      <c r="R440" s="2"/>
      <c r="S440">
        <v>1</v>
      </c>
      <c r="T440" s="168" t="str">
        <f t="shared" si="12"/>
        <v>CAPACITACIÓN AL PERSONAL - Cohorte No. 2 (10 participantes) año 1 Disponible $20841.37 Solicitado $169.18 PRESUPUESTO: SI</v>
      </c>
    </row>
    <row r="441" spans="1:20" x14ac:dyDescent="0.25">
      <c r="A441" s="6">
        <f t="shared" si="13"/>
        <v>438</v>
      </c>
      <c r="B441" s="21">
        <v>45336</v>
      </c>
      <c r="C441" s="17" t="s">
        <v>1641</v>
      </c>
      <c r="D441" s="65" t="s">
        <v>1642</v>
      </c>
      <c r="E441" s="65"/>
      <c r="F441" t="s">
        <v>1643</v>
      </c>
      <c r="G441" s="161">
        <f>MONTH(EJECUTADO[[#This Row],[FECHA]])</f>
        <v>2</v>
      </c>
      <c r="H441" s="163" t="str">
        <f>MID(EJECUTADO[[#This Row],[CUENTA]],1,4)</f>
        <v>E-02</v>
      </c>
      <c r="I441" s="163" t="str">
        <f>INDEX(CATALOGO[Descripción],MATCH(EJECUTADO[[#This Row],[APLICACIÓN]]&amp;"-00-00-00",CATALOGO[Código],0))</f>
        <v>PRESTAMOS BANCARIOS</v>
      </c>
      <c r="J4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441" s="161" t="str">
        <f>IF((EJECUTADO[[#This Row],[MONTO DISPONIBLE ]]-EJECUTADO[[#This Row],[MONTO SOLICITADO]])&gt;=0,"PRESUPUESTO: SI","PRESUPUESTO: NO")</f>
        <v>PRESUPUESTO: SI</v>
      </c>
      <c r="L441" s="162">
        <f>SUMIF(PRESUPUESTO[CUENTA],EJECUTADO[[#This Row],[CUENTA]],PRESUPUESTO[MONTO])-SUMIF($F$1:F440,EJECUTADO[[#This Row],[CUENTA]],$M$1:M440)</f>
        <v>482400</v>
      </c>
      <c r="M441" s="2">
        <v>38974.959999999999</v>
      </c>
      <c r="N441" s="2"/>
      <c r="O441" s="2"/>
      <c r="P441" s="162">
        <f>+EJECUTADO[[#This Row],[MONTO SOLICITADO]]-EJECUTADO[[#This Row],[RETENCION IVA]]-EJECUTADO[[#This Row],[RETENCION ISR]]</f>
        <v>38974.959999999999</v>
      </c>
      <c r="Q441" s="84" t="s">
        <v>1000</v>
      </c>
      <c r="R441" s="2"/>
      <c r="S441">
        <v>1</v>
      </c>
      <c r="T441" s="168" t="str">
        <f t="shared" si="12"/>
        <v>PRESTAMOS BANCARIOS - BANCO PROMERICA REF 784005 Disponible $482400 Solicitado $38974.96 PRESUPUESTO: SI</v>
      </c>
    </row>
    <row r="442" spans="1:20" ht="60" x14ac:dyDescent="0.25">
      <c r="A442" s="6">
        <f t="shared" si="13"/>
        <v>439</v>
      </c>
      <c r="B442" s="21">
        <v>45336</v>
      </c>
      <c r="C442" s="17" t="s">
        <v>1641</v>
      </c>
      <c r="D442" s="65" t="s">
        <v>1644</v>
      </c>
      <c r="E442" s="65"/>
      <c r="F442" t="s">
        <v>1643</v>
      </c>
      <c r="G442" s="161">
        <f>MONTH(EJECUTADO[[#This Row],[FECHA]])</f>
        <v>2</v>
      </c>
      <c r="H442" s="163" t="str">
        <f>MID(EJECUTADO[[#This Row],[CUENTA]],1,4)</f>
        <v>E-02</v>
      </c>
      <c r="I442" s="163" t="str">
        <f>INDEX(CATALOGO[Descripción],MATCH(EJECUTADO[[#This Row],[APLICACIÓN]]&amp;"-00-00-00",CATALOGO[Código],0))</f>
        <v>PRESTAMOS BANCARIOS</v>
      </c>
      <c r="J4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442" s="161" t="str">
        <f>IF((EJECUTADO[[#This Row],[MONTO DISPONIBLE ]]-EJECUTADO[[#This Row],[MONTO SOLICITADO]])&gt;=0,"PRESUPUESTO: SI","PRESUPUESTO: NO")</f>
        <v>PRESUPUESTO: SI</v>
      </c>
      <c r="L442" s="162">
        <f>SUMIF(PRESUPUESTO[CUENTA],EJECUTADO[[#This Row],[CUENTA]],PRESUPUESTO[MONTO])-SUMIF($F$1:F441,EJECUTADO[[#This Row],[CUENTA]],$M$1:M441)</f>
        <v>443425.04</v>
      </c>
      <c r="M442" s="2">
        <v>33619.760000000002</v>
      </c>
      <c r="N442" s="2"/>
      <c r="O442" s="2"/>
      <c r="P442" s="162">
        <f>+EJECUTADO[[#This Row],[MONTO SOLICITADO]]-EJECUTADO[[#This Row],[RETENCION IVA]]-EJECUTADO[[#This Row],[RETENCION ISR]]</f>
        <v>33619.760000000002</v>
      </c>
      <c r="Q442" s="84" t="s">
        <v>1000</v>
      </c>
      <c r="R442" s="2"/>
      <c r="S442">
        <v>1</v>
      </c>
      <c r="T442" s="168" t="str">
        <f t="shared" si="12"/>
        <v>PRESTAMOS BANCARIOS - BANCO PROMERICA REF 784005 Disponible $443425.04 Solicitado $33619.76 PRESUPUESTO: SI</v>
      </c>
    </row>
    <row r="443" spans="1:20" ht="30" x14ac:dyDescent="0.25">
      <c r="A443" s="6">
        <f t="shared" si="13"/>
        <v>440</v>
      </c>
      <c r="B443" s="21">
        <v>45336</v>
      </c>
      <c r="C443" s="17" t="s">
        <v>1152</v>
      </c>
      <c r="D443" s="65" t="s">
        <v>1645</v>
      </c>
      <c r="E443" s="65"/>
      <c r="F443" t="s">
        <v>1322</v>
      </c>
      <c r="G443" s="161">
        <f>MONTH(EJECUTADO[[#This Row],[FECHA]])</f>
        <v>2</v>
      </c>
      <c r="H443" s="163" t="str">
        <f>MID(EJECUTADO[[#This Row],[CUENTA]],1,4)</f>
        <v>E-09</v>
      </c>
      <c r="I443" s="163" t="str">
        <f>INDEX(CATALOGO[Descripción],MATCH(EJECUTADO[[#This Row],[APLICACIÓN]]&amp;"-00-00-00",CATALOGO[Código],0))</f>
        <v>PRESTACIONES AL PERSONAL</v>
      </c>
      <c r="J4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443" s="161" t="str">
        <f>IF((EJECUTADO[[#This Row],[MONTO DISPONIBLE ]]-EJECUTADO[[#This Row],[MONTO SOLICITADO]])&gt;=0,"PRESUPUESTO: SI","PRESUPUESTO: NO")</f>
        <v>PRESUPUESTO: SI</v>
      </c>
      <c r="L443" s="162">
        <f>SUMIF(PRESUPUESTO[CUENTA],EJECUTADO[[#This Row],[CUENTA]],PRESUPUESTO[MONTO])-SUMIF($F$1:F442,EJECUTADO[[#This Row],[CUENTA]],$M$1:M442)</f>
        <v>4250.63</v>
      </c>
      <c r="M443" s="2">
        <v>1519.84</v>
      </c>
      <c r="N443" s="2"/>
      <c r="O443" s="2"/>
      <c r="P443" s="162">
        <f>+EJECUTADO[[#This Row],[MONTO SOLICITADO]]-EJECUTADO[[#This Row],[RETENCION IVA]]-EJECUTADO[[#This Row],[RETENCION ISR]]</f>
        <v>1519.84</v>
      </c>
      <c r="Q443" s="84" t="s">
        <v>1000</v>
      </c>
      <c r="R443" s="2"/>
      <c r="S443">
        <v>1</v>
      </c>
      <c r="T443" s="168" t="str">
        <f t="shared" si="12"/>
        <v>PRESTACIONES AL PERSONAL - SALA CUNA Disponible $4250.63 Solicitado $1519.84 PRESUPUESTO: SI</v>
      </c>
    </row>
    <row r="444" spans="1:20" x14ac:dyDescent="0.25">
      <c r="A444" s="6">
        <f t="shared" si="13"/>
        <v>441</v>
      </c>
      <c r="B444" s="21">
        <v>45336</v>
      </c>
      <c r="C444" s="17" t="s">
        <v>1083</v>
      </c>
      <c r="D444" s="65" t="s">
        <v>249</v>
      </c>
      <c r="E444" s="65"/>
      <c r="F444" t="s">
        <v>1084</v>
      </c>
      <c r="G444" s="161">
        <f>MONTH(EJECUTADO[[#This Row],[FECHA]])</f>
        <v>2</v>
      </c>
      <c r="H444" s="163" t="str">
        <f>MID(EJECUTADO[[#This Row],[CUENTA]],1,4)</f>
        <v>E-10</v>
      </c>
      <c r="I444" s="163" t="str">
        <f>INDEX(CATALOGO[Descripción],MATCH(EJECUTADO[[#This Row],[APLICACIÓN]]&amp;"-00-00-00",CATALOGO[Código],0))</f>
        <v>SERVICIOS PUBLICOS</v>
      </c>
      <c r="J4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444" s="161" t="str">
        <f>IF((EJECUTADO[[#This Row],[MONTO DISPONIBLE ]]-EJECUTADO[[#This Row],[MONTO SOLICITADO]])&gt;=0,"PRESUPUESTO: SI","PRESUPUESTO: NO")</f>
        <v>PRESUPUESTO: SI</v>
      </c>
      <c r="L444" s="162">
        <f>SUMIF(PRESUPUESTO[CUENTA],EJECUTADO[[#This Row],[CUENTA]],PRESUPUESTO[MONTO])-SUMIF($F$1:F443,EJECUTADO[[#This Row],[CUENTA]],$M$1:M443)</f>
        <v>84605.459999999992</v>
      </c>
      <c r="M444" s="2">
        <v>6733.27</v>
      </c>
      <c r="N444" s="2"/>
      <c r="O444" s="2"/>
      <c r="P444" s="162">
        <f>+EJECUTADO[[#This Row],[MONTO SOLICITADO]]-EJECUTADO[[#This Row],[RETENCION IVA]]-EJECUTADO[[#This Row],[RETENCION ISR]]</f>
        <v>6733.27</v>
      </c>
      <c r="Q444" s="84" t="s">
        <v>1000</v>
      </c>
      <c r="R444" s="2"/>
      <c r="S444">
        <v>1</v>
      </c>
      <c r="T444" s="168" t="str">
        <f t="shared" si="12"/>
        <v>SERVICIOS PUBLICOS - SERVICIO DE AGUA Disponible $84605.46 Solicitado $6733.27 PRESUPUESTO: SI</v>
      </c>
    </row>
    <row r="445" spans="1:20" x14ac:dyDescent="0.25">
      <c r="A445" s="6">
        <f t="shared" si="13"/>
        <v>442</v>
      </c>
      <c r="B445" s="21">
        <v>45336</v>
      </c>
      <c r="C445" s="17" t="s">
        <v>1083</v>
      </c>
      <c r="D445" s="65" t="s">
        <v>249</v>
      </c>
      <c r="E445" s="65"/>
      <c r="F445" t="s">
        <v>1264</v>
      </c>
      <c r="G445" s="161">
        <f>MONTH(EJECUTADO[[#This Row],[FECHA]])</f>
        <v>2</v>
      </c>
      <c r="H445" s="163" t="str">
        <f>MID(EJECUTADO[[#This Row],[CUENTA]],1,4)</f>
        <v>E-13</v>
      </c>
      <c r="I445" s="163" t="str">
        <f>INDEX(CATALOGO[Descripción],MATCH(EJECUTADO[[#This Row],[APLICACIÓN]]&amp;"-00-00-00",CATALOGO[Código],0))</f>
        <v>MAESTRIAS Y POSTGRADOS</v>
      </c>
      <c r="J4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AGUA </v>
      </c>
      <c r="K445" s="161" t="str">
        <f>IF((EJECUTADO[[#This Row],[MONTO DISPONIBLE ]]-EJECUTADO[[#This Row],[MONTO SOLICITADO]])&gt;=0,"PRESUPUESTO: SI","PRESUPUESTO: NO")</f>
        <v>PRESUPUESTO: SI</v>
      </c>
      <c r="L445" s="162">
        <f>SUMIF(PRESUPUESTO[CUENTA],EJECUTADO[[#This Row],[CUENTA]],PRESUPUESTO[MONTO])-SUMIF($F$1:F444,EJECUTADO[[#This Row],[CUENTA]],$M$1:M444)</f>
        <v>6911.12</v>
      </c>
      <c r="M445" s="2">
        <v>866.91</v>
      </c>
      <c r="N445" s="2"/>
      <c r="O445" s="2"/>
      <c r="P445" s="162">
        <f>+EJECUTADO[[#This Row],[MONTO SOLICITADO]]-EJECUTADO[[#This Row],[RETENCION IVA]]-EJECUTADO[[#This Row],[RETENCION ISR]]</f>
        <v>866.91</v>
      </c>
      <c r="Q445" s="84" t="s">
        <v>1000</v>
      </c>
      <c r="R445" s="2"/>
      <c r="S445">
        <v>1</v>
      </c>
      <c r="T445" s="168" t="str">
        <f t="shared" si="12"/>
        <v>MAESTRIAS Y POSTGRADOS - SERVICIO DE AGUA  Disponible $6911.12 Solicitado $866.91 PRESUPUESTO: SI</v>
      </c>
    </row>
    <row r="446" spans="1:20" ht="45" x14ac:dyDescent="0.25">
      <c r="A446" s="6">
        <f t="shared" si="13"/>
        <v>443</v>
      </c>
      <c r="B446" s="21">
        <v>45336</v>
      </c>
      <c r="C446" s="17" t="s">
        <v>1053</v>
      </c>
      <c r="D446" s="65" t="s">
        <v>1646</v>
      </c>
      <c r="E446" s="65"/>
      <c r="F446" t="s">
        <v>1055</v>
      </c>
      <c r="G446" s="161">
        <f>MONTH(EJECUTADO[[#This Row],[FECHA]])</f>
        <v>2</v>
      </c>
      <c r="H446" s="163" t="str">
        <f>MID(EJECUTADO[[#This Row],[CUENTA]],1,4)</f>
        <v>E-07</v>
      </c>
      <c r="I446" s="163" t="str">
        <f>INDEX(CATALOGO[Descripción],MATCH(EJECUTADO[[#This Row],[APLICACIÓN]]&amp;"-00-00-00",CATALOGO[Código],0))</f>
        <v>SERVICIOS TECNOLOGICOS</v>
      </c>
      <c r="J4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Enlace ComercialDigicel   Internet Alumnos $ 3,560.00 x 12 </v>
      </c>
      <c r="K446" s="161" t="str">
        <f>IF((EJECUTADO[[#This Row],[MONTO DISPONIBLE ]]-EJECUTADO[[#This Row],[MONTO SOLICITADO]])&gt;=0,"PRESUPUESTO: SI","PRESUPUESTO: NO")</f>
        <v>PRESUPUESTO: SI</v>
      </c>
      <c r="L446" s="162">
        <f>SUMIF(PRESUPUESTO[CUENTA],EJECUTADO[[#This Row],[CUENTA]],PRESUPUESTO[MONTO])-SUMIF($F$1:F445,EJECUTADO[[#This Row],[CUENTA]],$M$1:M445)</f>
        <v>39649</v>
      </c>
      <c r="M446" s="2">
        <v>3051</v>
      </c>
      <c r="N446" s="2"/>
      <c r="O446" s="2"/>
      <c r="P446" s="162">
        <f>+EJECUTADO[[#This Row],[MONTO SOLICITADO]]-EJECUTADO[[#This Row],[RETENCION IVA]]-EJECUTADO[[#This Row],[RETENCION ISR]]</f>
        <v>3051</v>
      </c>
      <c r="Q446" s="84" t="s">
        <v>1000</v>
      </c>
      <c r="R446" s="2"/>
      <c r="S446">
        <v>1</v>
      </c>
      <c r="T446" s="168" t="str">
        <f t="shared" si="12"/>
        <v>SERVICIOS TECNOLOGICOS - Enlace ComercialDigicel   Internet Alumnos $ 3,560.00 x 12  Disponible $39649 Solicitado $3051 PRESUPUESTO: SI</v>
      </c>
    </row>
    <row r="447" spans="1:20" ht="30" x14ac:dyDescent="0.25">
      <c r="A447" s="6">
        <f t="shared" si="13"/>
        <v>444</v>
      </c>
      <c r="B447" s="21">
        <v>45336</v>
      </c>
      <c r="C447" s="17" t="s">
        <v>1647</v>
      </c>
      <c r="D447" s="65" t="s">
        <v>1648</v>
      </c>
      <c r="E447" s="65"/>
      <c r="F447" t="s">
        <v>1649</v>
      </c>
      <c r="G447" s="161">
        <f>MONTH(EJECUTADO[[#This Row],[FECHA]])</f>
        <v>2</v>
      </c>
      <c r="H447" s="163" t="str">
        <f>MID(EJECUTADO[[#This Row],[CUENTA]],1,4)</f>
        <v>E-26</v>
      </c>
      <c r="I447" s="163" t="str">
        <f>INDEX(CATALOGO[Descripción],MATCH(EJECUTADO[[#This Row],[APLICACIÓN]]&amp;"-00-00-00",CATALOGO[Código],0))</f>
        <v>EVENTOS ACADEMICOS, CULTURALES  E INSTITUCIONALES</v>
      </c>
      <c r="J4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EVENTOS INSTITUCIONALES  </v>
      </c>
      <c r="K447" s="161" t="str">
        <f>IF((EJECUTADO[[#This Row],[MONTO DISPONIBLE ]]-EJECUTADO[[#This Row],[MONTO SOLICITADO]])&gt;=0,"PRESUPUESTO: SI","PRESUPUESTO: NO")</f>
        <v>PRESUPUESTO: NO</v>
      </c>
      <c r="L447" s="162">
        <f>SUMIF(PRESUPUESTO[CUENTA],EJECUTADO[[#This Row],[CUENTA]],PRESUPUESTO[MONTO])-SUMIF($F$1:F446,EJECUTADO[[#This Row],[CUENTA]],$M$1:M446)</f>
        <v>0</v>
      </c>
      <c r="M447" s="2">
        <v>268</v>
      </c>
      <c r="N447" s="2"/>
      <c r="O447" s="2"/>
      <c r="P447" s="162">
        <f>+EJECUTADO[[#This Row],[MONTO SOLICITADO]]-EJECUTADO[[#This Row],[RETENCION IVA]]-EJECUTADO[[#This Row],[RETENCION ISR]]</f>
        <v>268</v>
      </c>
      <c r="Q447" s="84" t="s">
        <v>1000</v>
      </c>
      <c r="R447" s="2"/>
      <c r="S447">
        <v>1</v>
      </c>
      <c r="T447" s="168" t="str">
        <f t="shared" si="12"/>
        <v>EVENTOS ACADEMICOS, CULTURALES  E INSTITUCIONALES - EVENTOS INSTITUCIONALES   Disponible $0 Solicitado $268 PRESUPUESTO: NO</v>
      </c>
    </row>
    <row r="448" spans="1:20" ht="60" x14ac:dyDescent="0.25">
      <c r="A448" s="6">
        <f t="shared" si="13"/>
        <v>445</v>
      </c>
      <c r="B448" s="21">
        <v>45336</v>
      </c>
      <c r="C448" s="17" t="s">
        <v>1650</v>
      </c>
      <c r="D448" s="65" t="s">
        <v>1651</v>
      </c>
      <c r="E448" s="65"/>
      <c r="F448" t="s">
        <v>1652</v>
      </c>
      <c r="G448" s="161">
        <f>MONTH(EJECUTADO[[#This Row],[FECHA]])</f>
        <v>2</v>
      </c>
      <c r="H448" s="163" t="str">
        <f>MID(EJECUTADO[[#This Row],[CUENTA]],1,4)</f>
        <v>E-12</v>
      </c>
      <c r="I448" s="163" t="str">
        <f>INDEX(CATALOGO[Descripción],MATCH(EJECUTADO[[#This Row],[APLICACIÓN]]&amp;"-00-00-00",CATALOGO[Código],0))</f>
        <v>PROYECCION SOCIAL</v>
      </c>
      <c r="J4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Lavado y planchado chalecos</v>
      </c>
      <c r="K448" s="161" t="str">
        <f>IF((EJECUTADO[[#This Row],[MONTO DISPONIBLE ]]-EJECUTADO[[#This Row],[MONTO SOLICITADO]])&gt;=0,"PRESUPUESTO: SI","PRESUPUESTO: NO")</f>
        <v>PRESUPUESTO: SI</v>
      </c>
      <c r="L448" s="162">
        <f>SUMIF(PRESUPUESTO[CUENTA],EJECUTADO[[#This Row],[CUENTA]],PRESUPUESTO[MONTO])-SUMIF($F$1:F447,EJECUTADO[[#This Row],[CUENTA]],$M$1:M447)</f>
        <v>1000</v>
      </c>
      <c r="M448" s="2">
        <v>461.25</v>
      </c>
      <c r="N448" s="2"/>
      <c r="O448" s="2"/>
      <c r="P448" s="162">
        <f>+EJECUTADO[[#This Row],[MONTO SOLICITADO]]-EJECUTADO[[#This Row],[RETENCION IVA]]-EJECUTADO[[#This Row],[RETENCION ISR]]</f>
        <v>461.25</v>
      </c>
      <c r="Q448" s="84" t="s">
        <v>1000</v>
      </c>
      <c r="R448" s="2"/>
      <c r="S448">
        <v>1</v>
      </c>
      <c r="T448" s="168" t="str">
        <f t="shared" si="12"/>
        <v>PROYECCION SOCIAL - Lavado y planchado chalecos Disponible $1000 Solicitado $461.25 PRESUPUESTO: SI</v>
      </c>
    </row>
    <row r="449" spans="1:20" ht="30" x14ac:dyDescent="0.25">
      <c r="A449" s="6">
        <f t="shared" si="13"/>
        <v>446</v>
      </c>
      <c r="B449" s="21">
        <v>45336</v>
      </c>
      <c r="C449" s="17" t="s">
        <v>1653</v>
      </c>
      <c r="D449" s="65" t="s">
        <v>1648</v>
      </c>
      <c r="E449" s="65"/>
      <c r="F449" t="s">
        <v>1649</v>
      </c>
      <c r="G449" s="161">
        <f>MONTH(EJECUTADO[[#This Row],[FECHA]])</f>
        <v>2</v>
      </c>
      <c r="H449" s="163" t="str">
        <f>MID(EJECUTADO[[#This Row],[CUENTA]],1,4)</f>
        <v>E-26</v>
      </c>
      <c r="I449" s="163" t="str">
        <f>INDEX(CATALOGO[Descripción],MATCH(EJECUTADO[[#This Row],[APLICACIÓN]]&amp;"-00-00-00",CATALOGO[Código],0))</f>
        <v>EVENTOS ACADEMICOS, CULTURALES  E INSTITUCIONALES</v>
      </c>
      <c r="J4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EVENTOS INSTITUCIONALES  </v>
      </c>
      <c r="K449" s="161" t="str">
        <f>IF((EJECUTADO[[#This Row],[MONTO DISPONIBLE ]]-EJECUTADO[[#This Row],[MONTO SOLICITADO]])&gt;=0,"PRESUPUESTO: SI","PRESUPUESTO: NO")</f>
        <v>PRESUPUESTO: NO</v>
      </c>
      <c r="L449" s="162">
        <f>SUMIF(PRESUPUESTO[CUENTA],EJECUTADO[[#This Row],[CUENTA]],PRESUPUESTO[MONTO])-SUMIF($F$1:F448,EJECUTADO[[#This Row],[CUENTA]],$M$1:M448)</f>
        <v>-268</v>
      </c>
      <c r="M449" s="2">
        <v>702.63</v>
      </c>
      <c r="N449" s="2"/>
      <c r="O449" s="2"/>
      <c r="P449" s="162">
        <f>+EJECUTADO[[#This Row],[MONTO SOLICITADO]]-EJECUTADO[[#This Row],[RETENCION IVA]]-EJECUTADO[[#This Row],[RETENCION ISR]]</f>
        <v>702.63</v>
      </c>
      <c r="Q449" s="84" t="s">
        <v>1000</v>
      </c>
      <c r="R449" s="2"/>
      <c r="S449">
        <v>1</v>
      </c>
      <c r="T449" s="168" t="str">
        <f t="shared" si="12"/>
        <v>EVENTOS ACADEMICOS, CULTURALES  E INSTITUCIONALES - EVENTOS INSTITUCIONALES   Disponible $-268 Solicitado $702.63 PRESUPUESTO: NO</v>
      </c>
    </row>
    <row r="450" spans="1:20" ht="60" x14ac:dyDescent="0.25">
      <c r="A450" s="6">
        <f t="shared" si="13"/>
        <v>447</v>
      </c>
      <c r="B450" s="21">
        <v>45336</v>
      </c>
      <c r="C450" s="17" t="s">
        <v>1227</v>
      </c>
      <c r="D450" s="65" t="s">
        <v>1654</v>
      </c>
      <c r="E450" s="65"/>
      <c r="F450" t="s">
        <v>1229</v>
      </c>
      <c r="G450" s="161">
        <f>MONTH(EJECUTADO[[#This Row],[FECHA]])</f>
        <v>2</v>
      </c>
      <c r="H450" s="163" t="str">
        <f>MID(EJECUTADO[[#This Row],[CUENTA]],1,4)</f>
        <v>E-03</v>
      </c>
      <c r="I450" s="163" t="str">
        <f>INDEX(CATALOGO[Descripción],MATCH(EJECUTADO[[#This Row],[APLICACIÓN]]&amp;"-00-00-00",CATALOGO[Código],0))</f>
        <v>SUELDOS ADMINISTRATIVOS</v>
      </c>
      <c r="J4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450" s="161" t="str">
        <f>IF((EJECUTADO[[#This Row],[MONTO DISPONIBLE ]]-EJECUTADO[[#This Row],[MONTO SOLICITADO]])&gt;=0,"PRESUPUESTO: SI","PRESUPUESTO: NO")</f>
        <v>PRESUPUESTO: SI</v>
      </c>
      <c r="L450" s="162">
        <f>SUMIF(PRESUPUESTO[CUENTA],EJECUTADO[[#This Row],[CUENTA]],PRESUPUESTO[MONTO])-SUMIF($F$1:F449,EJECUTADO[[#This Row],[CUENTA]],$M$1:M449)</f>
        <v>124800</v>
      </c>
      <c r="M450" s="2">
        <v>350</v>
      </c>
      <c r="N450" s="2"/>
      <c r="O450" s="2">
        <v>35</v>
      </c>
      <c r="P450" s="162">
        <f>+EJECUTADO[[#This Row],[MONTO SOLICITADO]]-EJECUTADO[[#This Row],[RETENCION IVA]]-EJECUTADO[[#This Row],[RETENCION ISR]]</f>
        <v>315</v>
      </c>
      <c r="Q450" s="84" t="s">
        <v>1000</v>
      </c>
      <c r="R450" s="2"/>
      <c r="S450">
        <v>1</v>
      </c>
      <c r="T450" s="168" t="str">
        <f t="shared" si="12"/>
        <v>SUELDOS ADMINISTRATIVOS - SUELDOS Y SALARIOS DIRECCIÓN DE COMUNICACIONES Disponible $124800 Solicitado $350 PRESUPUESTO: SI</v>
      </c>
    </row>
    <row r="451" spans="1:20" ht="30" x14ac:dyDescent="0.25">
      <c r="A451" s="6">
        <f t="shared" si="13"/>
        <v>448</v>
      </c>
      <c r="B451" s="21">
        <v>45336</v>
      </c>
      <c r="C451" s="17" t="s">
        <v>1036</v>
      </c>
      <c r="D451" s="65" t="s">
        <v>1655</v>
      </c>
      <c r="E451" s="65"/>
      <c r="F451" t="s">
        <v>1656</v>
      </c>
      <c r="G451" s="161">
        <f>MONTH(EJECUTADO[[#This Row],[FECHA]])</f>
        <v>2</v>
      </c>
      <c r="H451" s="163" t="str">
        <f>MID(EJECUTADO[[#This Row],[CUENTA]],1,4)</f>
        <v>E-09</v>
      </c>
      <c r="I451" s="163" t="str">
        <f>INDEX(CATALOGO[Descripción],MATCH(EJECUTADO[[#This Row],[APLICACIÓN]]&amp;"-00-00-00",CATALOGO[Código],0))</f>
        <v>PRESTACIONES AL PERSONAL</v>
      </c>
      <c r="J4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451" s="161" t="str">
        <f>IF((EJECUTADO[[#This Row],[MONTO DISPONIBLE ]]-EJECUTADO[[#This Row],[MONTO SOLICITADO]])&gt;=0,"PRESUPUESTO: SI","PRESUPUESTO: NO")</f>
        <v>PRESUPUESTO: NO</v>
      </c>
      <c r="L451" s="162">
        <f>SUMIF(PRESUPUESTO[CUENTA],EJECUTADO[[#This Row],[CUENTA]],PRESUPUESTO[MONTO])-SUMIF($F$1:F450,EJECUTADO[[#This Row],[CUENTA]],$M$1:M450)</f>
        <v>0</v>
      </c>
      <c r="M451" s="69">
        <v>20</v>
      </c>
      <c r="N451" s="2"/>
      <c r="O451" s="2"/>
      <c r="P451" s="162">
        <f>+EJECUTADO[[#This Row],[MONTO SOLICITADO]]-EJECUTADO[[#This Row],[RETENCION IVA]]-EJECUTADO[[#This Row],[RETENCION ISR]]</f>
        <v>20</v>
      </c>
      <c r="Q451" s="84" t="s">
        <v>1000</v>
      </c>
      <c r="R451" s="2"/>
      <c r="S451">
        <v>1</v>
      </c>
      <c r="T451" s="168" t="str">
        <f t="shared" si="12"/>
        <v>PRESTACIONES AL PERSONAL - LA CUENTA SELECCIONADA NO PERMITE MOVIMIENTO Disponible $0 Solicitado $20 PRESUPUESTO: NO</v>
      </c>
    </row>
    <row r="452" spans="1:20" x14ac:dyDescent="0.25">
      <c r="A452" s="6">
        <f t="shared" si="13"/>
        <v>449</v>
      </c>
      <c r="B452" s="21">
        <v>45336</v>
      </c>
      <c r="C452" s="17" t="s">
        <v>1036</v>
      </c>
      <c r="D452" s="65" t="s">
        <v>1657</v>
      </c>
      <c r="E452" s="65"/>
      <c r="F452" t="s">
        <v>1615</v>
      </c>
      <c r="G452" s="161">
        <f>MONTH(EJECUTADO[[#This Row],[FECHA]])</f>
        <v>2</v>
      </c>
      <c r="H452" s="163" t="str">
        <f>MID(EJECUTADO[[#This Row],[CUENTA]],1,4)</f>
        <v>E-09</v>
      </c>
      <c r="I452" s="163" t="str">
        <f>INDEX(CATALOGO[Descripción],MATCH(EJECUTADO[[#This Row],[APLICACIÓN]]&amp;"-00-00-00",CATALOGO[Código],0))</f>
        <v>PRESTACIONES AL PERSONAL</v>
      </c>
      <c r="J4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CLINICA EMPRESARIAL</v>
      </c>
      <c r="K452" s="161" t="str">
        <f>IF((EJECUTADO[[#This Row],[MONTO DISPONIBLE ]]-EJECUTADO[[#This Row],[MONTO SOLICITADO]])&gt;=0,"PRESUPUESTO: SI","PRESUPUESTO: NO")</f>
        <v>PRESUPUESTO: SI</v>
      </c>
      <c r="L452" s="162">
        <f>SUMIF(PRESUPUESTO[CUENTA],EJECUTADO[[#This Row],[CUENTA]],PRESUPUESTO[MONTO])-SUMIF($F$1:F451,EJECUTADO[[#This Row],[CUENTA]],$M$1:M451)</f>
        <v>1442.86</v>
      </c>
      <c r="M452" s="2">
        <v>10.5</v>
      </c>
      <c r="N452" s="2"/>
      <c r="O452" s="2"/>
      <c r="P452" s="162">
        <f>+EJECUTADO[[#This Row],[MONTO SOLICITADO]]-EJECUTADO[[#This Row],[RETENCION IVA]]-EJECUTADO[[#This Row],[RETENCION ISR]]</f>
        <v>10.5</v>
      </c>
      <c r="Q452" s="84" t="s">
        <v>1000</v>
      </c>
      <c r="R452" s="2"/>
      <c r="S452">
        <v>1</v>
      </c>
      <c r="T452" s="168" t="str">
        <f t="shared" ref="T452:T515" si="14">_xlfn.CONCAT(I452," - ",J452," Disponible $",L452," Solicitado $",M452," ",K452,)</f>
        <v>PRESTACIONES AL PERSONAL - CLINICA EMPRESARIAL Disponible $1442.86 Solicitado $10.5 PRESUPUESTO: SI</v>
      </c>
    </row>
    <row r="453" spans="1:20" ht="30" x14ac:dyDescent="0.25">
      <c r="A453" s="6">
        <f t="shared" si="13"/>
        <v>450</v>
      </c>
      <c r="B453" s="21">
        <v>45336</v>
      </c>
      <c r="C453" s="17" t="s">
        <v>1036</v>
      </c>
      <c r="D453" s="65" t="s">
        <v>1658</v>
      </c>
      <c r="E453" s="65"/>
      <c r="F453" t="s">
        <v>1040</v>
      </c>
      <c r="G453" s="161">
        <f>MONTH(EJECUTADO[[#This Row],[FECHA]])</f>
        <v>2</v>
      </c>
      <c r="H453" s="163" t="str">
        <f>MID(EJECUTADO[[#This Row],[CUENTA]],1,4)</f>
        <v>E-23</v>
      </c>
      <c r="I453" s="163" t="str">
        <f>INDEX(CATALOGO[Descripción],MATCH(EJECUTADO[[#This Row],[APLICACIÓN]]&amp;"-00-00-00",CATALOGO[Código],0))</f>
        <v>GASTOS DE VIAJE</v>
      </c>
      <c r="J4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BOLETOS Y VIATICOS A EJECUTIVOS</v>
      </c>
      <c r="K453" s="161" t="str">
        <f>IF((EJECUTADO[[#This Row],[MONTO DISPONIBLE ]]-EJECUTADO[[#This Row],[MONTO SOLICITADO]])&gt;=0,"PRESUPUESTO: SI","PRESUPUESTO: NO")</f>
        <v>PRESUPUESTO: SI</v>
      </c>
      <c r="L453" s="162">
        <f>SUMIF(PRESUPUESTO[CUENTA],EJECUTADO[[#This Row],[CUENTA]],PRESUPUESTO[MONTO])-SUMIF($F$1:F452,EJECUTADO[[#This Row],[CUENTA]],$M$1:M452)</f>
        <v>14860</v>
      </c>
      <c r="M453" s="2">
        <v>35</v>
      </c>
      <c r="N453" s="2"/>
      <c r="O453" s="2"/>
      <c r="P453" s="162">
        <f>+EJECUTADO[[#This Row],[MONTO SOLICITADO]]-EJECUTADO[[#This Row],[RETENCION IVA]]-EJECUTADO[[#This Row],[RETENCION ISR]]</f>
        <v>35</v>
      </c>
      <c r="Q453" s="84" t="s">
        <v>1000</v>
      </c>
      <c r="R453" s="2"/>
      <c r="S453">
        <v>1</v>
      </c>
      <c r="T453" s="168" t="str">
        <f t="shared" si="14"/>
        <v>GASTOS DE VIAJE - BOLETOS Y VIATICOS A EJECUTIVOS Disponible $14860 Solicitado $35 PRESUPUESTO: SI</v>
      </c>
    </row>
    <row r="454" spans="1:20" ht="60" x14ac:dyDescent="0.25">
      <c r="A454" s="6">
        <f t="shared" ref="A454:A517" si="15">+A453+1</f>
        <v>451</v>
      </c>
      <c r="B454" s="21">
        <v>45336</v>
      </c>
      <c r="C454" s="17" t="s">
        <v>1036</v>
      </c>
      <c r="D454" s="65" t="s">
        <v>1659</v>
      </c>
      <c r="E454" s="65"/>
      <c r="F454" t="s">
        <v>1042</v>
      </c>
      <c r="G454" s="161">
        <f>MONTH(EJECUTADO[[#This Row],[FECHA]])</f>
        <v>2</v>
      </c>
      <c r="H454" s="163" t="str">
        <f>MID(EJECUTADO[[#This Row],[CUENTA]],1,4)</f>
        <v>E-23</v>
      </c>
      <c r="I454" s="163" t="str">
        <f>INDEX(CATALOGO[Descripción],MATCH(EJECUTADO[[#This Row],[APLICACIÓN]]&amp;"-00-00-00",CATALOGO[Código],0))</f>
        <v>GASTOS DE VIAJE</v>
      </c>
      <c r="J4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 VIATICOS AL PERSONAL</v>
      </c>
      <c r="K454" s="161" t="str">
        <f>IF((EJECUTADO[[#This Row],[MONTO DISPONIBLE ]]-EJECUTADO[[#This Row],[MONTO SOLICITADO]])&gt;=0,"PRESUPUESTO: SI","PRESUPUESTO: NO")</f>
        <v>PRESUPUESTO: SI</v>
      </c>
      <c r="L454" s="162">
        <f>SUMIF(PRESUPUESTO[CUENTA],EJECUTADO[[#This Row],[CUENTA]],PRESUPUESTO[MONTO])-SUMIF($F$1:F453,EJECUTADO[[#This Row],[CUENTA]],$M$1:M453)</f>
        <v>2915</v>
      </c>
      <c r="M454" s="2">
        <v>181.5</v>
      </c>
      <c r="N454" s="2"/>
      <c r="O454" s="2"/>
      <c r="P454" s="162">
        <f>+EJECUTADO[[#This Row],[MONTO SOLICITADO]]-EJECUTADO[[#This Row],[RETENCION IVA]]-EJECUTADO[[#This Row],[RETENCION ISR]]</f>
        <v>181.5</v>
      </c>
      <c r="Q454" s="84" t="s">
        <v>1000</v>
      </c>
      <c r="R454" s="2"/>
      <c r="S454">
        <v>1</v>
      </c>
      <c r="T454" s="168" t="str">
        <f t="shared" si="14"/>
        <v>GASTOS DE VIAJE - OTROS VIATICOS AL PERSONAL Disponible $2915 Solicitado $181.5 PRESUPUESTO: SI</v>
      </c>
    </row>
    <row r="455" spans="1:20" ht="30" x14ac:dyDescent="0.25">
      <c r="A455" s="6">
        <f t="shared" si="15"/>
        <v>452</v>
      </c>
      <c r="B455" s="21">
        <v>45336</v>
      </c>
      <c r="C455" s="17" t="s">
        <v>1036</v>
      </c>
      <c r="D455" s="65" t="s">
        <v>1660</v>
      </c>
      <c r="E455" s="65"/>
      <c r="F455" t="s">
        <v>1245</v>
      </c>
      <c r="G455" s="161">
        <f>MONTH(EJECUTADO[[#This Row],[FECHA]])</f>
        <v>2</v>
      </c>
      <c r="H455" s="163" t="str">
        <f>MID(EJECUTADO[[#This Row],[CUENTA]],1,4)</f>
        <v>E-27</v>
      </c>
      <c r="I455" s="163" t="str">
        <f>INDEX(CATALOGO[Descripción],MATCH(EJECUTADO[[#This Row],[APLICACIÓN]]&amp;"-00-00-00",CATALOGO[Código],0))</f>
        <v>INSUMOS DE OFICINA</v>
      </c>
      <c r="J4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455" s="161" t="str">
        <f>IF((EJECUTADO[[#This Row],[MONTO DISPONIBLE ]]-EJECUTADO[[#This Row],[MONTO SOLICITADO]])&gt;=0,"PRESUPUESTO: SI","PRESUPUESTO: NO")</f>
        <v>PRESUPUESTO: SI</v>
      </c>
      <c r="L455" s="162">
        <f>SUMIF(PRESUPUESTO[CUENTA],EJECUTADO[[#This Row],[CUENTA]],PRESUPUESTO[MONTO])-SUMIF($F$1:F454,EJECUTADO[[#This Row],[CUENTA]],$M$1:M454)</f>
        <v>56942.36</v>
      </c>
      <c r="M455" s="2">
        <v>42</v>
      </c>
      <c r="N455" s="2"/>
      <c r="O455" s="2"/>
      <c r="P455" s="162">
        <f>+EJECUTADO[[#This Row],[MONTO SOLICITADO]]-EJECUTADO[[#This Row],[RETENCION IVA]]-EJECUTADO[[#This Row],[RETENCION ISR]]</f>
        <v>42</v>
      </c>
      <c r="Q455" s="84" t="s">
        <v>1000</v>
      </c>
      <c r="R455" s="2"/>
      <c r="S455">
        <v>1</v>
      </c>
      <c r="T455" s="168" t="str">
        <f t="shared" si="14"/>
        <v>INSUMOS DE OFICINA - IMPRESIONES ADMINISTRATIVAS Disponible $56942.36 Solicitado $42 PRESUPUESTO: SI</v>
      </c>
    </row>
    <row r="456" spans="1:20" x14ac:dyDescent="0.25">
      <c r="A456" s="6">
        <f t="shared" si="15"/>
        <v>453</v>
      </c>
      <c r="B456" s="21">
        <v>45336</v>
      </c>
      <c r="C456" s="17" t="s">
        <v>1036</v>
      </c>
      <c r="D456" s="65" t="s">
        <v>1037</v>
      </c>
      <c r="E456" s="65"/>
      <c r="F456" t="s">
        <v>1661</v>
      </c>
      <c r="G456" s="161">
        <f>MONTH(EJECUTADO[[#This Row],[FECHA]])</f>
        <v>2</v>
      </c>
      <c r="H456" s="163" t="str">
        <f>MID(EJECUTADO[[#This Row],[CUENTA]],1,4)</f>
        <v>E-18</v>
      </c>
      <c r="I456" s="163" t="str">
        <f>INDEX(CATALOGO[Descripción],MATCH(EJECUTADO[[#This Row],[APLICACIÓN]]&amp;"-00-00-00",CATALOGO[Código],0))</f>
        <v>COMUNICACIÓN INSTITUCIONAL</v>
      </c>
      <c r="J4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Sitio web y redes sociales - Licencia Buffer (Sotfware redes sociales) - Centro de llamadas</v>
      </c>
      <c r="K456" s="161" t="str">
        <f>IF((EJECUTADO[[#This Row],[MONTO DISPONIBLE ]]-EJECUTADO[[#This Row],[MONTO SOLICITADO]])&gt;=0,"PRESUPUESTO: SI","PRESUPUESTO: NO")</f>
        <v>PRESUPUESTO: SI</v>
      </c>
      <c r="L456" s="162">
        <f>SUMIF(PRESUPUESTO[CUENTA],EJECUTADO[[#This Row],[CUENTA]],PRESUPUESTO[MONTO])-SUMIF($F$1:F455,EJECUTADO[[#This Row],[CUENTA]],$M$1:M455)</f>
        <v>800</v>
      </c>
      <c r="M456" s="2">
        <v>60</v>
      </c>
      <c r="N456" s="2"/>
      <c r="O456" s="2"/>
      <c r="P456" s="162">
        <f>+EJECUTADO[[#This Row],[MONTO SOLICITADO]]-EJECUTADO[[#This Row],[RETENCION IVA]]-EJECUTADO[[#This Row],[RETENCION ISR]]</f>
        <v>60</v>
      </c>
      <c r="Q456" s="84" t="s">
        <v>1000</v>
      </c>
      <c r="R456" s="2"/>
      <c r="S456">
        <v>1</v>
      </c>
      <c r="T456" s="168" t="str">
        <f t="shared" si="14"/>
        <v>COMUNICACIÓN INSTITUCIONAL - Sitio web y redes sociales - Licencia Buffer (Sotfware redes sociales) - Centro de llamadas Disponible $800 Solicitado $60 PRESUPUESTO: SI</v>
      </c>
    </row>
    <row r="457" spans="1:20" x14ac:dyDescent="0.25">
      <c r="A457" s="6">
        <f t="shared" si="15"/>
        <v>454</v>
      </c>
      <c r="B457" s="21">
        <v>45336</v>
      </c>
      <c r="C457" s="17" t="s">
        <v>1036</v>
      </c>
      <c r="D457" s="65" t="s">
        <v>1043</v>
      </c>
      <c r="E457" s="65"/>
      <c r="F457" t="s">
        <v>1662</v>
      </c>
      <c r="G457" s="161">
        <f>MONTH(EJECUTADO[[#This Row],[FECHA]])</f>
        <v>2</v>
      </c>
      <c r="H457" s="163" t="str">
        <f>MID(EJECUTADO[[#This Row],[CUENTA]],1,4)</f>
        <v>E-26</v>
      </c>
      <c r="I457" s="163" t="str">
        <f>INDEX(CATALOGO[Descripción],MATCH(EJECUTADO[[#This Row],[APLICACIÓN]]&amp;"-00-00-00",CATALOGO[Código],0))</f>
        <v>EVENTOS ACADEMICOS, CULTURALES  E INSTITUCIONALES</v>
      </c>
      <c r="J4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EVENTOS DE PROYECCION</v>
      </c>
      <c r="K457" s="161" t="str">
        <f>IF((EJECUTADO[[#This Row],[MONTO DISPONIBLE ]]-EJECUTADO[[#This Row],[MONTO SOLICITADO]])&gt;=0,"PRESUPUESTO: SI","PRESUPUESTO: NO")</f>
        <v>PRESUPUESTO: NO</v>
      </c>
      <c r="L457" s="162">
        <f>SUMIF(PRESUPUESTO[CUENTA],EJECUTADO[[#This Row],[CUENTA]],PRESUPUESTO[MONTO])-SUMIF($F$1:F456,EJECUTADO[[#This Row],[CUENTA]],$M$1:M456)</f>
        <v>0</v>
      </c>
      <c r="M457" s="2">
        <v>60.23</v>
      </c>
      <c r="N457" s="2"/>
      <c r="O457" s="2"/>
      <c r="P457" s="162">
        <f>+EJECUTADO[[#This Row],[MONTO SOLICITADO]]-EJECUTADO[[#This Row],[RETENCION IVA]]-EJECUTADO[[#This Row],[RETENCION ISR]]</f>
        <v>60.23</v>
      </c>
      <c r="Q457" s="84" t="s">
        <v>1000</v>
      </c>
      <c r="R457" s="2"/>
      <c r="S457">
        <v>1</v>
      </c>
      <c r="T457" s="168" t="str">
        <f t="shared" si="14"/>
        <v>EVENTOS ACADEMICOS, CULTURALES  E INSTITUCIONALES - EVENTOS DE PROYECCION Disponible $0 Solicitado $60.23 PRESUPUESTO: NO</v>
      </c>
    </row>
    <row r="458" spans="1:20" ht="30" x14ac:dyDescent="0.25">
      <c r="A458" s="6">
        <f t="shared" si="15"/>
        <v>455</v>
      </c>
      <c r="B458" s="21">
        <v>45336</v>
      </c>
      <c r="C458" s="17" t="s">
        <v>1663</v>
      </c>
      <c r="D458" s="65" t="s">
        <v>1619</v>
      </c>
      <c r="E458" s="65"/>
      <c r="F458" t="s">
        <v>1664</v>
      </c>
      <c r="G458" s="161">
        <f>MONTH(EJECUTADO[[#This Row],[FECHA]])</f>
        <v>2</v>
      </c>
      <c r="H458" s="163" t="str">
        <f>MID(EJECUTADO[[#This Row],[CUENTA]],1,4)</f>
        <v>E-13</v>
      </c>
      <c r="I458" s="163" t="str">
        <f>INDEX(CATALOGO[Descripción],MATCH(EJECUTADO[[#This Row],[APLICACIÓN]]&amp;"-00-00-00",CATALOGO[Código],0))</f>
        <v>MAESTRIAS Y POSTGRADOS</v>
      </c>
      <c r="J4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INSTALACIONES Y FUMIGACIONES</v>
      </c>
      <c r="K458" s="161" t="str">
        <f>IF((EJECUTADO[[#This Row],[MONTO DISPONIBLE ]]-EJECUTADO[[#This Row],[MONTO SOLICITADO]])&gt;=0,"PRESUPUESTO: SI","PRESUPUESTO: NO")</f>
        <v>PRESUPUESTO: SI</v>
      </c>
      <c r="L458" s="162">
        <f>SUMIF(PRESUPUESTO[CUENTA],EJECUTADO[[#This Row],[CUENTA]],PRESUPUESTO[MONTO])-SUMIF($F$1:F457,EJECUTADO[[#This Row],[CUENTA]],$M$1:M457)</f>
        <v>2410</v>
      </c>
      <c r="M458" s="2">
        <v>199.68</v>
      </c>
      <c r="N458" s="2"/>
      <c r="O458" s="2"/>
      <c r="P458" s="162">
        <f>+EJECUTADO[[#This Row],[MONTO SOLICITADO]]-EJECUTADO[[#This Row],[RETENCION IVA]]-EJECUTADO[[#This Row],[RETENCION ISR]]</f>
        <v>199.68</v>
      </c>
      <c r="Q458" s="84" t="s">
        <v>1000</v>
      </c>
      <c r="R458" s="2"/>
      <c r="S458">
        <v>1</v>
      </c>
      <c r="T458" s="168" t="str">
        <f t="shared" si="14"/>
        <v>MAESTRIAS Y POSTGRADOS - MANTENIMIENTO INSTALACIONES Y FUMIGACIONES Disponible $2410 Solicitado $199.68 PRESUPUESTO: SI</v>
      </c>
    </row>
    <row r="459" spans="1:20" ht="30" x14ac:dyDescent="0.25">
      <c r="A459" s="6">
        <f t="shared" si="15"/>
        <v>456</v>
      </c>
      <c r="B459" s="21">
        <v>45338</v>
      </c>
      <c r="C459" s="17" t="s">
        <v>1330</v>
      </c>
      <c r="D459" s="65" t="s">
        <v>523</v>
      </c>
      <c r="E459" s="65"/>
      <c r="F459" t="s">
        <v>1332</v>
      </c>
      <c r="G459" s="161">
        <f>MONTH(EJECUTADO[[#This Row],[FECHA]])</f>
        <v>2</v>
      </c>
      <c r="H459" s="163" t="str">
        <f>MID(EJECUTADO[[#This Row],[CUENTA]],1,4)</f>
        <v>E-17</v>
      </c>
      <c r="I459" s="163" t="str">
        <f>INDEX(CATALOGO[Descripción],MATCH(EJECUTADO[[#This Row],[APLICACIÓN]]&amp;"-00-00-00",CATALOGO[Código],0))</f>
        <v>MEDIOS DE COMUNICACIÓN</v>
      </c>
      <c r="J4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459" s="161" t="str">
        <f>IF((EJECUTADO[[#This Row],[MONTO DISPONIBLE ]]-EJECUTADO[[#This Row],[MONTO SOLICITADO]])&gt;=0,"PRESUPUESTO: SI","PRESUPUESTO: NO")</f>
        <v>PRESUPUESTO: SI</v>
      </c>
      <c r="L459" s="162">
        <f>SUMIF(PRESUPUESTO[CUENTA],EJECUTADO[[#This Row],[CUENTA]],PRESUPUESTO[MONTO])-SUMIF($F$1:F458,EJECUTADO[[#This Row],[CUENTA]],$M$1:M458)</f>
        <v>2200</v>
      </c>
      <c r="M459" s="2">
        <v>100</v>
      </c>
      <c r="N459" s="2"/>
      <c r="O459" s="2"/>
      <c r="P459" s="162">
        <f>+EJECUTADO[[#This Row],[MONTO SOLICITADO]]-EJECUTADO[[#This Row],[RETENCION IVA]]-EJECUTADO[[#This Row],[RETENCION ISR]]</f>
        <v>100</v>
      </c>
      <c r="Q459" s="84" t="s">
        <v>1000</v>
      </c>
      <c r="R459" s="2"/>
      <c r="S459">
        <v>1</v>
      </c>
      <c r="T459" s="168" t="str">
        <f t="shared" si="14"/>
        <v>MEDIOS DE COMUNICACIÓN - Publicaciones - Estipendios pasantes 2 (Daniel Durán y Adriana Arteaga) Disponible $2200 Solicitado $100 PRESUPUESTO: SI</v>
      </c>
    </row>
    <row r="460" spans="1:20" ht="30" x14ac:dyDescent="0.25">
      <c r="A460" s="6">
        <f t="shared" si="15"/>
        <v>457</v>
      </c>
      <c r="B460" s="21">
        <v>45338</v>
      </c>
      <c r="C460" s="17" t="s">
        <v>1333</v>
      </c>
      <c r="D460" s="65" t="s">
        <v>523</v>
      </c>
      <c r="E460" s="65"/>
      <c r="F460" t="s">
        <v>1335</v>
      </c>
      <c r="G460" s="161">
        <f>MONTH(EJECUTADO[[#This Row],[FECHA]])</f>
        <v>2</v>
      </c>
      <c r="H460" s="163" t="str">
        <f>MID(EJECUTADO[[#This Row],[CUENTA]],1,4)</f>
        <v>E-17</v>
      </c>
      <c r="I460" s="163" t="str">
        <f>INDEX(CATALOGO[Descripción],MATCH(EJECUTADO[[#This Row],[APLICACIÓN]]&amp;"-00-00-00",CATALOGO[Código],0))</f>
        <v>MEDIOS DE COMUNICACIÓN</v>
      </c>
      <c r="J4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460" s="161" t="str">
        <f>IF((EJECUTADO[[#This Row],[MONTO DISPONIBLE ]]-EJECUTADO[[#This Row],[MONTO SOLICITADO]])&gt;=0,"PRESUPUESTO: SI","PRESUPUESTO: NO")</f>
        <v>PRESUPUESTO: SI</v>
      </c>
      <c r="L460" s="162">
        <f>SUMIF(PRESUPUESTO[CUENTA],EJECUTADO[[#This Row],[CUENTA]],PRESUPUESTO[MONTO])-SUMIF($F$1:F459,EJECUTADO[[#This Row],[CUENTA]],$M$1:M459)</f>
        <v>1000</v>
      </c>
      <c r="M460" s="2">
        <v>100</v>
      </c>
      <c r="N460" s="2"/>
      <c r="O460" s="2"/>
      <c r="P460" s="162">
        <f>+EJECUTADO[[#This Row],[MONTO SOLICITADO]]-EJECUTADO[[#This Row],[RETENCION IVA]]-EJECUTADO[[#This Row],[RETENCION ISR]]</f>
        <v>100</v>
      </c>
      <c r="Q460" s="84" t="s">
        <v>1000</v>
      </c>
      <c r="R460" s="2"/>
      <c r="S460">
        <v>1</v>
      </c>
      <c r="T460" s="168" t="str">
        <f t="shared" si="14"/>
        <v>MEDIOS DE COMUNICACIÓN - Estudio de TV - Estipendio pasante (1) (Yuri Sosa) - Estudio de TV Disponible $1000 Solicitado $100 PRESUPUESTO: SI</v>
      </c>
    </row>
    <row r="461" spans="1:20" x14ac:dyDescent="0.25">
      <c r="A461" s="6">
        <f t="shared" si="15"/>
        <v>458</v>
      </c>
      <c r="B461" s="21">
        <v>45338</v>
      </c>
      <c r="C461" s="17" t="s">
        <v>1665</v>
      </c>
      <c r="D461" s="65" t="s">
        <v>523</v>
      </c>
      <c r="E461" s="65"/>
      <c r="F461" t="s">
        <v>1335</v>
      </c>
      <c r="G461" s="161">
        <f>MONTH(EJECUTADO[[#This Row],[FECHA]])</f>
        <v>2</v>
      </c>
      <c r="H461" s="163" t="str">
        <f>MID(EJECUTADO[[#This Row],[CUENTA]],1,4)</f>
        <v>E-17</v>
      </c>
      <c r="I461" s="163" t="str">
        <f>INDEX(CATALOGO[Descripción],MATCH(EJECUTADO[[#This Row],[APLICACIÓN]]&amp;"-00-00-00",CATALOGO[Código],0))</f>
        <v>MEDIOS DE COMUNICACIÓN</v>
      </c>
      <c r="J4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461" s="161" t="str">
        <f>IF((EJECUTADO[[#This Row],[MONTO DISPONIBLE ]]-EJECUTADO[[#This Row],[MONTO SOLICITADO]])&gt;=0,"PRESUPUESTO: SI","PRESUPUESTO: NO")</f>
        <v>PRESUPUESTO: SI</v>
      </c>
      <c r="L461" s="162">
        <f>SUMIF(PRESUPUESTO[CUENTA],EJECUTADO[[#This Row],[CUENTA]],PRESUPUESTO[MONTO])-SUMIF($F$1:F460,EJECUTADO[[#This Row],[CUENTA]],$M$1:M460)</f>
        <v>900</v>
      </c>
      <c r="M461" s="2">
        <v>100</v>
      </c>
      <c r="N461" s="2"/>
      <c r="O461" s="2"/>
      <c r="P461" s="162">
        <f>+EJECUTADO[[#This Row],[MONTO SOLICITADO]]-EJECUTADO[[#This Row],[RETENCION IVA]]-EJECUTADO[[#This Row],[RETENCION ISR]]</f>
        <v>100</v>
      </c>
      <c r="Q461" s="84" t="s">
        <v>1000</v>
      </c>
      <c r="R461" s="2"/>
      <c r="S461">
        <v>1</v>
      </c>
      <c r="T461" s="168" t="str">
        <f t="shared" si="14"/>
        <v>MEDIOS DE COMUNICACIÓN - Estudio de TV - Estipendio pasante (1) (Yuri Sosa) - Estudio de TV Disponible $900 Solicitado $100 PRESUPUESTO: SI</v>
      </c>
    </row>
    <row r="462" spans="1:20" ht="30" x14ac:dyDescent="0.25">
      <c r="A462" s="6">
        <f t="shared" si="15"/>
        <v>459</v>
      </c>
      <c r="B462" s="21">
        <v>45338</v>
      </c>
      <c r="C462" s="17" t="s">
        <v>1337</v>
      </c>
      <c r="D462" s="65" t="s">
        <v>523</v>
      </c>
      <c r="E462" s="65"/>
      <c r="F462" t="s">
        <v>1332</v>
      </c>
      <c r="G462" s="161">
        <f>MONTH(EJECUTADO[[#This Row],[FECHA]])</f>
        <v>2</v>
      </c>
      <c r="H462" s="163" t="str">
        <f>MID(EJECUTADO[[#This Row],[CUENTA]],1,4)</f>
        <v>E-17</v>
      </c>
      <c r="I462" s="163" t="str">
        <f>INDEX(CATALOGO[Descripción],MATCH(EJECUTADO[[#This Row],[APLICACIÓN]]&amp;"-00-00-00",CATALOGO[Código],0))</f>
        <v>MEDIOS DE COMUNICACIÓN</v>
      </c>
      <c r="J4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462" s="161" t="str">
        <f>IF((EJECUTADO[[#This Row],[MONTO DISPONIBLE ]]-EJECUTADO[[#This Row],[MONTO SOLICITADO]])&gt;=0,"PRESUPUESTO: SI","PRESUPUESTO: NO")</f>
        <v>PRESUPUESTO: SI</v>
      </c>
      <c r="L462" s="162">
        <f>SUMIF(PRESUPUESTO[CUENTA],EJECUTADO[[#This Row],[CUENTA]],PRESUPUESTO[MONTO])-SUMIF($F$1:F461,EJECUTADO[[#This Row],[CUENTA]],$M$1:M461)</f>
        <v>2100</v>
      </c>
      <c r="M462" s="2">
        <v>100</v>
      </c>
      <c r="N462" s="2"/>
      <c r="O462" s="2"/>
      <c r="P462" s="162">
        <f>+EJECUTADO[[#This Row],[MONTO SOLICITADO]]-EJECUTADO[[#This Row],[RETENCION IVA]]-EJECUTADO[[#This Row],[RETENCION ISR]]</f>
        <v>100</v>
      </c>
      <c r="Q462" s="84" t="s">
        <v>1000</v>
      </c>
      <c r="R462" s="2"/>
      <c r="S462">
        <v>1</v>
      </c>
      <c r="T462" s="168" t="str">
        <f t="shared" si="14"/>
        <v>MEDIOS DE COMUNICACIÓN - Publicaciones - Estipendios pasantes 2 (Daniel Durán y Adriana Arteaga) Disponible $2100 Solicitado $100 PRESUPUESTO: SI</v>
      </c>
    </row>
    <row r="463" spans="1:20" x14ac:dyDescent="0.25">
      <c r="A463" s="6">
        <f t="shared" si="15"/>
        <v>460</v>
      </c>
      <c r="B463" s="21">
        <v>45338</v>
      </c>
      <c r="C463" s="17" t="s">
        <v>1338</v>
      </c>
      <c r="D463" s="65" t="s">
        <v>523</v>
      </c>
      <c r="E463" s="65"/>
      <c r="F463" t="s">
        <v>1339</v>
      </c>
      <c r="G463" s="161">
        <f>MONTH(EJECUTADO[[#This Row],[FECHA]])</f>
        <v>2</v>
      </c>
      <c r="H463" s="163" t="str">
        <f>MID(EJECUTADO[[#This Row],[CUENTA]],1,4)</f>
        <v>E-18</v>
      </c>
      <c r="I463" s="163" t="str">
        <f>INDEX(CATALOGO[Descripción],MATCH(EJECUTADO[[#This Row],[APLICACIÓN]]&amp;"-00-00-00",CATALOGO[Código],0))</f>
        <v>COMUNICACIÓN INSTITUCIONAL</v>
      </c>
      <c r="J4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Com. Interna - Estipendio pasante (Maria José Arteaga) </v>
      </c>
      <c r="K463" s="161" t="str">
        <f>IF((EJECUTADO[[#This Row],[MONTO DISPONIBLE ]]-EJECUTADO[[#This Row],[MONTO SOLICITADO]])&gt;=0,"PRESUPUESTO: SI","PRESUPUESTO: NO")</f>
        <v>PRESUPUESTO: SI</v>
      </c>
      <c r="L463" s="162">
        <f>SUMIF(PRESUPUESTO[CUENTA],EJECUTADO[[#This Row],[CUENTA]],PRESUPUESTO[MONTO])-SUMIF($F$1:F462,EJECUTADO[[#This Row],[CUENTA]],$M$1:M462)</f>
        <v>1100</v>
      </c>
      <c r="M463" s="2">
        <v>100</v>
      </c>
      <c r="N463" s="2"/>
      <c r="O463" s="2"/>
      <c r="P463" s="162">
        <f>+EJECUTADO[[#This Row],[MONTO SOLICITADO]]-EJECUTADO[[#This Row],[RETENCION IVA]]-EJECUTADO[[#This Row],[RETENCION ISR]]</f>
        <v>100</v>
      </c>
      <c r="Q463" s="84" t="s">
        <v>1000</v>
      </c>
      <c r="R463" s="2"/>
      <c r="S463">
        <v>1</v>
      </c>
      <c r="T463" s="168" t="str">
        <f t="shared" si="14"/>
        <v>COMUNICACIÓN INSTITUCIONAL - Com. Interna - Estipendio pasante (Maria José Arteaga)  Disponible $1100 Solicitado $100 PRESUPUESTO: SI</v>
      </c>
    </row>
    <row r="464" spans="1:20" x14ac:dyDescent="0.25">
      <c r="A464" s="6">
        <f t="shared" si="15"/>
        <v>461</v>
      </c>
      <c r="B464" s="21">
        <v>45338</v>
      </c>
      <c r="C464" s="17" t="s">
        <v>1212</v>
      </c>
      <c r="D464" s="65" t="s">
        <v>1666</v>
      </c>
      <c r="E464" s="65"/>
      <c r="F464" t="s">
        <v>1265</v>
      </c>
      <c r="G464" s="161">
        <f>MONTH(EJECUTADO[[#This Row],[FECHA]])</f>
        <v>2</v>
      </c>
      <c r="H464" s="163" t="str">
        <f>MID(EJECUTADO[[#This Row],[CUENTA]],1,4)</f>
        <v>E-23</v>
      </c>
      <c r="I464" s="163" t="str">
        <f>INDEX(CATALOGO[Descripción],MATCH(EJECUTADO[[#This Row],[APLICACIÓN]]&amp;"-00-00-00",CATALOGO[Código],0))</f>
        <v>GASTOS DE VIAJE</v>
      </c>
      <c r="J4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464" s="161" t="str">
        <f>IF((EJECUTADO[[#This Row],[MONTO DISPONIBLE ]]-EJECUTADO[[#This Row],[MONTO SOLICITADO]])&gt;=0,"PRESUPUESTO: SI","PRESUPUESTO: NO")</f>
        <v>PRESUPUESTO: SI</v>
      </c>
      <c r="L464" s="162">
        <f>SUMIF(PRESUPUESTO[CUENTA],EJECUTADO[[#This Row],[CUENTA]],PRESUPUESTO[MONTO])-SUMIF($F$1:F463,EJECUTADO[[#This Row],[CUENTA]],$M$1:M463)</f>
        <v>24200</v>
      </c>
      <c r="M464" s="2">
        <v>400</v>
      </c>
      <c r="N464" s="2"/>
      <c r="O464" s="2"/>
      <c r="P464" s="162">
        <f>+EJECUTADO[[#This Row],[MONTO SOLICITADO]]-EJECUTADO[[#This Row],[RETENCION IVA]]-EJECUTADO[[#This Row],[RETENCION ISR]]</f>
        <v>400</v>
      </c>
      <c r="Q464" s="84" t="s">
        <v>1000</v>
      </c>
      <c r="R464" s="2"/>
      <c r="S464">
        <v>1</v>
      </c>
      <c r="T464" s="168" t="str">
        <f t="shared" si="14"/>
        <v>GASTOS DE VIAJE - Servicio combustible Disponible $24200 Solicitado $400 PRESUPUESTO: SI</v>
      </c>
    </row>
    <row r="465" spans="1:20" ht="30" x14ac:dyDescent="0.25">
      <c r="A465" s="6">
        <f t="shared" si="15"/>
        <v>462</v>
      </c>
      <c r="B465" s="21">
        <v>45338</v>
      </c>
      <c r="C465" s="17" t="s">
        <v>1165</v>
      </c>
      <c r="D465" s="65" t="s">
        <v>1667</v>
      </c>
      <c r="E465" s="65"/>
      <c r="F465" t="s">
        <v>1171</v>
      </c>
      <c r="G465" s="161">
        <f>MONTH(EJECUTADO[[#This Row],[FECHA]])</f>
        <v>2</v>
      </c>
      <c r="H465" s="163" t="str">
        <f>MID(EJECUTADO[[#This Row],[CUENTA]],1,4)</f>
        <v>E-24</v>
      </c>
      <c r="I465" s="163" t="str">
        <f>INDEX(CATALOGO[Descripción],MATCH(EJECUTADO[[#This Row],[APLICACIÓN]]&amp;"-00-00-00",CATALOGO[Código],0))</f>
        <v>NUEVO INGRESO</v>
      </c>
      <c r="J4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465" s="161" t="str">
        <f>IF((EJECUTADO[[#This Row],[MONTO DISPONIBLE ]]-EJECUTADO[[#This Row],[MONTO SOLICITADO]])&gt;=0,"PRESUPUESTO: SI","PRESUPUESTO: NO")</f>
        <v>PRESUPUESTO: SI</v>
      </c>
      <c r="L465" s="162">
        <f>SUMIF(PRESUPUESTO[CUENTA],EJECUTADO[[#This Row],[CUENTA]],PRESUPUESTO[MONTO])-SUMIF($F$1:F464,EJECUTADO[[#This Row],[CUENTA]],$M$1:M464)</f>
        <v>37050.6</v>
      </c>
      <c r="M465" s="2">
        <v>3107.5</v>
      </c>
      <c r="N465" s="2"/>
      <c r="O465" s="2"/>
      <c r="P465" s="162">
        <f>+EJECUTADO[[#This Row],[MONTO SOLICITADO]]-EJECUTADO[[#This Row],[RETENCION IVA]]-EJECUTADO[[#This Row],[RETENCION ISR]]</f>
        <v>3107.5</v>
      </c>
      <c r="Q465" s="84" t="s">
        <v>1000</v>
      </c>
      <c r="R465" s="2"/>
      <c r="S465">
        <v>1</v>
      </c>
      <c r="T465" s="168" t="str">
        <f t="shared" si="14"/>
        <v>NUEVO INGRESO - Metrocentro - Alquiler de Local $ 3108*12  Disponible $37050.6 Solicitado $3107.5 PRESUPUESTO: SI</v>
      </c>
    </row>
    <row r="466" spans="1:20" ht="30" x14ac:dyDescent="0.25">
      <c r="A466" s="6">
        <f t="shared" si="15"/>
        <v>463</v>
      </c>
      <c r="B466" s="21">
        <v>45338</v>
      </c>
      <c r="C466" s="17" t="s">
        <v>1165</v>
      </c>
      <c r="D466" s="65" t="s">
        <v>1201</v>
      </c>
      <c r="E466" s="65"/>
      <c r="F466" t="s">
        <v>1169</v>
      </c>
      <c r="G466" s="161">
        <f>MONTH(EJECUTADO[[#This Row],[FECHA]])</f>
        <v>2</v>
      </c>
      <c r="H466" s="163" t="str">
        <f>MID(EJECUTADO[[#This Row],[CUENTA]],1,4)</f>
        <v>E-24</v>
      </c>
      <c r="I466" s="163" t="str">
        <f>INDEX(CATALOGO[Descripción],MATCH(EJECUTADO[[#This Row],[APLICACIÓN]]&amp;"-00-00-00",CATALOGO[Código],0))</f>
        <v>NUEVO INGRESO</v>
      </c>
      <c r="J4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Aromatización $ 55.00 * 12</v>
      </c>
      <c r="K466" s="161" t="str">
        <f>IF((EJECUTADO[[#This Row],[MONTO DISPONIBLE ]]-EJECUTADO[[#This Row],[MONTO SOLICITADO]])&gt;=0,"PRESUPUESTO: SI","PRESUPUESTO: NO")</f>
        <v>PRESUPUESTO: NO</v>
      </c>
      <c r="L466" s="162">
        <f>SUMIF(PRESUPUESTO[CUENTA],EJECUTADO[[#This Row],[CUENTA]],PRESUPUESTO[MONTO])-SUMIF($F$1:F465,EJECUTADO[[#This Row],[CUENTA]],$M$1:M465)</f>
        <v>47.789999999999964</v>
      </c>
      <c r="M466" s="2">
        <v>311.97000000000003</v>
      </c>
      <c r="N466" s="2"/>
      <c r="O466" s="2"/>
      <c r="P466" s="162">
        <f>+EJECUTADO[[#This Row],[MONTO SOLICITADO]]-EJECUTADO[[#This Row],[RETENCION IVA]]-EJECUTADO[[#This Row],[RETENCION ISR]]</f>
        <v>311.97000000000003</v>
      </c>
      <c r="Q466" s="84" t="s">
        <v>1000</v>
      </c>
      <c r="R466" s="2"/>
      <c r="S466">
        <v>1</v>
      </c>
      <c r="T466" s="168" t="str">
        <f t="shared" si="14"/>
        <v>NUEVO INGRESO - Metrocentro - Aromatización $ 55.00 * 12 Disponible $47.79 Solicitado $311.97 PRESUPUESTO: NO</v>
      </c>
    </row>
    <row r="467" spans="1:20" x14ac:dyDescent="0.25">
      <c r="A467" s="6">
        <f t="shared" si="15"/>
        <v>464</v>
      </c>
      <c r="B467" s="21">
        <v>45338</v>
      </c>
      <c r="C467" s="17" t="s">
        <v>1165</v>
      </c>
      <c r="D467" s="65" t="s">
        <v>1668</v>
      </c>
      <c r="E467" s="65"/>
      <c r="F467" t="s">
        <v>1669</v>
      </c>
      <c r="G467" s="161">
        <f>MONTH(EJECUTADO[[#This Row],[FECHA]])</f>
        <v>2</v>
      </c>
      <c r="H467" s="163" t="str">
        <f>MID(EJECUTADO[[#This Row],[CUENTA]],1,4)</f>
        <v>E-24</v>
      </c>
      <c r="I467" s="163" t="str">
        <f>INDEX(CATALOGO[Descripción],MATCH(EJECUTADO[[#This Row],[APLICACIÓN]]&amp;"-00-00-00",CATALOGO[Código],0))</f>
        <v>NUEVO INGRESO</v>
      </c>
      <c r="J46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467" s="161" t="str">
        <f>IF((EJECUTADO[[#This Row],[MONTO DISPONIBLE ]]-EJECUTADO[[#This Row],[MONTO SOLICITADO]])&gt;=0,"PRESUPUESTO: SI","PRESUPUESTO: NO")</f>
        <v>PRESUPUESTO: NO</v>
      </c>
      <c r="L467" s="162">
        <f>SUMIF(PRESUPUESTO[CUENTA],EJECUTADO[[#This Row],[CUENTA]],PRESUPUESTO[MONTO])-SUMIF($F$1:F466,EJECUTADO[[#This Row],[CUENTA]],$M$1:M466)</f>
        <v>0</v>
      </c>
      <c r="M467" s="2">
        <v>55.21</v>
      </c>
      <c r="N467" s="2"/>
      <c r="O467" s="2"/>
      <c r="P467" s="162">
        <f>+EJECUTADO[[#This Row],[MONTO SOLICITADO]]-EJECUTADO[[#This Row],[RETENCION IVA]]-EJECUTADO[[#This Row],[RETENCION ISR]]</f>
        <v>55.21</v>
      </c>
      <c r="Q467" s="84" t="s">
        <v>1000</v>
      </c>
      <c r="R467" s="2"/>
      <c r="S467">
        <v>1</v>
      </c>
      <c r="T467" s="168" t="e">
        <f t="shared" si="14"/>
        <v>#N/A</v>
      </c>
    </row>
    <row r="468" spans="1:20" x14ac:dyDescent="0.25">
      <c r="A468" s="6">
        <f t="shared" si="15"/>
        <v>465</v>
      </c>
      <c r="B468" s="21">
        <v>45338</v>
      </c>
      <c r="C468" s="17" t="s">
        <v>1165</v>
      </c>
      <c r="D468" s="65" t="s">
        <v>1172</v>
      </c>
      <c r="E468" s="65"/>
      <c r="F468" t="s">
        <v>1670</v>
      </c>
      <c r="G468" s="161">
        <f>MONTH(EJECUTADO[[#This Row],[FECHA]])</f>
        <v>2</v>
      </c>
      <c r="H468" s="163" t="str">
        <f>MID(EJECUTADO[[#This Row],[CUENTA]],1,4)</f>
        <v>E-24</v>
      </c>
      <c r="I468" s="163" t="str">
        <f>INDEX(CATALOGO[Descripción],MATCH(EJECUTADO[[#This Row],[APLICACIÓN]]&amp;"-00-00-00",CATALOGO[Código],0))</f>
        <v>NUEVO INGRESO</v>
      </c>
      <c r="J46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468" s="161" t="str">
        <f>IF((EJECUTADO[[#This Row],[MONTO DISPONIBLE ]]-EJECUTADO[[#This Row],[MONTO SOLICITADO]])&gt;=0,"PRESUPUESTO: SI","PRESUPUESTO: NO")</f>
        <v>PRESUPUESTO: NO</v>
      </c>
      <c r="L468" s="162">
        <f>SUMIF(PRESUPUESTO[CUENTA],EJECUTADO[[#This Row],[CUENTA]],PRESUPUESTO[MONTO])-SUMIF($F$1:F467,EJECUTADO[[#This Row],[CUENTA]],$M$1:M467)</f>
        <v>0</v>
      </c>
      <c r="M468" s="2">
        <v>56.6</v>
      </c>
      <c r="N468" s="2"/>
      <c r="O468" s="2"/>
      <c r="P468" s="162">
        <f>+EJECUTADO[[#This Row],[MONTO SOLICITADO]]-EJECUTADO[[#This Row],[RETENCION IVA]]-EJECUTADO[[#This Row],[RETENCION ISR]]</f>
        <v>56.6</v>
      </c>
      <c r="Q468" s="84" t="s">
        <v>1000</v>
      </c>
      <c r="R468" s="2"/>
      <c r="S468">
        <v>1</v>
      </c>
      <c r="T468" s="168" t="e">
        <f t="shared" si="14"/>
        <v>#N/A</v>
      </c>
    </row>
    <row r="469" spans="1:20" x14ac:dyDescent="0.25">
      <c r="A469" s="6">
        <f t="shared" si="15"/>
        <v>466</v>
      </c>
      <c r="B469" s="21">
        <v>45338</v>
      </c>
      <c r="C469" s="17" t="s">
        <v>1165</v>
      </c>
      <c r="D469" s="65" t="s">
        <v>249</v>
      </c>
      <c r="E469" s="65"/>
      <c r="F469" t="s">
        <v>1671</v>
      </c>
      <c r="G469" s="161">
        <f>MONTH(EJECUTADO[[#This Row],[FECHA]])</f>
        <v>2</v>
      </c>
      <c r="H469" s="163" t="str">
        <f>MID(EJECUTADO[[#This Row],[CUENTA]],1,4)</f>
        <v>E-24</v>
      </c>
      <c r="I469" s="163" t="str">
        <f>INDEX(CATALOGO[Descripción],MATCH(EJECUTADO[[#This Row],[APLICACIÓN]]&amp;"-00-00-00",CATALOGO[Código],0))</f>
        <v>NUEVO INGRESO</v>
      </c>
      <c r="J46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469" s="161" t="str">
        <f>IF((EJECUTADO[[#This Row],[MONTO DISPONIBLE ]]-EJECUTADO[[#This Row],[MONTO SOLICITADO]])&gt;=0,"PRESUPUESTO: SI","PRESUPUESTO: NO")</f>
        <v>PRESUPUESTO: NO</v>
      </c>
      <c r="L469" s="162">
        <f>SUMIF(PRESUPUESTO[CUENTA],EJECUTADO[[#This Row],[CUENTA]],PRESUPUESTO[MONTO])-SUMIF($F$1:F468,EJECUTADO[[#This Row],[CUENTA]],$M$1:M468)</f>
        <v>0</v>
      </c>
      <c r="M469" s="2">
        <v>18.079999999999998</v>
      </c>
      <c r="N469" s="2"/>
      <c r="O469" s="2"/>
      <c r="P469" s="162">
        <f>+EJECUTADO[[#This Row],[MONTO SOLICITADO]]-EJECUTADO[[#This Row],[RETENCION IVA]]-EJECUTADO[[#This Row],[RETENCION ISR]]</f>
        <v>18.079999999999998</v>
      </c>
      <c r="Q469" s="84" t="s">
        <v>1000</v>
      </c>
      <c r="R469" s="2"/>
      <c r="S469">
        <v>1</v>
      </c>
      <c r="T469" s="168" t="e">
        <f t="shared" si="14"/>
        <v>#N/A</v>
      </c>
    </row>
    <row r="470" spans="1:20" x14ac:dyDescent="0.25">
      <c r="A470" s="6">
        <f t="shared" si="15"/>
        <v>467</v>
      </c>
      <c r="B470" s="21">
        <v>45338</v>
      </c>
      <c r="C470" s="17" t="s">
        <v>1157</v>
      </c>
      <c r="D470" s="65" t="s">
        <v>1172</v>
      </c>
      <c r="E470" s="65"/>
      <c r="F470" t="s">
        <v>1161</v>
      </c>
      <c r="G470" s="161">
        <f>MONTH(EJECUTADO[[#This Row],[FECHA]])</f>
        <v>2</v>
      </c>
      <c r="H470" s="163" t="str">
        <f>MID(EJECUTADO[[#This Row],[CUENTA]],1,4)</f>
        <v>E-24</v>
      </c>
      <c r="I470" s="163" t="str">
        <f>INDEX(CATALOGO[Descripción],MATCH(EJECUTADO[[#This Row],[APLICACIÓN]]&amp;"-00-00-00",CATALOGO[Código],0))</f>
        <v>NUEVO INGRESO</v>
      </c>
      <c r="J4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Mtto aire acondicionado  $ 35.00</v>
      </c>
      <c r="K470" s="161" t="str">
        <f>IF((EJECUTADO[[#This Row],[MONTO DISPONIBLE ]]-EJECUTADO[[#This Row],[MONTO SOLICITADO]])&gt;=0,"PRESUPUESTO: SI","PRESUPUESTO: NO")</f>
        <v>PRESUPUESTO: SI</v>
      </c>
      <c r="L470" s="162">
        <f>SUMIF(PRESUPUESTO[CUENTA],EJECUTADO[[#This Row],[CUENTA]],PRESUPUESTO[MONTO])-SUMIF($F$1:F469,EJECUTADO[[#This Row],[CUENTA]],$M$1:M469)</f>
        <v>210.95</v>
      </c>
      <c r="M470" s="2">
        <v>209.05</v>
      </c>
      <c r="N470" s="2"/>
      <c r="O470" s="2"/>
      <c r="P470" s="162">
        <f>+EJECUTADO[[#This Row],[MONTO SOLICITADO]]-EJECUTADO[[#This Row],[RETENCION IVA]]-EJECUTADO[[#This Row],[RETENCION ISR]]</f>
        <v>209.05</v>
      </c>
      <c r="Q470" s="84" t="s">
        <v>1000</v>
      </c>
      <c r="R470" s="2"/>
      <c r="S470">
        <v>1</v>
      </c>
      <c r="T470" s="168" t="str">
        <f t="shared" si="14"/>
        <v>NUEVO INGRESO - Plaza Mundo - Mtto aire acondicionado  $ 35.00 Disponible $210.95 Solicitado $209.05 PRESUPUESTO: SI</v>
      </c>
    </row>
    <row r="471" spans="1:20" ht="45" x14ac:dyDescent="0.25">
      <c r="A471" s="6">
        <f t="shared" si="15"/>
        <v>468</v>
      </c>
      <c r="B471" s="21">
        <v>45338</v>
      </c>
      <c r="C471" s="17" t="s">
        <v>1672</v>
      </c>
      <c r="D471" s="65" t="s">
        <v>1673</v>
      </c>
      <c r="E471" s="65"/>
      <c r="F471" t="s">
        <v>1167</v>
      </c>
      <c r="G471" s="161">
        <f>MONTH(EJECUTADO[[#This Row],[FECHA]])</f>
        <v>2</v>
      </c>
      <c r="H471" s="163" t="str">
        <f>MID(EJECUTADO[[#This Row],[CUENTA]],1,4)</f>
        <v>E-24</v>
      </c>
      <c r="I471" s="163" t="str">
        <f>INDEX(CATALOGO[Descripción],MATCH(EJECUTADO[[#This Row],[APLICACIÓN]]&amp;"-00-00-00",CATALOGO[Código],0))</f>
        <v>NUEVO INGRESO</v>
      </c>
      <c r="J4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471" s="161" t="str">
        <f>IF((EJECUTADO[[#This Row],[MONTO DISPONIBLE ]]-EJECUTADO[[#This Row],[MONTO SOLICITADO]])&gt;=0,"PRESUPUESTO: SI","PRESUPUESTO: NO")</f>
        <v>PRESUPUESTO: NO</v>
      </c>
      <c r="L471" s="162">
        <f>SUMIF(PRESUPUESTO[CUENTA],EJECUTADO[[#This Row],[CUENTA]],PRESUPUESTO[MONTO])-SUMIF($F$1:F470,EJECUTADO[[#This Row],[CUENTA]],$M$1:M470)</f>
        <v>-1074.1300000000001</v>
      </c>
      <c r="M471" s="2">
        <v>19.38</v>
      </c>
      <c r="N471" s="2"/>
      <c r="O471" s="2"/>
      <c r="P471" s="162">
        <f>+EJECUTADO[[#This Row],[MONTO SOLICITADO]]-EJECUTADO[[#This Row],[RETENCION IVA]]-EJECUTADO[[#This Row],[RETENCION ISR]]</f>
        <v>19.38</v>
      </c>
      <c r="Q471" s="84" t="s">
        <v>1000</v>
      </c>
      <c r="R471" s="2"/>
      <c r="S471">
        <v>1</v>
      </c>
      <c r="T471" s="168" t="str">
        <f t="shared" si="14"/>
        <v>NUEVO INGRESO - Metrocentro - Mantenimiento de local $ 436.23 Disponible $-1074.13 Solicitado $19.38 PRESUPUESTO: NO</v>
      </c>
    </row>
    <row r="472" spans="1:20" ht="30" x14ac:dyDescent="0.25">
      <c r="A472" s="6">
        <f t="shared" si="15"/>
        <v>469</v>
      </c>
      <c r="B472" s="21">
        <v>45338</v>
      </c>
      <c r="C472" s="65" t="s">
        <v>1018</v>
      </c>
      <c r="D472" s="65" t="s">
        <v>1018</v>
      </c>
      <c r="E472" s="65"/>
      <c r="F472" t="s">
        <v>1020</v>
      </c>
      <c r="G472" s="161">
        <f>MONTH(EJECUTADO[[#This Row],[FECHA]])</f>
        <v>2</v>
      </c>
      <c r="H472" s="163" t="str">
        <f>MID(EJECUTADO[[#This Row],[CUENTA]],1,4)</f>
        <v>E-31</v>
      </c>
      <c r="I472" s="163" t="str">
        <f>INDEX(CATALOGO[Descripción],MATCH(EJECUTADO[[#This Row],[APLICACIÓN]]&amp;"-00-00-00",CATALOGO[Código],0))</f>
        <v>DONACIONES</v>
      </c>
      <c r="J4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Asociacion Padre Vito Guarato $ 114.00 x 12</v>
      </c>
      <c r="K472" s="161" t="str">
        <f>IF((EJECUTADO[[#This Row],[MONTO DISPONIBLE ]]-EJECUTADO[[#This Row],[MONTO SOLICITADO]])&gt;=0,"PRESUPUESTO: SI","PRESUPUESTO: NO")</f>
        <v>PRESUPUESTO: SI</v>
      </c>
      <c r="L472" s="162">
        <f>SUMIF(PRESUPUESTO[CUENTA],EJECUTADO[[#This Row],[CUENTA]],PRESUPUESTO[MONTO])-SUMIF($F$1:F471,EJECUTADO[[#This Row],[CUENTA]],$M$1:M471)</f>
        <v>1025.1300000000001</v>
      </c>
      <c r="M472" s="2">
        <v>114.29</v>
      </c>
      <c r="N472" s="2"/>
      <c r="O472" s="2"/>
      <c r="P472" s="162">
        <f>+EJECUTADO[[#This Row],[MONTO SOLICITADO]]-EJECUTADO[[#This Row],[RETENCION IVA]]-EJECUTADO[[#This Row],[RETENCION ISR]]</f>
        <v>114.29</v>
      </c>
      <c r="Q472" s="84" t="s">
        <v>1000</v>
      </c>
      <c r="R472" s="2"/>
      <c r="S472">
        <v>1</v>
      </c>
      <c r="T472" s="168" t="str">
        <f t="shared" si="14"/>
        <v>DONACIONES - Asociacion Padre Vito Guarato $ 114.00 x 12 Disponible $1025.13 Solicitado $114.29 PRESUPUESTO: SI</v>
      </c>
    </row>
    <row r="473" spans="1:20" ht="30" x14ac:dyDescent="0.25">
      <c r="A473" s="6">
        <f t="shared" si="15"/>
        <v>470</v>
      </c>
      <c r="B473" s="21">
        <v>45338</v>
      </c>
      <c r="C473" s="17" t="s">
        <v>1415</v>
      </c>
      <c r="D473" s="65" t="s">
        <v>1674</v>
      </c>
      <c r="E473" s="65"/>
      <c r="F473" t="s">
        <v>1417</v>
      </c>
      <c r="G473" s="161">
        <f>MONTH(EJECUTADO[[#This Row],[FECHA]])</f>
        <v>2</v>
      </c>
      <c r="H473" s="163" t="str">
        <f>MID(EJECUTADO[[#This Row],[CUENTA]],1,4)</f>
        <v>E-24</v>
      </c>
      <c r="I473" s="163" t="str">
        <f>INDEX(CATALOGO[Descripción],MATCH(EJECUTADO[[#This Row],[APLICACIÓN]]&amp;"-00-00-00",CATALOGO[Código],0))</f>
        <v>NUEVO INGRESO</v>
      </c>
      <c r="J4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 de colegios -Participación en ferias: Counter, Viáticos y hospedaje Ferias</v>
      </c>
      <c r="K473" s="161" t="str">
        <f>IF((EJECUTADO[[#This Row],[MONTO DISPONIBLE ]]-EJECUTADO[[#This Row],[MONTO SOLICITADO]])&gt;=0,"PRESUPUESTO: SI","PRESUPUESTO: NO")</f>
        <v>PRESUPUESTO: SI</v>
      </c>
      <c r="L473" s="162">
        <f>SUMIF(PRESUPUESTO[CUENTA],EJECUTADO[[#This Row],[CUENTA]],PRESUPUESTO[MONTO])-SUMIF($F$1:F472,EJECUTADO[[#This Row],[CUENTA]],$M$1:M472)</f>
        <v>6774</v>
      </c>
      <c r="M473" s="2">
        <v>226</v>
      </c>
      <c r="N473" s="2"/>
      <c r="O473" s="2"/>
      <c r="P473" s="162">
        <f>+EJECUTADO[[#This Row],[MONTO SOLICITADO]]-EJECUTADO[[#This Row],[RETENCION IVA]]-EJECUTADO[[#This Row],[RETENCION ISR]]</f>
        <v>226</v>
      </c>
      <c r="Q473" s="84" t="s">
        <v>1000</v>
      </c>
      <c r="R473" s="2"/>
      <c r="S473">
        <v>1</v>
      </c>
      <c r="T473" s="168" t="str">
        <f t="shared" si="14"/>
        <v>NUEVO INGRESO - Red de colegios -Participación en ferias: Counter, Viáticos y hospedaje Ferias Disponible $6774 Solicitado $226 PRESUPUESTO: SI</v>
      </c>
    </row>
    <row r="474" spans="1:20" ht="45" x14ac:dyDescent="0.25">
      <c r="A474" s="6">
        <f t="shared" si="15"/>
        <v>471</v>
      </c>
      <c r="B474" s="21">
        <v>45338</v>
      </c>
      <c r="C474" s="17" t="s">
        <v>1675</v>
      </c>
      <c r="D474" s="65" t="s">
        <v>1675</v>
      </c>
      <c r="E474" s="65"/>
      <c r="F474" t="s">
        <v>1291</v>
      </c>
      <c r="G474" s="161">
        <f>MONTH(EJECUTADO[[#This Row],[FECHA]])</f>
        <v>2</v>
      </c>
      <c r="H474" s="163" t="str">
        <f>MID(EJECUTADO[[#This Row],[CUENTA]],1,4)</f>
        <v>E-31</v>
      </c>
      <c r="I474" s="163" t="str">
        <f>INDEX(CATALOGO[Descripción],MATCH(EJECUTADO[[#This Row],[APLICACIÓN]]&amp;"-00-00-00",CATALOGO[Código],0))</f>
        <v>DONACIONES</v>
      </c>
      <c r="J4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Historia</v>
      </c>
      <c r="K474" s="161" t="str">
        <f>IF((EJECUTADO[[#This Row],[MONTO DISPONIBLE ]]-EJECUTADO[[#This Row],[MONTO SOLICITADO]])&gt;=0,"PRESUPUESTO: SI","PRESUPUESTO: NO")</f>
        <v>PRESUPUESTO: SI</v>
      </c>
      <c r="L474" s="162">
        <f>SUMIF(PRESUPUESTO[CUENTA],EJECUTADO[[#This Row],[CUENTA]],PRESUPUESTO[MONTO])-SUMIF($F$1:F473,EJECUTADO[[#This Row],[CUENTA]],$M$1:M473)</f>
        <v>5500</v>
      </c>
      <c r="M474" s="2">
        <v>500</v>
      </c>
      <c r="N474" s="2"/>
      <c r="O474" s="2"/>
      <c r="P474" s="162">
        <f>+EJECUTADO[[#This Row],[MONTO SOLICITADO]]-EJECUTADO[[#This Row],[RETENCION IVA]]-EJECUTADO[[#This Row],[RETENCION ISR]]</f>
        <v>500</v>
      </c>
      <c r="Q474" s="84" t="s">
        <v>1000</v>
      </c>
      <c r="R474" s="2"/>
      <c r="S474">
        <v>1</v>
      </c>
      <c r="T474" s="168" t="str">
        <f t="shared" si="14"/>
        <v>DONACIONES - Academia  Salvadoreña de Historia Disponible $5500 Solicitado $500 PRESUPUESTO: SI</v>
      </c>
    </row>
    <row r="475" spans="1:20" ht="45" x14ac:dyDescent="0.25">
      <c r="A475" s="6">
        <f t="shared" si="15"/>
        <v>472</v>
      </c>
      <c r="B475" s="21">
        <v>45338</v>
      </c>
      <c r="C475" s="17" t="s">
        <v>1676</v>
      </c>
      <c r="D475" s="65" t="s">
        <v>1676</v>
      </c>
      <c r="E475" s="65"/>
      <c r="F475" t="s">
        <v>1017</v>
      </c>
      <c r="G475" s="161">
        <f>MONTH(EJECUTADO[[#This Row],[FECHA]])</f>
        <v>2</v>
      </c>
      <c r="H475" s="163" t="str">
        <f>MID(EJECUTADO[[#This Row],[CUENTA]],1,4)</f>
        <v>E-31</v>
      </c>
      <c r="I475" s="163" t="str">
        <f>INDEX(CATALOGO[Descripción],MATCH(EJECUTADO[[#This Row],[APLICACIÓN]]&amp;"-00-00-00",CATALOGO[Código],0))</f>
        <v>DONACIONES</v>
      </c>
      <c r="J4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475" s="161" t="str">
        <f>IF((EJECUTADO[[#This Row],[MONTO DISPONIBLE ]]-EJECUTADO[[#This Row],[MONTO SOLICITADO]])&gt;=0,"PRESUPUESTO: SI","PRESUPUESTO: NO")</f>
        <v>PRESUPUESTO: SI</v>
      </c>
      <c r="L475" s="162">
        <f>SUMIF(PRESUPUESTO[CUENTA],EJECUTADO[[#This Row],[CUENTA]],PRESUPUESTO[MONTO])-SUMIF($F$1:F474,EJECUTADO[[#This Row],[CUENTA]],$M$1:M474)</f>
        <v>5000</v>
      </c>
      <c r="M475" s="2">
        <v>500</v>
      </c>
      <c r="N475" s="2"/>
      <c r="O475" s="2"/>
      <c r="P475" s="162">
        <f>+EJECUTADO[[#This Row],[MONTO SOLICITADO]]-EJECUTADO[[#This Row],[RETENCION IVA]]-EJECUTADO[[#This Row],[RETENCION ISR]]</f>
        <v>500</v>
      </c>
      <c r="Q475" s="84" t="s">
        <v>1000</v>
      </c>
      <c r="R475" s="2"/>
      <c r="S475">
        <v>1</v>
      </c>
      <c r="T475" s="168" t="str">
        <f t="shared" si="14"/>
        <v>DONACIONES - Academia  Salvadoreña de la Lengua Disponible $5000 Solicitado $500 PRESUPUESTO: SI</v>
      </c>
    </row>
    <row r="476" spans="1:20" x14ac:dyDescent="0.25">
      <c r="A476" s="6">
        <f t="shared" si="15"/>
        <v>473</v>
      </c>
      <c r="B476" s="21">
        <v>45338</v>
      </c>
      <c r="C476" s="17" t="s">
        <v>1677</v>
      </c>
      <c r="D476" s="65" t="s">
        <v>1519</v>
      </c>
      <c r="E476" s="65"/>
      <c r="F476" t="s">
        <v>1520</v>
      </c>
      <c r="G476" s="161">
        <f>MONTH(EJECUTADO[[#This Row],[FECHA]])</f>
        <v>2</v>
      </c>
      <c r="H476" s="163" t="str">
        <f>MID(EJECUTADO[[#This Row],[CUENTA]],1,4)</f>
        <v>E-19</v>
      </c>
      <c r="I476" s="163" t="str">
        <f>INDEX(CATALOGO[Descripción],MATCH(EJECUTADO[[#This Row],[APLICACIÓN]]&amp;"-00-00-00",CATALOGO[Código],0))</f>
        <v>MANTENIMIENTO</v>
      </c>
      <c r="J4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Fumigaciones </v>
      </c>
      <c r="K476" s="161" t="str">
        <f>IF((EJECUTADO[[#This Row],[MONTO DISPONIBLE ]]-EJECUTADO[[#This Row],[MONTO SOLICITADO]])&gt;=0,"PRESUPUESTO: SI","PRESUPUESTO: NO")</f>
        <v>PRESUPUESTO: SI</v>
      </c>
      <c r="L476" s="162">
        <f>SUMIF(PRESUPUESTO[CUENTA],EJECUTADO[[#This Row],[CUENTA]],PRESUPUESTO[MONTO])-SUMIF($F$1:F475,EJECUTADO[[#This Row],[CUENTA]],$M$1:M475)</f>
        <v>17915</v>
      </c>
      <c r="M476" s="2">
        <v>55</v>
      </c>
      <c r="N476" s="2"/>
      <c r="O476" s="2"/>
      <c r="P476" s="162">
        <f>+EJECUTADO[[#This Row],[MONTO SOLICITADO]]-EJECUTADO[[#This Row],[RETENCION IVA]]-EJECUTADO[[#This Row],[RETENCION ISR]]</f>
        <v>55</v>
      </c>
      <c r="Q476" s="84" t="s">
        <v>1000</v>
      </c>
      <c r="R476" s="2"/>
      <c r="S476">
        <v>1</v>
      </c>
      <c r="T476" s="168" t="str">
        <f t="shared" si="14"/>
        <v>MANTENIMIENTO - Dir. Mantenimiento - Mantenimiento Fumigaciones  Disponible $17915 Solicitado $55 PRESUPUESTO: SI</v>
      </c>
    </row>
    <row r="477" spans="1:20" ht="60" x14ac:dyDescent="0.25">
      <c r="A477" s="6">
        <f t="shared" si="15"/>
        <v>474</v>
      </c>
      <c r="B477" s="21">
        <v>45338</v>
      </c>
      <c r="C477" s="17" t="s">
        <v>1056</v>
      </c>
      <c r="D477" s="65" t="s">
        <v>1558</v>
      </c>
      <c r="E477" s="65"/>
      <c r="F477" t="s">
        <v>1559</v>
      </c>
      <c r="G477" s="161">
        <f>MONTH(EJECUTADO[[#This Row],[FECHA]])</f>
        <v>2</v>
      </c>
      <c r="H477" s="163" t="str">
        <f>MID(EJECUTADO[[#This Row],[CUENTA]],1,4)</f>
        <v>E-19</v>
      </c>
      <c r="I477" s="163" t="str">
        <f>INDEX(CATALOGO[Descripción],MATCH(EJECUTADO[[#This Row],[APLICACIÓN]]&amp;"-00-00-00",CATALOGO[Código],0))</f>
        <v>MANTENIMIENTO</v>
      </c>
      <c r="J4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Contrato de Mantenimiento Aires Acondicionados </v>
      </c>
      <c r="K477" s="161" t="str">
        <f>IF((EJECUTADO[[#This Row],[MONTO DISPONIBLE ]]-EJECUTADO[[#This Row],[MONTO SOLICITADO]])&gt;=0,"PRESUPUESTO: SI","PRESUPUESTO: NO")</f>
        <v>PRESUPUESTO: SI</v>
      </c>
      <c r="L477" s="162">
        <f>SUMIF(PRESUPUESTO[CUENTA],EJECUTADO[[#This Row],[CUENTA]],PRESUPUESTO[MONTO])-SUMIF($F$1:F476,EJECUTADO[[#This Row],[CUENTA]],$M$1:M476)</f>
        <v>32156.3</v>
      </c>
      <c r="M477" s="2">
        <v>2717</v>
      </c>
      <c r="N477" s="2"/>
      <c r="O477" s="2"/>
      <c r="P477" s="162">
        <f>+EJECUTADO[[#This Row],[MONTO SOLICITADO]]-EJECUTADO[[#This Row],[RETENCION IVA]]-EJECUTADO[[#This Row],[RETENCION ISR]]</f>
        <v>2717</v>
      </c>
      <c r="Q477" s="84" t="s">
        <v>1000</v>
      </c>
      <c r="R477" s="2"/>
      <c r="S477">
        <v>1</v>
      </c>
      <c r="T477" s="168" t="str">
        <f t="shared" si="14"/>
        <v>MANTENIMIENTO - Dir. Mantenimiento - Contrato de Mantenimiento Aires Acondicionados  Disponible $32156.3 Solicitado $2717 PRESUPUESTO: SI</v>
      </c>
    </row>
    <row r="478" spans="1:20" ht="30" x14ac:dyDescent="0.25">
      <c r="A478" s="6">
        <f t="shared" si="15"/>
        <v>475</v>
      </c>
      <c r="B478" s="21">
        <v>45338</v>
      </c>
      <c r="C478" s="17" t="s">
        <v>1678</v>
      </c>
      <c r="D478" s="65" t="s">
        <v>1679</v>
      </c>
      <c r="E478" s="65"/>
      <c r="F478" s="37" t="s">
        <v>1680</v>
      </c>
      <c r="G478" s="161">
        <f>MONTH(EJECUTADO[[#This Row],[FECHA]])</f>
        <v>2</v>
      </c>
      <c r="H478" s="163" t="str">
        <f>MID(EJECUTADO[[#This Row],[CUENTA]],1,4)</f>
        <v>E-32</v>
      </c>
      <c r="I478" s="163" t="str">
        <f>INDEX(CATALOGO[Descripción],MATCH(EJECUTADO[[#This Row],[APLICACIÓN]]&amp;"-00-00-00",CATALOGO[Código],0))</f>
        <v>RELACIONES INTERNACIONALES</v>
      </c>
      <c r="J4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Correo internacional (DHL)</v>
      </c>
      <c r="K478" s="161" t="str">
        <f>IF((EJECUTADO[[#This Row],[MONTO DISPONIBLE ]]-EJECUTADO[[#This Row],[MONTO SOLICITADO]])&gt;=0,"PRESUPUESTO: SI","PRESUPUESTO: NO")</f>
        <v>PRESUPUESTO: SI</v>
      </c>
      <c r="L478" s="162">
        <f>SUMIF(PRESUPUESTO[CUENTA],EJECUTADO[[#This Row],[CUENTA]],PRESUPUESTO[MONTO])-SUMIF($F$1:F477,EJECUTADO[[#This Row],[CUENTA]],$M$1:M477)</f>
        <v>1000</v>
      </c>
      <c r="M478" s="2">
        <v>104.08</v>
      </c>
      <c r="N478" s="2"/>
      <c r="O478" s="2"/>
      <c r="P478" s="162">
        <f>+EJECUTADO[[#This Row],[MONTO SOLICITADO]]-EJECUTADO[[#This Row],[RETENCION IVA]]-EJECUTADO[[#This Row],[RETENCION ISR]]</f>
        <v>104.08</v>
      </c>
      <c r="Q478" s="84" t="s">
        <v>1000</v>
      </c>
      <c r="R478" s="2"/>
      <c r="S478">
        <v>1</v>
      </c>
      <c r="T478" s="168" t="str">
        <f t="shared" si="14"/>
        <v>RELACIONES INTERNACIONALES - Correo internacional (DHL) Disponible $1000 Solicitado $104.08 PRESUPUESTO: SI</v>
      </c>
    </row>
    <row r="479" spans="1:20" ht="30" x14ac:dyDescent="0.25">
      <c r="A479" s="6">
        <f t="shared" si="15"/>
        <v>476</v>
      </c>
      <c r="B479" s="21">
        <v>45338</v>
      </c>
      <c r="C479" s="17" t="s">
        <v>1045</v>
      </c>
      <c r="D479" s="65" t="s">
        <v>1681</v>
      </c>
      <c r="E479" s="65"/>
      <c r="F479" t="s">
        <v>1008</v>
      </c>
      <c r="G479" s="161">
        <f>MONTH(EJECUTADO[[#This Row],[FECHA]])</f>
        <v>2</v>
      </c>
      <c r="H479" s="163" t="str">
        <f>MID(EJECUTADO[[#This Row],[CUENTA]],1,4)</f>
        <v>E-19</v>
      </c>
      <c r="I479" s="163" t="str">
        <f>INDEX(CATALOGO[Descripción],MATCH(EJECUTADO[[#This Row],[APLICACIÓN]]&amp;"-00-00-00",CATALOGO[Código],0))</f>
        <v>MANTENIMIENTO</v>
      </c>
      <c r="J4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479" s="161" t="str">
        <f>IF((EJECUTADO[[#This Row],[MONTO DISPONIBLE ]]-EJECUTADO[[#This Row],[MONTO SOLICITADO]])&gt;=0,"PRESUPUESTO: SI","PRESUPUESTO: NO")</f>
        <v>PRESUPUESTO: SI</v>
      </c>
      <c r="L479" s="162">
        <f>SUMIF(PRESUPUESTO[CUENTA],EJECUTADO[[#This Row],[CUENTA]],PRESUPUESTO[MONTO])-SUMIF($F$1:F478,EJECUTADO[[#This Row],[CUENTA]],$M$1:M478)</f>
        <v>9325.98</v>
      </c>
      <c r="M479" s="2">
        <v>668.66</v>
      </c>
      <c r="N479" s="2"/>
      <c r="O479" s="2"/>
      <c r="P479" s="162">
        <f>+EJECUTADO[[#This Row],[MONTO SOLICITADO]]-EJECUTADO[[#This Row],[RETENCION IVA]]-EJECUTADO[[#This Row],[RETENCION ISR]]</f>
        <v>668.66</v>
      </c>
      <c r="Q479" s="84" t="s">
        <v>1000</v>
      </c>
      <c r="R479" s="2"/>
      <c r="S479">
        <v>1</v>
      </c>
      <c r="T479" s="168" t="str">
        <f t="shared" si="14"/>
        <v>MANTENIMIENTO - Dir. Mantenimiento - Manto. Oficinas, Mobiliario y equipos Disponible $9325.98 Solicitado $668.66 PRESUPUESTO: SI</v>
      </c>
    </row>
    <row r="480" spans="1:20" x14ac:dyDescent="0.25">
      <c r="A480" s="6">
        <f t="shared" si="15"/>
        <v>477</v>
      </c>
      <c r="B480" s="21">
        <v>45338</v>
      </c>
      <c r="C480" s="17" t="s">
        <v>1045</v>
      </c>
      <c r="D480" s="65" t="s">
        <v>1356</v>
      </c>
      <c r="E480" s="65"/>
      <c r="F480" t="s">
        <v>1357</v>
      </c>
      <c r="G480" s="161">
        <f>MONTH(EJECUTADO[[#This Row],[FECHA]])</f>
        <v>2</v>
      </c>
      <c r="H480" s="163" t="str">
        <f>MID(EJECUTADO[[#This Row],[CUENTA]],1,4)</f>
        <v>E-19</v>
      </c>
      <c r="I480" s="163" t="str">
        <f>INDEX(CATALOGO[Descripción],MATCH(EJECUTADO[[#This Row],[APLICACIÓN]]&amp;"-00-00-00",CATALOGO[Código],0))</f>
        <v>MANTENIMIENTO</v>
      </c>
      <c r="J4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Pintura </v>
      </c>
      <c r="K480" s="161" t="str">
        <f>IF((EJECUTADO[[#This Row],[MONTO DISPONIBLE ]]-EJECUTADO[[#This Row],[MONTO SOLICITADO]])&gt;=0,"PRESUPUESTO: SI","PRESUPUESTO: NO")</f>
        <v>PRESUPUESTO: SI</v>
      </c>
      <c r="L480" s="162">
        <f>SUMIF(PRESUPUESTO[CUENTA],EJECUTADO[[#This Row],[CUENTA]],PRESUPUESTO[MONTO])-SUMIF($F$1:F479,EJECUTADO[[#This Row],[CUENTA]],$M$1:M479)</f>
        <v>23315.95</v>
      </c>
      <c r="M480" s="2">
        <v>4056</v>
      </c>
      <c r="N480" s="2"/>
      <c r="O480" s="2"/>
      <c r="P480" s="162">
        <f>+EJECUTADO[[#This Row],[MONTO SOLICITADO]]-EJECUTADO[[#This Row],[RETENCION IVA]]-EJECUTADO[[#This Row],[RETENCION ISR]]</f>
        <v>4056</v>
      </c>
      <c r="Q480" s="84" t="s">
        <v>1000</v>
      </c>
      <c r="R480" s="2"/>
      <c r="S480">
        <v>1</v>
      </c>
      <c r="T480" s="168" t="str">
        <f t="shared" si="14"/>
        <v>MANTENIMIENTO - Dir. Mantenimiento - Mantenimiento Pintura  Disponible $23315.95 Solicitado $4056 PRESUPUESTO: SI</v>
      </c>
    </row>
    <row r="481" spans="1:20" ht="30" x14ac:dyDescent="0.25">
      <c r="A481" s="6">
        <f t="shared" si="15"/>
        <v>478</v>
      </c>
      <c r="B481" s="21">
        <v>45338</v>
      </c>
      <c r="C481" s="17" t="s">
        <v>1045</v>
      </c>
      <c r="D481" s="65" t="s">
        <v>1682</v>
      </c>
      <c r="E481" s="65"/>
      <c r="F481" t="s">
        <v>1384</v>
      </c>
      <c r="G481" s="161">
        <f>MONTH(EJECUTADO[[#This Row],[FECHA]])</f>
        <v>2</v>
      </c>
      <c r="H481" s="163" t="str">
        <f>MID(EJECUTADO[[#This Row],[CUENTA]],1,4)</f>
        <v>E-19</v>
      </c>
      <c r="I481" s="163" t="str">
        <f>INDEX(CATALOGO[Descripción],MATCH(EJECUTADO[[#This Row],[APLICACIÓN]]&amp;"-00-00-00",CATALOGO[Código],0))</f>
        <v>MANTENIMIENTO</v>
      </c>
      <c r="J4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481" s="161" t="str">
        <f>IF((EJECUTADO[[#This Row],[MONTO DISPONIBLE ]]-EJECUTADO[[#This Row],[MONTO SOLICITADO]])&gt;=0,"PRESUPUESTO: SI","PRESUPUESTO: NO")</f>
        <v>PRESUPUESTO: SI</v>
      </c>
      <c r="L481" s="162">
        <f>SUMIF(PRESUPUESTO[CUENTA],EJECUTADO[[#This Row],[CUENTA]],PRESUPUESTO[MONTO])-SUMIF($F$1:F480,EJECUTADO[[#This Row],[CUENTA]],$M$1:M480)</f>
        <v>17284.32</v>
      </c>
      <c r="M481" s="2">
        <v>148.4</v>
      </c>
      <c r="N481" s="2"/>
      <c r="O481" s="2"/>
      <c r="P481" s="162">
        <f>+EJECUTADO[[#This Row],[MONTO SOLICITADO]]-EJECUTADO[[#This Row],[RETENCION IVA]]-EJECUTADO[[#This Row],[RETENCION ISR]]</f>
        <v>148.4</v>
      </c>
      <c r="Q481" s="84" t="s">
        <v>1000</v>
      </c>
      <c r="R481" s="2"/>
      <c r="S481">
        <v>1</v>
      </c>
      <c r="T481" s="168" t="str">
        <f t="shared" si="14"/>
        <v>MANTENIMIENTO - Mantenimiento de Limpieza Disponible $17284.32 Solicitado $148.4 PRESUPUESTO: SI</v>
      </c>
    </row>
    <row r="482" spans="1:20" ht="45" x14ac:dyDescent="0.25">
      <c r="A482" s="6">
        <f t="shared" si="15"/>
        <v>479</v>
      </c>
      <c r="B482" s="21">
        <v>45338</v>
      </c>
      <c r="C482" s="17" t="s">
        <v>1318</v>
      </c>
      <c r="D482" s="65" t="s">
        <v>1683</v>
      </c>
      <c r="E482" s="65"/>
      <c r="F482" t="s">
        <v>1600</v>
      </c>
      <c r="G482" s="161">
        <f>MONTH(EJECUTADO[[#This Row],[FECHA]])</f>
        <v>2</v>
      </c>
      <c r="H482" s="163" t="str">
        <f>MID(EJECUTADO[[#This Row],[CUENTA]],1,4)</f>
        <v>E-09</v>
      </c>
      <c r="I482" s="163" t="str">
        <f>INDEX(CATALOGO[Descripción],MATCH(EJECUTADO[[#This Row],[APLICACIÓN]]&amp;"-00-00-00",CATALOGO[Código],0))</f>
        <v>PRESTACIONES AL PERSONAL</v>
      </c>
      <c r="J4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Café, Agua, azucar y otros</v>
      </c>
      <c r="K482" s="161" t="str">
        <f>IF((EJECUTADO[[#This Row],[MONTO DISPONIBLE ]]-EJECUTADO[[#This Row],[MONTO SOLICITADO]])&gt;=0,"PRESUPUESTO: SI","PRESUPUESTO: NO")</f>
        <v>PRESUPUESTO: SI</v>
      </c>
      <c r="L482" s="162">
        <f>SUMIF(PRESUPUESTO[CUENTA],EJECUTADO[[#This Row],[CUENTA]],PRESUPUESTO[MONTO])-SUMIF($F$1:F481,EJECUTADO[[#This Row],[CUENTA]],$M$1:M481)</f>
        <v>19945.29</v>
      </c>
      <c r="M482" s="2">
        <v>1367.09</v>
      </c>
      <c r="N482" s="2"/>
      <c r="O482" s="2"/>
      <c r="P482" s="162">
        <f>+EJECUTADO[[#This Row],[MONTO SOLICITADO]]-EJECUTADO[[#This Row],[RETENCION IVA]]-EJECUTADO[[#This Row],[RETENCION ISR]]</f>
        <v>1367.09</v>
      </c>
      <c r="Q482" s="84" t="s">
        <v>1000</v>
      </c>
      <c r="R482" s="2"/>
      <c r="S482">
        <v>1</v>
      </c>
      <c r="T482" s="168" t="str">
        <f t="shared" si="14"/>
        <v>PRESTACIONES AL PERSONAL - Café, Agua, azucar y otros Disponible $19945.29 Solicitado $1367.09 PRESUPUESTO: SI</v>
      </c>
    </row>
    <row r="483" spans="1:20" ht="45" x14ac:dyDescent="0.25">
      <c r="A483" s="6">
        <f t="shared" si="15"/>
        <v>480</v>
      </c>
      <c r="B483" s="21">
        <v>45338</v>
      </c>
      <c r="C483" s="17" t="s">
        <v>1318</v>
      </c>
      <c r="D483" s="65" t="s">
        <v>1683</v>
      </c>
      <c r="E483" s="65"/>
      <c r="F483" t="s">
        <v>1684</v>
      </c>
      <c r="G483" s="161">
        <f>MONTH(EJECUTADO[[#This Row],[FECHA]])</f>
        <v>2</v>
      </c>
      <c r="H483" s="163" t="str">
        <f>MID(EJECUTADO[[#This Row],[CUENTA]],1,4)</f>
        <v>E-13</v>
      </c>
      <c r="I483" s="163" t="str">
        <f>INDEX(CATALOGO[Descripción],MATCH(EJECUTADO[[#This Row],[APLICACIÓN]]&amp;"-00-00-00",CATALOGO[Código],0))</f>
        <v>MAESTRIAS Y POSTGRADOS</v>
      </c>
      <c r="J4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cafeteria y Agua</v>
      </c>
      <c r="K483" s="161" t="str">
        <f>IF((EJECUTADO[[#This Row],[MONTO DISPONIBLE ]]-EJECUTADO[[#This Row],[MONTO SOLICITADO]])&gt;=0,"PRESUPUESTO: SI","PRESUPUESTO: NO")</f>
        <v>PRESUPUESTO: SI</v>
      </c>
      <c r="L483" s="162">
        <f>SUMIF(PRESUPUESTO[CUENTA],EJECUTADO[[#This Row],[CUENTA]],PRESUPUESTO[MONTO])-SUMIF($F$1:F482,EJECUTADO[[#This Row],[CUENTA]],$M$1:M482)</f>
        <v>1140</v>
      </c>
      <c r="M483" s="2">
        <v>50</v>
      </c>
      <c r="N483" s="2"/>
      <c r="O483" s="2"/>
      <c r="P483" s="162">
        <f>+EJECUTADO[[#This Row],[MONTO SOLICITADO]]-EJECUTADO[[#This Row],[RETENCION IVA]]-EJECUTADO[[#This Row],[RETENCION ISR]]</f>
        <v>50</v>
      </c>
      <c r="Q483" s="84" t="s">
        <v>1000</v>
      </c>
      <c r="R483" s="2"/>
      <c r="S483">
        <v>1</v>
      </c>
      <c r="T483" s="168" t="str">
        <f t="shared" si="14"/>
        <v>MAESTRIAS Y POSTGRADOS - Insumos de cafeteria y Agua Disponible $1140 Solicitado $50 PRESUPUESTO: SI</v>
      </c>
    </row>
    <row r="484" spans="1:20" ht="45" x14ac:dyDescent="0.25">
      <c r="A484" s="6">
        <f t="shared" si="15"/>
        <v>481</v>
      </c>
      <c r="B484" s="21">
        <v>45338</v>
      </c>
      <c r="C484" s="17" t="s">
        <v>1318</v>
      </c>
      <c r="D484" s="65" t="s">
        <v>1683</v>
      </c>
      <c r="E484" s="65"/>
      <c r="F484" t="s">
        <v>1034</v>
      </c>
      <c r="G484" s="161">
        <f>MONTH(EJECUTADO[[#This Row],[FECHA]])</f>
        <v>2</v>
      </c>
      <c r="H484" s="163" t="str">
        <f>MID(EJECUTADO[[#This Row],[CUENTA]],1,4)</f>
        <v>E-12</v>
      </c>
      <c r="I484" s="163" t="str">
        <f>INDEX(CATALOGO[Descripción],MATCH(EJECUTADO[[#This Row],[APLICACIÓN]]&amp;"-00-00-00",CATALOGO[Código],0))</f>
        <v>PROYECCION SOCIAL</v>
      </c>
      <c r="J4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Agua cristal </v>
      </c>
      <c r="K484" s="161" t="str">
        <f>IF((EJECUTADO[[#This Row],[MONTO DISPONIBLE ]]-EJECUTADO[[#This Row],[MONTO SOLICITADO]])&gt;=0,"PRESUPUESTO: SI","PRESUPUESTO: NO")</f>
        <v>PRESUPUESTO: SI</v>
      </c>
      <c r="L484" s="162">
        <f>SUMIF(PRESUPUESTO[CUENTA],EJECUTADO[[#This Row],[CUENTA]],PRESUPUESTO[MONTO])-SUMIF($F$1:F483,EJECUTADO[[#This Row],[CUENTA]],$M$1:M483)</f>
        <v>215</v>
      </c>
      <c r="M484" s="2">
        <v>30</v>
      </c>
      <c r="N484" s="2"/>
      <c r="O484" s="2"/>
      <c r="P484" s="162">
        <f>+EJECUTADO[[#This Row],[MONTO SOLICITADO]]-EJECUTADO[[#This Row],[RETENCION IVA]]-EJECUTADO[[#This Row],[RETENCION ISR]]</f>
        <v>30</v>
      </c>
      <c r="Q484" s="84" t="s">
        <v>1000</v>
      </c>
      <c r="R484" s="2"/>
      <c r="S484">
        <v>1</v>
      </c>
      <c r="T484" s="168" t="str">
        <f t="shared" si="14"/>
        <v>PROYECCION SOCIAL - Agua cristal  Disponible $215 Solicitado $30 PRESUPUESTO: SI</v>
      </c>
    </row>
    <row r="485" spans="1:20" ht="45" x14ac:dyDescent="0.25">
      <c r="A485" s="6">
        <f t="shared" si="15"/>
        <v>482</v>
      </c>
      <c r="B485" s="21">
        <v>45338</v>
      </c>
      <c r="C485" s="17" t="s">
        <v>1318</v>
      </c>
      <c r="D485" s="65" t="s">
        <v>1683</v>
      </c>
      <c r="E485" s="65"/>
      <c r="F485" t="s">
        <v>1035</v>
      </c>
      <c r="G485" s="161">
        <f>MONTH(EJECUTADO[[#This Row],[FECHA]])</f>
        <v>2</v>
      </c>
      <c r="H485" s="163" t="str">
        <f>MID(EJECUTADO[[#This Row],[CUENTA]],1,4)</f>
        <v>E-25</v>
      </c>
      <c r="I485" s="163" t="str">
        <f>INDEX(CATALOGO[Descripción],MATCH(EJECUTADO[[#This Row],[APLICACIÓN]]&amp;"-00-00-00",CATALOGO[Código],0))</f>
        <v>DECANATO DE ESTUDIANTES</v>
      </c>
      <c r="J4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Servicio de agua cristal</v>
      </c>
      <c r="K485" s="161" t="str">
        <f>IF((EJECUTADO[[#This Row],[MONTO DISPONIBLE ]]-EJECUTADO[[#This Row],[MONTO SOLICITADO]])&gt;=0,"PRESUPUESTO: SI","PRESUPUESTO: NO")</f>
        <v>PRESUPUESTO: SI</v>
      </c>
      <c r="L485" s="162">
        <f>SUMIF(PRESUPUESTO[CUENTA],EJECUTADO[[#This Row],[CUENTA]],PRESUPUESTO[MONTO])-SUMIF($F$1:F484,EJECUTADO[[#This Row],[CUENTA]],$M$1:M484)</f>
        <v>1100</v>
      </c>
      <c r="M485" s="2">
        <v>100</v>
      </c>
      <c r="N485" s="2"/>
      <c r="O485" s="2"/>
      <c r="P485" s="162">
        <f>+EJECUTADO[[#This Row],[MONTO SOLICITADO]]-EJECUTADO[[#This Row],[RETENCION IVA]]-EJECUTADO[[#This Row],[RETENCION ISR]]</f>
        <v>100</v>
      </c>
      <c r="Q485" s="84" t="s">
        <v>1000</v>
      </c>
      <c r="R485" s="2"/>
      <c r="S485">
        <v>1</v>
      </c>
      <c r="T485" s="168" t="str">
        <f t="shared" si="14"/>
        <v>DECANATO DE ESTUDIANTES - U. recreación y deportes - Servicio de agua cristal Disponible $1100 Solicitado $100 PRESUPUESTO: SI</v>
      </c>
    </row>
    <row r="486" spans="1:20" x14ac:dyDescent="0.25">
      <c r="A486" s="6">
        <f t="shared" si="15"/>
        <v>483</v>
      </c>
      <c r="B486" s="21">
        <v>45341</v>
      </c>
      <c r="C486" s="17" t="s">
        <v>1102</v>
      </c>
      <c r="D486" s="65" t="s">
        <v>1685</v>
      </c>
      <c r="E486" s="65"/>
      <c r="F486" t="s">
        <v>1232</v>
      </c>
      <c r="G486" s="161">
        <f>MONTH(EJECUTADO[[#This Row],[FECHA]])</f>
        <v>2</v>
      </c>
      <c r="H486" s="163" t="str">
        <f>MID(EJECUTADO[[#This Row],[CUENTA]],1,4)</f>
        <v>E-11</v>
      </c>
      <c r="I486" s="163" t="str">
        <f>INDEX(CATALOGO[Descripción],MATCH(EJECUTADO[[#This Row],[APLICACIÓN]]&amp;"-00-00-00",CATALOGO[Código],0))</f>
        <v>INVESTIGACIONES</v>
      </c>
      <c r="J4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486" s="161" t="str">
        <f>IF((EJECUTADO[[#This Row],[MONTO DISPONIBLE ]]-EJECUTADO[[#This Row],[MONTO SOLICITADO]])&gt;=0,"PRESUPUESTO: SI","PRESUPUESTO: NO")</f>
        <v>PRESUPUESTO: SI</v>
      </c>
      <c r="L486" s="162">
        <f>SUMIF(PRESUPUESTO[CUENTA],EJECUTADO[[#This Row],[CUENTA]],PRESUPUESTO[MONTO])-SUMIF($F$1:F485,EJECUTADO[[#This Row],[CUENTA]],$M$1:M485)</f>
        <v>6000</v>
      </c>
      <c r="M486" s="2">
        <v>1656</v>
      </c>
      <c r="N486" s="2"/>
      <c r="O486" s="2"/>
      <c r="P486" s="162">
        <f>+EJECUTADO[[#This Row],[MONTO SOLICITADO]]-EJECUTADO[[#This Row],[RETENCION IVA]]-EJECUTADO[[#This Row],[RETENCION ISR]]</f>
        <v>1656</v>
      </c>
      <c r="Q486" s="84" t="s">
        <v>1000</v>
      </c>
      <c r="R486" s="2"/>
      <c r="S486">
        <v>810764</v>
      </c>
      <c r="T486" s="168" t="str">
        <f t="shared" si="14"/>
        <v>INVESTIGACIONES - INSUMOS DE OFICINA Disponible $6000 Solicitado $1656 PRESUPUESTO: SI</v>
      </c>
    </row>
    <row r="487" spans="1:20" x14ac:dyDescent="0.25">
      <c r="A487" s="6">
        <f t="shared" si="15"/>
        <v>484</v>
      </c>
      <c r="B487" s="21">
        <v>45341</v>
      </c>
      <c r="C487" s="17" t="s">
        <v>1102</v>
      </c>
      <c r="D487" s="65" t="s">
        <v>1686</v>
      </c>
      <c r="E487" s="65"/>
      <c r="F487" t="s">
        <v>1233</v>
      </c>
      <c r="G487" s="161">
        <f>MONTH(EJECUTADO[[#This Row],[FECHA]])</f>
        <v>2</v>
      </c>
      <c r="H487" s="163" t="str">
        <f>MID(EJECUTADO[[#This Row],[CUENTA]],1,4)</f>
        <v>E-12</v>
      </c>
      <c r="I487" s="163" t="str">
        <f>INDEX(CATALOGO[Descripción],MATCH(EJECUTADO[[#This Row],[APLICACIÓN]]&amp;"-00-00-00",CATALOGO[Código],0))</f>
        <v>PROYECCION SOCIAL</v>
      </c>
      <c r="J4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Papelería y útiles</v>
      </c>
      <c r="K487" s="161" t="str">
        <f>IF((EJECUTADO[[#This Row],[MONTO DISPONIBLE ]]-EJECUTADO[[#This Row],[MONTO SOLICITADO]])&gt;=0,"PRESUPUESTO: SI","PRESUPUESTO: NO")</f>
        <v>PRESUPUESTO: NO</v>
      </c>
      <c r="L487" s="162">
        <f>SUMIF(PRESUPUESTO[CUENTA],EJECUTADO[[#This Row],[CUENTA]],PRESUPUESTO[MONTO])-SUMIF($F$1:F486,EJECUTADO[[#This Row],[CUENTA]],$M$1:M486)</f>
        <v>300</v>
      </c>
      <c r="M487" s="2">
        <v>2192.9499999999998</v>
      </c>
      <c r="N487" s="2"/>
      <c r="O487" s="2"/>
      <c r="P487" s="162">
        <f>+EJECUTADO[[#This Row],[MONTO SOLICITADO]]-EJECUTADO[[#This Row],[RETENCION IVA]]-EJECUTADO[[#This Row],[RETENCION ISR]]</f>
        <v>2192.9499999999998</v>
      </c>
      <c r="Q487" s="84" t="s">
        <v>1000</v>
      </c>
      <c r="R487" s="2"/>
      <c r="S487">
        <v>810764</v>
      </c>
      <c r="T487" s="168" t="str">
        <f t="shared" si="14"/>
        <v>PROYECCION SOCIAL - Papelería y útiles Disponible $300 Solicitado $2192.95 PRESUPUESTO: NO</v>
      </c>
    </row>
    <row r="488" spans="1:20" x14ac:dyDescent="0.25">
      <c r="A488" s="6">
        <f t="shared" si="15"/>
        <v>485</v>
      </c>
      <c r="B488" s="21">
        <v>45341</v>
      </c>
      <c r="C488" s="17" t="s">
        <v>1102</v>
      </c>
      <c r="D488" s="65" t="s">
        <v>1687</v>
      </c>
      <c r="E488" s="65"/>
      <c r="F488" t="s">
        <v>1688</v>
      </c>
      <c r="G488" s="161">
        <f>MONTH(EJECUTADO[[#This Row],[FECHA]])</f>
        <v>2</v>
      </c>
      <c r="H488" s="163" t="str">
        <f>MID(EJECUTADO[[#This Row],[CUENTA]],1,4)</f>
        <v>E-13</v>
      </c>
      <c r="I488" s="163" t="str">
        <f>INDEX(CATALOGO[Descripción],MATCH(EJECUTADO[[#This Row],[APLICACIÓN]]&amp;"-00-00-00",CATALOGO[Código],0))</f>
        <v>MAESTRIAS Y POSTGRADOS</v>
      </c>
      <c r="J4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Papelería (Folders y Fastener)</v>
      </c>
      <c r="K488" s="161" t="str">
        <f>IF((EJECUTADO[[#This Row],[MONTO DISPONIBLE ]]-EJECUTADO[[#This Row],[MONTO SOLICITADO]])&gt;=0,"PRESUPUESTO: SI","PRESUPUESTO: NO")</f>
        <v>PRESUPUESTO: NO</v>
      </c>
      <c r="L488" s="162">
        <f>SUMIF(PRESUPUESTO[CUENTA],EJECUTADO[[#This Row],[CUENTA]],PRESUPUESTO[MONTO])-SUMIF($F$1:F487,EJECUTADO[[#This Row],[CUENTA]],$M$1:M487)</f>
        <v>100</v>
      </c>
      <c r="M488" s="2">
        <v>596</v>
      </c>
      <c r="N488" s="2"/>
      <c r="O488" s="2"/>
      <c r="P488" s="162">
        <f>+EJECUTADO[[#This Row],[MONTO SOLICITADO]]-EJECUTADO[[#This Row],[RETENCION IVA]]-EJECUTADO[[#This Row],[RETENCION ISR]]</f>
        <v>596</v>
      </c>
      <c r="Q488" s="84" t="s">
        <v>1000</v>
      </c>
      <c r="R488" s="2"/>
      <c r="S488">
        <v>810764</v>
      </c>
      <c r="T488" s="168" t="str">
        <f t="shared" si="14"/>
        <v>MAESTRIAS Y POSTGRADOS - Papelería (Folders y Fastener) Disponible $100 Solicitado $596 PRESUPUESTO: NO</v>
      </c>
    </row>
    <row r="489" spans="1:20" x14ac:dyDescent="0.25">
      <c r="A489" s="6">
        <f t="shared" si="15"/>
        <v>486</v>
      </c>
      <c r="B489" s="21">
        <v>45341</v>
      </c>
      <c r="C489" s="17" t="s">
        <v>1102</v>
      </c>
      <c r="D489" s="65" t="s">
        <v>1689</v>
      </c>
      <c r="E489" s="65"/>
      <c r="F489" t="s">
        <v>1690</v>
      </c>
      <c r="G489" s="161">
        <f>MONTH(EJECUTADO[[#This Row],[FECHA]])</f>
        <v>2</v>
      </c>
      <c r="H489" s="163" t="str">
        <f>MID(EJECUTADO[[#This Row],[CUENTA]],1,4)</f>
        <v>E-14</v>
      </c>
      <c r="I489" s="163" t="str">
        <f>INDEX(CATALOGO[Descripción],MATCH(EJECUTADO[[#This Row],[APLICACIÓN]]&amp;"-00-00-00",CATALOGO[Código],0))</f>
        <v>MATERIAL DIDÁCTICO</v>
      </c>
      <c r="J4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489" s="161" t="str">
        <f>IF((EJECUTADO[[#This Row],[MONTO DISPONIBLE ]]-EJECUTADO[[#This Row],[MONTO SOLICITADO]])&gt;=0,"PRESUPUESTO: SI","PRESUPUESTO: NO")</f>
        <v>PRESUPUESTO: NO</v>
      </c>
      <c r="L489" s="162">
        <f>SUMIF(PRESUPUESTO[CUENTA],EJECUTADO[[#This Row],[CUENTA]],PRESUPUESTO[MONTO])-SUMIF($F$1:F488,EJECUTADO[[#This Row],[CUENTA]],$M$1:M488)</f>
        <v>0</v>
      </c>
      <c r="M489" s="2">
        <v>1031.25</v>
      </c>
      <c r="N489" s="2"/>
      <c r="O489" s="2"/>
      <c r="P489" s="162">
        <f>+EJECUTADO[[#This Row],[MONTO SOLICITADO]]-EJECUTADO[[#This Row],[RETENCION IVA]]-EJECUTADO[[#This Row],[RETENCION ISR]]</f>
        <v>1031.25</v>
      </c>
      <c r="Q489" s="84" t="s">
        <v>1000</v>
      </c>
      <c r="R489" s="2"/>
      <c r="S489">
        <v>810764</v>
      </c>
      <c r="T489" s="168" t="str">
        <f t="shared" si="14"/>
        <v>MATERIAL DIDÁCTICO - PAQUETES DIDACTICOS - FACULTAD DE CIENCIAS SOCIALES Disponible $0 Solicitado $1031.25 PRESUPUESTO: NO</v>
      </c>
    </row>
    <row r="490" spans="1:20" ht="30" x14ac:dyDescent="0.25">
      <c r="A490" s="6">
        <f t="shared" si="15"/>
        <v>487</v>
      </c>
      <c r="B490" s="21">
        <v>45341</v>
      </c>
      <c r="C490" s="17" t="s">
        <v>1102</v>
      </c>
      <c r="D490" s="65" t="s">
        <v>1691</v>
      </c>
      <c r="E490" s="65"/>
      <c r="F490" t="s">
        <v>1692</v>
      </c>
      <c r="G490" s="161">
        <f>MONTH(EJECUTADO[[#This Row],[FECHA]])</f>
        <v>2</v>
      </c>
      <c r="H490" s="163" t="str">
        <f>MID(EJECUTADO[[#This Row],[CUENTA]],1,4)</f>
        <v>E-21</v>
      </c>
      <c r="I490" s="163" t="str">
        <f>INDEX(CATALOGO[Descripción],MATCH(EJECUTADO[[#This Row],[APLICACIÓN]]&amp;"-00-00-00",CATALOGO[Código],0))</f>
        <v>CENTRO DE FORMACION PROFESIONAL y EXT U</v>
      </c>
      <c r="J4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Seminario FCCE - Insumos Seminarios y refrigerios (Canvas)</v>
      </c>
      <c r="K490" s="161" t="str">
        <f>IF((EJECUTADO[[#This Row],[MONTO DISPONIBLE ]]-EJECUTADO[[#This Row],[MONTO SOLICITADO]])&gt;=0,"PRESUPUESTO: SI","PRESUPUESTO: NO")</f>
        <v>PRESUPUESTO: NO</v>
      </c>
      <c r="L490" s="162">
        <f>SUMIF(PRESUPUESTO[CUENTA],EJECUTADO[[#This Row],[CUENTA]],PRESUPUESTO[MONTO])-SUMIF($F$1:F489,EJECUTADO[[#This Row],[CUENTA]],$M$1:M489)</f>
        <v>100</v>
      </c>
      <c r="M490" s="2">
        <v>154</v>
      </c>
      <c r="N490" s="2"/>
      <c r="O490" s="2"/>
      <c r="P490" s="162">
        <f>+EJECUTADO[[#This Row],[MONTO SOLICITADO]]-EJECUTADO[[#This Row],[RETENCION IVA]]-EJECUTADO[[#This Row],[RETENCION ISR]]</f>
        <v>154</v>
      </c>
      <c r="Q490" s="84" t="s">
        <v>1000</v>
      </c>
      <c r="R490" s="2"/>
      <c r="S490">
        <v>810764</v>
      </c>
      <c r="T490" s="168" t="str">
        <f t="shared" si="14"/>
        <v>CENTRO DE FORMACION PROFESIONAL y EXT U - Seminario FCCE - Insumos Seminarios y refrigerios (Canvas) Disponible $100 Solicitado $154 PRESUPUESTO: NO</v>
      </c>
    </row>
    <row r="491" spans="1:20" x14ac:dyDescent="0.25">
      <c r="A491" s="6">
        <f t="shared" si="15"/>
        <v>488</v>
      </c>
      <c r="B491" s="21">
        <v>45341</v>
      </c>
      <c r="C491" s="17" t="s">
        <v>1284</v>
      </c>
      <c r="D491" s="65" t="s">
        <v>1285</v>
      </c>
      <c r="E491" s="65"/>
      <c r="F491" t="s">
        <v>1286</v>
      </c>
      <c r="G491" s="161">
        <f>MONTH(EJECUTADO[[#This Row],[FECHA]])</f>
        <v>2</v>
      </c>
      <c r="H491" s="163" t="str">
        <f>MID(EJECUTADO[[#This Row],[CUENTA]],1,4)</f>
        <v>E-09</v>
      </c>
      <c r="I491" s="163" t="str">
        <f>INDEX(CATALOGO[Descripción],MATCH(EJECUTADO[[#This Row],[APLICACIÓN]]&amp;"-00-00-00",CATALOGO[Código],0))</f>
        <v>PRESTACIONES AL PERSONAL</v>
      </c>
      <c r="J4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491" s="161" t="str">
        <f>IF((EJECUTADO[[#This Row],[MONTO DISPONIBLE ]]-EJECUTADO[[#This Row],[MONTO SOLICITADO]])&gt;=0,"PRESUPUESTO: SI","PRESUPUESTO: NO")</f>
        <v>PRESUPUESTO: SI</v>
      </c>
      <c r="L491" s="162">
        <f>SUMIF(PRESUPUESTO[CUENTA],EJECUTADO[[#This Row],[CUENTA]],PRESUPUESTO[MONTO])-SUMIF($F$1:F490,EJECUTADO[[#This Row],[CUENTA]],$M$1:M490)</f>
        <v>22588.63</v>
      </c>
      <c r="M491" s="2">
        <v>1566.5</v>
      </c>
      <c r="N491" s="2"/>
      <c r="O491" s="2"/>
      <c r="P491" s="162">
        <f>+EJECUTADO[[#This Row],[MONTO SOLICITADO]]-EJECUTADO[[#This Row],[RETENCION IVA]]-EJECUTADO[[#This Row],[RETENCION ISR]]</f>
        <v>1566.5</v>
      </c>
      <c r="Q491" s="84" t="s">
        <v>1000</v>
      </c>
      <c r="R491" s="2"/>
      <c r="S491">
        <v>1</v>
      </c>
      <c r="T491" s="168" t="str">
        <f t="shared" si="14"/>
        <v>PRESTACIONES AL PERSONAL - Cuotas Clubes Sociales Disponible $22588.63 Solicitado $1566.5 PRESUPUESTO: SI</v>
      </c>
    </row>
    <row r="492" spans="1:20" ht="75" x14ac:dyDescent="0.25">
      <c r="A492" s="6">
        <f t="shared" si="15"/>
        <v>489</v>
      </c>
      <c r="B492" s="21">
        <v>45341</v>
      </c>
      <c r="C492" s="17" t="s">
        <v>1284</v>
      </c>
      <c r="D492" s="65" t="s">
        <v>1693</v>
      </c>
      <c r="E492" s="65"/>
      <c r="F492" t="s">
        <v>1180</v>
      </c>
      <c r="G492" s="161">
        <f>MONTH(EJECUTADO[[#This Row],[FECHA]])</f>
        <v>2</v>
      </c>
      <c r="H492" s="163" t="str">
        <f>MID(EJECUTADO[[#This Row],[CUENTA]],1,4)</f>
        <v>E-08</v>
      </c>
      <c r="I492" s="163" t="str">
        <f>INDEX(CATALOGO[Descripción],MATCH(EJECUTADO[[#This Row],[APLICACIÓN]]&amp;"-00-00-00",CATALOGO[Código],0))</f>
        <v>INVERSIONES Y PROYECTOS ESPECIALES</v>
      </c>
      <c r="J4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492" s="161" t="str">
        <f>IF((EJECUTADO[[#This Row],[MONTO DISPONIBLE ]]-EJECUTADO[[#This Row],[MONTO SOLICITADO]])&gt;=0,"PRESUPUESTO: SI","PRESUPUESTO: NO")</f>
        <v>PRESUPUESTO: NO</v>
      </c>
      <c r="L492" s="162">
        <f>SUMIF(PRESUPUESTO[CUENTA],EJECUTADO[[#This Row],[CUENTA]],PRESUPUESTO[MONTO])-SUMIF($F$1:F491,EJECUTADO[[#This Row],[CUENTA]],$M$1:M491)</f>
        <v>-562.06999999999994</v>
      </c>
      <c r="M492" s="2">
        <v>55.58</v>
      </c>
      <c r="N492" s="2"/>
      <c r="O492" s="2"/>
      <c r="P492" s="162">
        <f>+EJECUTADO[[#This Row],[MONTO SOLICITADO]]-EJECUTADO[[#This Row],[RETENCION IVA]]-EJECUTADO[[#This Row],[RETENCION ISR]]</f>
        <v>55.58</v>
      </c>
      <c r="Q492" s="84" t="s">
        <v>1000</v>
      </c>
      <c r="R492" s="2"/>
      <c r="S492">
        <v>1</v>
      </c>
      <c r="T492" s="168" t="str">
        <f t="shared" si="14"/>
        <v>INVERSIONES Y PROYECTOS ESPECIALES - LA CUENTA SELECCIONADA NO PERMITE MOVIMIENTO Disponible $-562.07 Solicitado $55.58 PRESUPUESTO: NO</v>
      </c>
    </row>
    <row r="493" spans="1:20" ht="30" x14ac:dyDescent="0.25">
      <c r="A493" s="6">
        <f t="shared" si="15"/>
        <v>490</v>
      </c>
      <c r="B493" s="21">
        <v>45341</v>
      </c>
      <c r="C493" s="17" t="s">
        <v>1288</v>
      </c>
      <c r="D493" s="65" t="s">
        <v>1285</v>
      </c>
      <c r="E493" s="65"/>
      <c r="F493" t="s">
        <v>1286</v>
      </c>
      <c r="G493" s="161">
        <f>MONTH(EJECUTADO[[#This Row],[FECHA]])</f>
        <v>2</v>
      </c>
      <c r="H493" s="163" t="str">
        <f>MID(EJECUTADO[[#This Row],[CUENTA]],1,4)</f>
        <v>E-09</v>
      </c>
      <c r="I493" s="163" t="str">
        <f>INDEX(CATALOGO[Descripción],MATCH(EJECUTADO[[#This Row],[APLICACIÓN]]&amp;"-00-00-00",CATALOGO[Código],0))</f>
        <v>PRESTACIONES AL PERSONAL</v>
      </c>
      <c r="J4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493" s="161" t="str">
        <f>IF((EJECUTADO[[#This Row],[MONTO DISPONIBLE ]]-EJECUTADO[[#This Row],[MONTO SOLICITADO]])&gt;=0,"PRESUPUESTO: SI","PRESUPUESTO: NO")</f>
        <v>PRESUPUESTO: SI</v>
      </c>
      <c r="L493" s="162">
        <f>SUMIF(PRESUPUESTO[CUENTA],EJECUTADO[[#This Row],[CUENTA]],PRESUPUESTO[MONTO])-SUMIF($F$1:F492,EJECUTADO[[#This Row],[CUENTA]],$M$1:M492)</f>
        <v>21022.13</v>
      </c>
      <c r="M493" s="2">
        <v>300</v>
      </c>
      <c r="N493" s="2"/>
      <c r="O493" s="2"/>
      <c r="P493" s="162">
        <f>+EJECUTADO[[#This Row],[MONTO SOLICITADO]]-EJECUTADO[[#This Row],[RETENCION IVA]]-EJECUTADO[[#This Row],[RETENCION ISR]]</f>
        <v>300</v>
      </c>
      <c r="Q493" s="84" t="s">
        <v>1000</v>
      </c>
      <c r="R493" s="2"/>
      <c r="S493">
        <v>1</v>
      </c>
      <c r="T493" s="168" t="str">
        <f t="shared" si="14"/>
        <v>PRESTACIONES AL PERSONAL - Cuotas Clubes Sociales Disponible $21022.13 Solicitado $300 PRESUPUESTO: SI</v>
      </c>
    </row>
    <row r="494" spans="1:20" ht="45" x14ac:dyDescent="0.25">
      <c r="A494" s="6">
        <f t="shared" si="15"/>
        <v>491</v>
      </c>
      <c r="B494" s="21">
        <v>45341</v>
      </c>
      <c r="C494" s="17" t="s">
        <v>1288</v>
      </c>
      <c r="D494" s="65" t="s">
        <v>1694</v>
      </c>
      <c r="E494" s="65"/>
      <c r="F494" t="s">
        <v>1180</v>
      </c>
      <c r="G494" s="161">
        <f>MONTH(EJECUTADO[[#This Row],[FECHA]])</f>
        <v>2</v>
      </c>
      <c r="H494" s="163" t="str">
        <f>MID(EJECUTADO[[#This Row],[CUENTA]],1,4)</f>
        <v>E-08</v>
      </c>
      <c r="I494" s="163" t="str">
        <f>INDEX(CATALOGO[Descripción],MATCH(EJECUTADO[[#This Row],[APLICACIÓN]]&amp;"-00-00-00",CATALOGO[Código],0))</f>
        <v>INVERSIONES Y PROYECTOS ESPECIALES</v>
      </c>
      <c r="J4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494" s="161" t="str">
        <f>IF((EJECUTADO[[#This Row],[MONTO DISPONIBLE ]]-EJECUTADO[[#This Row],[MONTO SOLICITADO]])&gt;=0,"PRESUPUESTO: SI","PRESUPUESTO: NO")</f>
        <v>PRESUPUESTO: NO</v>
      </c>
      <c r="L494" s="162">
        <f>SUMIF(PRESUPUESTO[CUENTA],EJECUTADO[[#This Row],[CUENTA]],PRESUPUESTO[MONTO])-SUMIF($F$1:F493,EJECUTADO[[#This Row],[CUENTA]],$M$1:M493)</f>
        <v>-617.65</v>
      </c>
      <c r="M494" s="2">
        <v>110.47</v>
      </c>
      <c r="N494" s="2"/>
      <c r="O494" s="2"/>
      <c r="P494" s="162">
        <f>+EJECUTADO[[#This Row],[MONTO SOLICITADO]]-EJECUTADO[[#This Row],[RETENCION IVA]]-EJECUTADO[[#This Row],[RETENCION ISR]]</f>
        <v>110.47</v>
      </c>
      <c r="Q494" s="84" t="s">
        <v>1000</v>
      </c>
      <c r="R494" s="2"/>
      <c r="S494">
        <v>1</v>
      </c>
      <c r="T494" s="168" t="str">
        <f t="shared" si="14"/>
        <v>INVERSIONES Y PROYECTOS ESPECIALES - LA CUENTA SELECCIONADA NO PERMITE MOVIMIENTO Disponible $-617.65 Solicitado $110.47 PRESUPUESTO: NO</v>
      </c>
    </row>
    <row r="495" spans="1:20" x14ac:dyDescent="0.25">
      <c r="A495" s="6">
        <f t="shared" si="15"/>
        <v>492</v>
      </c>
      <c r="B495" s="21">
        <v>45341</v>
      </c>
      <c r="C495" s="17" t="s">
        <v>1289</v>
      </c>
      <c r="D495" s="65" t="s">
        <v>1285</v>
      </c>
      <c r="E495" s="65"/>
      <c r="F495" t="s">
        <v>1286</v>
      </c>
      <c r="G495" s="161">
        <f>MONTH(EJECUTADO[[#This Row],[FECHA]])</f>
        <v>2</v>
      </c>
      <c r="H495" s="163" t="str">
        <f>MID(EJECUTADO[[#This Row],[CUENTA]],1,4)</f>
        <v>E-09</v>
      </c>
      <c r="I495" s="163" t="str">
        <f>INDEX(CATALOGO[Descripción],MATCH(EJECUTADO[[#This Row],[APLICACIÓN]]&amp;"-00-00-00",CATALOGO[Código],0))</f>
        <v>PRESTACIONES AL PERSONAL</v>
      </c>
      <c r="J4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495" s="161" t="str">
        <f>IF((EJECUTADO[[#This Row],[MONTO DISPONIBLE ]]-EJECUTADO[[#This Row],[MONTO SOLICITADO]])&gt;=0,"PRESUPUESTO: SI","PRESUPUESTO: NO")</f>
        <v>PRESUPUESTO: SI</v>
      </c>
      <c r="L495" s="162">
        <f>SUMIF(PRESUPUESTO[CUENTA],EJECUTADO[[#This Row],[CUENTA]],PRESUPUESTO[MONTO])-SUMIF($F$1:F494,EJECUTADO[[#This Row],[CUENTA]],$M$1:M494)</f>
        <v>20722.13</v>
      </c>
      <c r="M495" s="2">
        <v>560</v>
      </c>
      <c r="N495" s="2"/>
      <c r="O495" s="2"/>
      <c r="P495" s="162">
        <f>+EJECUTADO[[#This Row],[MONTO SOLICITADO]]-EJECUTADO[[#This Row],[RETENCION IVA]]-EJECUTADO[[#This Row],[RETENCION ISR]]</f>
        <v>560</v>
      </c>
      <c r="Q495" s="84" t="s">
        <v>1000</v>
      </c>
      <c r="R495" s="2"/>
      <c r="S495">
        <v>1</v>
      </c>
      <c r="T495" s="168" t="str">
        <f t="shared" si="14"/>
        <v>PRESTACIONES AL PERSONAL - Cuotas Clubes Sociales Disponible $20722.13 Solicitado $560 PRESUPUESTO: SI</v>
      </c>
    </row>
    <row r="496" spans="1:20" x14ac:dyDescent="0.25">
      <c r="A496" s="6">
        <f t="shared" si="15"/>
        <v>493</v>
      </c>
      <c r="B496" s="21">
        <v>45341</v>
      </c>
      <c r="C496" s="17" t="s">
        <v>1289</v>
      </c>
      <c r="D496" s="65" t="s">
        <v>1285</v>
      </c>
      <c r="E496" s="65"/>
      <c r="F496" t="s">
        <v>1695</v>
      </c>
      <c r="G496" s="161">
        <f>MONTH(EJECUTADO[[#This Row],[FECHA]])</f>
        <v>2</v>
      </c>
      <c r="H496" s="163" t="str">
        <f>MID(EJECUTADO[[#This Row],[CUENTA]],1,4)</f>
        <v>E-25</v>
      </c>
      <c r="I496" s="163" t="str">
        <f>INDEX(CATALOGO[Descripción],MATCH(EJECUTADO[[#This Row],[APLICACIÓN]]&amp;"-00-00-00",CATALOGO[Código],0))</f>
        <v>DECANATO DE ESTUDIANTES</v>
      </c>
      <c r="J4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MEMBRESIAS</v>
      </c>
      <c r="K496" s="161" t="str">
        <f>IF((EJECUTADO[[#This Row],[MONTO DISPONIBLE ]]-EJECUTADO[[#This Row],[MONTO SOLICITADO]])&gt;=0,"PRESUPUESTO: SI","PRESUPUESTO: NO")</f>
        <v>PRESUPUESTO: SI</v>
      </c>
      <c r="L496" s="162">
        <f>SUMIF(PRESUPUESTO[CUENTA],EJECUTADO[[#This Row],[CUENTA]],PRESUPUESTO[MONTO])-SUMIF($F$1:F495,EJECUTADO[[#This Row],[CUENTA]],$M$1:M495)</f>
        <v>1530</v>
      </c>
      <c r="M496" s="2">
        <v>140</v>
      </c>
      <c r="N496" s="2"/>
      <c r="O496" s="2"/>
      <c r="P496" s="162">
        <f>+EJECUTADO[[#This Row],[MONTO SOLICITADO]]-EJECUTADO[[#This Row],[RETENCION IVA]]-EJECUTADO[[#This Row],[RETENCION ISR]]</f>
        <v>140</v>
      </c>
      <c r="Q496" s="84" t="s">
        <v>1000</v>
      </c>
      <c r="R496" s="2"/>
      <c r="S496">
        <v>1</v>
      </c>
      <c r="T496" s="168" t="str">
        <f t="shared" si="14"/>
        <v>DECANATO DE ESTUDIANTES - MEMBRESIAS Disponible $1530 Solicitado $140 PRESUPUESTO: SI</v>
      </c>
    </row>
    <row r="497" spans="1:20" ht="30" x14ac:dyDescent="0.25">
      <c r="A497" s="6">
        <f t="shared" si="15"/>
        <v>494</v>
      </c>
      <c r="B497" s="21">
        <v>45341</v>
      </c>
      <c r="C497" s="17" t="s">
        <v>1224</v>
      </c>
      <c r="D497" s="65" t="s">
        <v>1696</v>
      </c>
      <c r="E497" s="65"/>
      <c r="F497" t="s">
        <v>1003</v>
      </c>
      <c r="G497" s="161">
        <f>MONTH(EJECUTADO[[#This Row],[FECHA]])</f>
        <v>2</v>
      </c>
      <c r="H497" s="163" t="str">
        <f>MID(EJECUTADO[[#This Row],[CUENTA]],1,4)</f>
        <v>E-13</v>
      </c>
      <c r="I497" s="163" t="str">
        <f>INDEX(CATALOGO[Descripción],MATCH(EJECUTADO[[#This Row],[APLICACIÓN]]&amp;"-00-00-00",CATALOGO[Código],0))</f>
        <v>MAESTRIAS Y POSTGRADOS</v>
      </c>
      <c r="J4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497" s="161" t="str">
        <f>IF((EJECUTADO[[#This Row],[MONTO DISPONIBLE ]]-EJECUTADO[[#This Row],[MONTO SOLICITADO]])&gt;=0,"PRESUPUESTO: SI","PRESUPUESTO: NO")</f>
        <v>PRESUPUESTO: SI</v>
      </c>
      <c r="L497" s="162">
        <f>SUMIF(PRESUPUESTO[CUENTA],EJECUTADO[[#This Row],[CUENTA]],PRESUPUESTO[MONTO])-SUMIF($F$1:F496,EJECUTADO[[#This Row],[CUENTA]],$M$1:M496)</f>
        <v>2298.4</v>
      </c>
      <c r="M497" s="2">
        <v>200</v>
      </c>
      <c r="N497" s="2"/>
      <c r="O497" s="2"/>
      <c r="P497" s="162">
        <f>+EJECUTADO[[#This Row],[MONTO SOLICITADO]]-EJECUTADO[[#This Row],[RETENCION IVA]]-EJECUTADO[[#This Row],[RETENCION ISR]]</f>
        <v>200</v>
      </c>
      <c r="Q497" s="84" t="s">
        <v>1000</v>
      </c>
      <c r="R497" s="2"/>
      <c r="S497">
        <v>1</v>
      </c>
      <c r="T497" s="168" t="str">
        <f t="shared" si="14"/>
        <v>MAESTRIAS Y POSTGRADOS - MANTENIMIENTO ASENSORES  Disponible $2298.4 Solicitado $200 PRESUPUESTO: SI</v>
      </c>
    </row>
    <row r="498" spans="1:20" ht="60" x14ac:dyDescent="0.25">
      <c r="A498" s="6">
        <f t="shared" si="15"/>
        <v>495</v>
      </c>
      <c r="B498" s="21">
        <v>45341</v>
      </c>
      <c r="C498" s="17" t="s">
        <v>1697</v>
      </c>
      <c r="D498" s="65" t="s">
        <v>1698</v>
      </c>
      <c r="E498" s="65"/>
      <c r="F498" t="s">
        <v>1699</v>
      </c>
      <c r="G498" s="161">
        <f>MONTH(EJECUTADO[[#This Row],[FECHA]])</f>
        <v>2</v>
      </c>
      <c r="H498" s="163" t="str">
        <f>MID(EJECUTADO[[#This Row],[CUENTA]],1,4)</f>
        <v>E-27</v>
      </c>
      <c r="I498" s="163" t="str">
        <f>INDEX(CATALOGO[Descripción],MATCH(EJECUTADO[[#This Row],[APLICACIÓN]]&amp;"-00-00-00",CATALOGO[Código],0))</f>
        <v>INSUMOS DE OFICINA</v>
      </c>
      <c r="J4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498" s="161" t="str">
        <f>IF((EJECUTADO[[#This Row],[MONTO DISPONIBLE ]]-EJECUTADO[[#This Row],[MONTO SOLICITADO]])&gt;=0,"PRESUPUESTO: SI","PRESUPUESTO: NO")</f>
        <v>PRESUPUESTO: NO</v>
      </c>
      <c r="L498" s="162">
        <f>SUMIF(PRESUPUESTO[CUENTA],EJECUTADO[[#This Row],[CUENTA]],PRESUPUESTO[MONTO])-SUMIF($F$1:F497,EJECUTADO[[#This Row],[CUENTA]],$M$1:M497)</f>
        <v>0</v>
      </c>
      <c r="M498" s="2">
        <v>538</v>
      </c>
      <c r="N498" s="2"/>
      <c r="O498" s="2"/>
      <c r="P498" s="162">
        <f>+EJECUTADO[[#This Row],[MONTO SOLICITADO]]-EJECUTADO[[#This Row],[RETENCION IVA]]-EJECUTADO[[#This Row],[RETENCION ISR]]</f>
        <v>538</v>
      </c>
      <c r="Q498" s="84" t="s">
        <v>1000</v>
      </c>
      <c r="R498" s="2"/>
      <c r="S498">
        <v>1</v>
      </c>
      <c r="T498" s="168" t="e">
        <f t="shared" si="14"/>
        <v>#N/A</v>
      </c>
    </row>
    <row r="499" spans="1:20" ht="30" x14ac:dyDescent="0.25">
      <c r="A499" s="6">
        <f t="shared" si="15"/>
        <v>496</v>
      </c>
      <c r="B499" s="21">
        <v>45341</v>
      </c>
      <c r="C499" s="17" t="s">
        <v>1700</v>
      </c>
      <c r="D499" s="65" t="s">
        <v>1701</v>
      </c>
      <c r="E499" s="65"/>
      <c r="F499" t="s">
        <v>1275</v>
      </c>
      <c r="G499" s="161">
        <f>MONTH(EJECUTADO[[#This Row],[FECHA]])</f>
        <v>2</v>
      </c>
      <c r="H499" s="163" t="str">
        <f>MID(EJECUTADO[[#This Row],[CUENTA]],1,4)</f>
        <v>E-27</v>
      </c>
      <c r="I499" s="163" t="str">
        <f>INDEX(CATALOGO[Descripción],MATCH(EJECUTADO[[#This Row],[APLICACIÓN]]&amp;"-00-00-00",CATALOGO[Código],0))</f>
        <v>INSUMOS DE OFICINA</v>
      </c>
      <c r="J4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499" s="161" t="str">
        <f>IF((EJECUTADO[[#This Row],[MONTO DISPONIBLE ]]-EJECUTADO[[#This Row],[MONTO SOLICITADO]])&gt;=0,"PRESUPUESTO: SI","PRESUPUESTO: NO")</f>
        <v>PRESUPUESTO: SI</v>
      </c>
      <c r="L499" s="162">
        <f>SUMIF(PRESUPUESTO[CUENTA],EJECUTADO[[#This Row],[CUENTA]],PRESUPUESTO[MONTO])-SUMIF($F$1:F498,EJECUTADO[[#This Row],[CUENTA]],$M$1:M498)</f>
        <v>45713.75</v>
      </c>
      <c r="M499" s="2">
        <v>1186.5</v>
      </c>
      <c r="N499" s="2"/>
      <c r="O499" s="2"/>
      <c r="P499" s="162">
        <f>+EJECUTADO[[#This Row],[MONTO SOLICITADO]]-EJECUTADO[[#This Row],[RETENCION IVA]]-EJECUTADO[[#This Row],[RETENCION ISR]]</f>
        <v>1186.5</v>
      </c>
      <c r="Q499" s="84" t="s">
        <v>1000</v>
      </c>
      <c r="R499" s="2"/>
      <c r="S499">
        <v>1</v>
      </c>
      <c r="T499" s="168" t="str">
        <f t="shared" si="14"/>
        <v>INSUMOS DE OFICINA - PAPELERIA Y UTILES Disponible $45713.75 Solicitado $1186.5 PRESUPUESTO: SI</v>
      </c>
    </row>
    <row r="500" spans="1:20" ht="30" x14ac:dyDescent="0.25">
      <c r="A500" s="6">
        <f t="shared" si="15"/>
        <v>497</v>
      </c>
      <c r="B500" s="21">
        <v>45341</v>
      </c>
      <c r="C500" s="17" t="s">
        <v>1702</v>
      </c>
      <c r="D500" s="65" t="s">
        <v>1703</v>
      </c>
      <c r="E500" s="65"/>
      <c r="F500" t="s">
        <v>1699</v>
      </c>
      <c r="G500" s="161">
        <f>MONTH(EJECUTADO[[#This Row],[FECHA]])</f>
        <v>2</v>
      </c>
      <c r="H500" s="163" t="str">
        <f>MID(EJECUTADO[[#This Row],[CUENTA]],1,4)</f>
        <v>E-27</v>
      </c>
      <c r="I500" s="163" t="str">
        <f>INDEX(CATALOGO[Descripción],MATCH(EJECUTADO[[#This Row],[APLICACIÓN]]&amp;"-00-00-00",CATALOGO[Código],0))</f>
        <v>INSUMOS DE OFICINA</v>
      </c>
      <c r="J50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00" s="161" t="str">
        <f>IF((EJECUTADO[[#This Row],[MONTO DISPONIBLE ]]-EJECUTADO[[#This Row],[MONTO SOLICITADO]])&gt;=0,"PRESUPUESTO: SI","PRESUPUESTO: NO")</f>
        <v>PRESUPUESTO: NO</v>
      </c>
      <c r="L500" s="162">
        <f>SUMIF(PRESUPUESTO[CUENTA],EJECUTADO[[#This Row],[CUENTA]],PRESUPUESTO[MONTO])-SUMIF($F$1:F499,EJECUTADO[[#This Row],[CUENTA]],$M$1:M499)</f>
        <v>-538</v>
      </c>
      <c r="M500" s="2">
        <v>787.5</v>
      </c>
      <c r="N500" s="2"/>
      <c r="O500" s="2"/>
      <c r="P500" s="162">
        <f>+EJECUTADO[[#This Row],[MONTO SOLICITADO]]-EJECUTADO[[#This Row],[RETENCION IVA]]-EJECUTADO[[#This Row],[RETENCION ISR]]</f>
        <v>787.5</v>
      </c>
      <c r="Q500" s="84" t="s">
        <v>1000</v>
      </c>
      <c r="R500" s="2"/>
      <c r="S500">
        <v>1</v>
      </c>
      <c r="T500" s="168" t="e">
        <f t="shared" si="14"/>
        <v>#N/A</v>
      </c>
    </row>
    <row r="501" spans="1:20" ht="60" x14ac:dyDescent="0.25">
      <c r="A501" s="6">
        <f t="shared" si="15"/>
        <v>498</v>
      </c>
      <c r="B501" s="21">
        <v>45341</v>
      </c>
      <c r="C501" s="17" t="s">
        <v>1704</v>
      </c>
      <c r="D501" s="65" t="s">
        <v>1705</v>
      </c>
      <c r="E501" s="65"/>
      <c r="F501" t="s">
        <v>1108</v>
      </c>
      <c r="G501" s="161">
        <f>MONTH(EJECUTADO[[#This Row],[FECHA]])</f>
        <v>2</v>
      </c>
      <c r="H501" s="163" t="str">
        <f>MID(EJECUTADO[[#This Row],[CUENTA]],1,4)</f>
        <v>E-16</v>
      </c>
      <c r="I501" s="163" t="str">
        <f>INDEX(CATALOGO[Descripción],MATCH(EJECUTADO[[#This Row],[APLICACIÓN]]&amp;"-00-00-00",CATALOGO[Código],0))</f>
        <v xml:space="preserve">PRE-ESPECIALIDAD </v>
      </c>
      <c r="J5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501" s="161" t="str">
        <f>IF((EJECUTADO[[#This Row],[MONTO DISPONIBLE ]]-EJECUTADO[[#This Row],[MONTO SOLICITADO]])&gt;=0,"PRESUPUESTO: SI","PRESUPUESTO: NO")</f>
        <v>PRESUPUESTO: NO</v>
      </c>
      <c r="L501" s="162">
        <f>SUMIF(PRESUPUESTO[CUENTA],EJECUTADO[[#This Row],[CUENTA]],PRESUPUESTO[MONTO])-SUMIF($F$1:F500,EJECUTADO[[#This Row],[CUENTA]],$M$1:M500)</f>
        <v>-222</v>
      </c>
      <c r="M501" s="2">
        <v>11050</v>
      </c>
      <c r="N501" s="2"/>
      <c r="O501" s="2"/>
      <c r="P501" s="162">
        <f>+EJECUTADO[[#This Row],[MONTO SOLICITADO]]-EJECUTADO[[#This Row],[RETENCION IVA]]-EJECUTADO[[#This Row],[RETENCION ISR]]</f>
        <v>11050</v>
      </c>
      <c r="Q501" s="84" t="s">
        <v>1000</v>
      </c>
      <c r="R501" s="2"/>
      <c r="S501">
        <v>1</v>
      </c>
      <c r="T501" s="168" t="str">
        <f t="shared" si="14"/>
        <v>PRE-ESPECIALIDAD  - nd Disponible $-222 Solicitado $11050 PRESUPUESTO: NO</v>
      </c>
    </row>
    <row r="502" spans="1:20" ht="30" x14ac:dyDescent="0.25">
      <c r="A502" s="6">
        <f t="shared" si="15"/>
        <v>499</v>
      </c>
      <c r="B502" s="21">
        <v>45341</v>
      </c>
      <c r="C502" s="17" t="s">
        <v>1706</v>
      </c>
      <c r="D502" s="65" t="s">
        <v>1707</v>
      </c>
      <c r="E502" s="65"/>
      <c r="F502" t="s">
        <v>1708</v>
      </c>
      <c r="G502" s="161">
        <f>MONTH(EJECUTADO[[#This Row],[FECHA]])</f>
        <v>2</v>
      </c>
      <c r="H502" s="163" t="str">
        <f>MID(EJECUTADO[[#This Row],[CUENTA]],1,4)</f>
        <v>E-25</v>
      </c>
      <c r="I502" s="163" t="str">
        <f>INDEX(CATALOGO[Descripción],MATCH(EJECUTADO[[#This Row],[APLICACIÓN]]&amp;"-00-00-00",CATALOGO[Código],0))</f>
        <v>DECANATO DE ESTUDIANTES</v>
      </c>
      <c r="J5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Uniformes Deportivos</v>
      </c>
      <c r="K502" s="161" t="str">
        <f>IF((EJECUTADO[[#This Row],[MONTO DISPONIBLE ]]-EJECUTADO[[#This Row],[MONTO SOLICITADO]])&gt;=0,"PRESUPUESTO: SI","PRESUPUESTO: NO")</f>
        <v>PRESUPUESTO: SI</v>
      </c>
      <c r="L502" s="162">
        <f>SUMIF(PRESUPUESTO[CUENTA],EJECUTADO[[#This Row],[CUENTA]],PRESUPUESTO[MONTO])-SUMIF($F$1:F501,EJECUTADO[[#This Row],[CUENTA]],$M$1:M501)</f>
        <v>12000</v>
      </c>
      <c r="M502" s="2">
        <v>5946.81</v>
      </c>
      <c r="N502" s="2"/>
      <c r="O502" s="2"/>
      <c r="P502" s="162">
        <f>+EJECUTADO[[#This Row],[MONTO SOLICITADO]]-EJECUTADO[[#This Row],[RETENCION IVA]]-EJECUTADO[[#This Row],[RETENCION ISR]]</f>
        <v>5946.81</v>
      </c>
      <c r="Q502" s="84" t="s">
        <v>1000</v>
      </c>
      <c r="R502" s="2"/>
      <c r="S502">
        <v>1</v>
      </c>
      <c r="T502" s="168" t="str">
        <f t="shared" si="14"/>
        <v>DECANATO DE ESTUDIANTES - U. recreación y deportes - Uniformes Deportivos Disponible $12000 Solicitado $5946.81 PRESUPUESTO: SI</v>
      </c>
    </row>
    <row r="503" spans="1:20" ht="75" x14ac:dyDescent="0.25">
      <c r="A503" s="6">
        <f t="shared" si="15"/>
        <v>500</v>
      </c>
      <c r="B503" s="21">
        <v>45341</v>
      </c>
      <c r="C503" s="17" t="s">
        <v>1349</v>
      </c>
      <c r="D503" s="65" t="s">
        <v>1709</v>
      </c>
      <c r="E503" s="65"/>
      <c r="F503" t="s">
        <v>1219</v>
      </c>
      <c r="G503" s="161">
        <f>MONTH(EJECUTADO[[#This Row],[FECHA]])</f>
        <v>2</v>
      </c>
      <c r="H503" s="163" t="str">
        <f>MID(EJECUTADO[[#This Row],[CUENTA]],1,4)</f>
        <v>E-33</v>
      </c>
      <c r="I503" s="163" t="str">
        <f>INDEX(CATALOGO[Descripción],MATCH(EJECUTADO[[#This Row],[APLICACIÓN]]&amp;"-00-00-00",CATALOGO[Código],0))</f>
        <v xml:space="preserve">PROVEEDORES </v>
      </c>
      <c r="J5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OTROS</v>
      </c>
      <c r="K503" s="161" t="str">
        <f>IF((EJECUTADO[[#This Row],[MONTO DISPONIBLE ]]-EJECUTADO[[#This Row],[MONTO SOLICITADO]])&gt;=0,"PRESUPUESTO: SI","PRESUPUESTO: NO")</f>
        <v>PRESUPUESTO: SI</v>
      </c>
      <c r="L503" s="162">
        <f>SUMIF(PRESUPUESTO[CUENTA],EJECUTADO[[#This Row],[CUENTA]],PRESUPUESTO[MONTO])-SUMIF($F$1:F502,EJECUTADO[[#This Row],[CUENTA]],$M$1:M502)</f>
        <v>68284.47</v>
      </c>
      <c r="M503" s="2">
        <v>1500</v>
      </c>
      <c r="N503" s="2"/>
      <c r="O503" s="2"/>
      <c r="P503" s="162">
        <f>+EJECUTADO[[#This Row],[MONTO SOLICITADO]]-EJECUTADO[[#This Row],[RETENCION IVA]]-EJECUTADO[[#This Row],[RETENCION ISR]]</f>
        <v>1500</v>
      </c>
      <c r="Q503" s="84" t="s">
        <v>1000</v>
      </c>
      <c r="R503" s="2"/>
      <c r="S503">
        <v>1</v>
      </c>
      <c r="T503" s="168" t="str">
        <f t="shared" si="14"/>
        <v>PROVEEDORES  - OTROS Disponible $68284.47 Solicitado $1500 PRESUPUESTO: SI</v>
      </c>
    </row>
    <row r="504" spans="1:20" ht="30" x14ac:dyDescent="0.25">
      <c r="A504" s="6">
        <f t="shared" si="15"/>
        <v>501</v>
      </c>
      <c r="B504" s="21">
        <v>45341</v>
      </c>
      <c r="C504" s="17" t="s">
        <v>1394</v>
      </c>
      <c r="D504" s="65" t="s">
        <v>1710</v>
      </c>
      <c r="E504" s="65"/>
      <c r="F504" t="s">
        <v>1396</v>
      </c>
      <c r="G504" s="161">
        <f>MONTH(EJECUTADO[[#This Row],[FECHA]])</f>
        <v>2</v>
      </c>
      <c r="H504" s="163" t="str">
        <f>MID(EJECUTADO[[#This Row],[CUENTA]],1,4)</f>
        <v>E-04</v>
      </c>
      <c r="I504" s="163" t="str">
        <f>INDEX(CATALOGO[Descripción],MATCH(EJECUTADO[[#This Row],[APLICACIÓN]]&amp;"-00-00-00",CATALOGO[Código],0))</f>
        <v>SUELDOS ACADÉMICOS</v>
      </c>
      <c r="J5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504" s="161" t="str">
        <f>IF((EJECUTADO[[#This Row],[MONTO DISPONIBLE ]]-EJECUTADO[[#This Row],[MONTO SOLICITADO]])&gt;=0,"PRESUPUESTO: SI","PRESUPUESTO: NO")</f>
        <v>PRESUPUESTO: SI</v>
      </c>
      <c r="L504" s="162">
        <f>SUMIF(PRESUPUESTO[CUENTA],EJECUTADO[[#This Row],[CUENTA]],PRESUPUESTO[MONTO])-SUMIF($F$1:F503,EJECUTADO[[#This Row],[CUENTA]],$M$1:M503)</f>
        <v>59726.53</v>
      </c>
      <c r="M504" s="2">
        <v>228.75</v>
      </c>
      <c r="N504" s="2"/>
      <c r="O504" s="2"/>
      <c r="P504" s="162">
        <f>+EJECUTADO[[#This Row],[MONTO SOLICITADO]]-EJECUTADO[[#This Row],[RETENCION IVA]]-EJECUTADO[[#This Row],[RETENCION ISR]]</f>
        <v>228.75</v>
      </c>
      <c r="Q504" s="84" t="s">
        <v>1000</v>
      </c>
      <c r="R504" s="2"/>
      <c r="S504">
        <v>1</v>
      </c>
      <c r="T504" s="168" t="str">
        <f t="shared" si="14"/>
        <v>SUELDOS ACADÉMICOS - SUELDOS Y SALARIOS NUEVO INGRESO Disponible $59726.53 Solicitado $228.75 PRESUPUESTO: SI</v>
      </c>
    </row>
    <row r="505" spans="1:20" ht="30" x14ac:dyDescent="0.25">
      <c r="A505" s="6">
        <f t="shared" si="15"/>
        <v>502</v>
      </c>
      <c r="B505" s="21">
        <v>45341</v>
      </c>
      <c r="C505" s="17" t="s">
        <v>1711</v>
      </c>
      <c r="D505" s="65" t="s">
        <v>1710</v>
      </c>
      <c r="E505" s="65"/>
      <c r="F505" t="s">
        <v>1396</v>
      </c>
      <c r="G505" s="161">
        <f>MONTH(EJECUTADO[[#This Row],[FECHA]])</f>
        <v>2</v>
      </c>
      <c r="H505" s="163" t="str">
        <f>MID(EJECUTADO[[#This Row],[CUENTA]],1,4)</f>
        <v>E-04</v>
      </c>
      <c r="I505" s="163" t="str">
        <f>INDEX(CATALOGO[Descripción],MATCH(EJECUTADO[[#This Row],[APLICACIÓN]]&amp;"-00-00-00",CATALOGO[Código],0))</f>
        <v>SUELDOS ACADÉMICOS</v>
      </c>
      <c r="J5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505" s="161" t="str">
        <f>IF((EJECUTADO[[#This Row],[MONTO DISPONIBLE ]]-EJECUTADO[[#This Row],[MONTO SOLICITADO]])&gt;=0,"PRESUPUESTO: SI","PRESUPUESTO: NO")</f>
        <v>PRESUPUESTO: SI</v>
      </c>
      <c r="L505" s="162">
        <f>SUMIF(PRESUPUESTO[CUENTA],EJECUTADO[[#This Row],[CUENTA]],PRESUPUESTO[MONTO])-SUMIF($F$1:F504,EJECUTADO[[#This Row],[CUENTA]],$M$1:M504)</f>
        <v>59497.78</v>
      </c>
      <c r="M505" s="2">
        <v>124</v>
      </c>
      <c r="N505" s="2"/>
      <c r="O505" s="2"/>
      <c r="P505" s="162">
        <f>+EJECUTADO[[#This Row],[MONTO SOLICITADO]]-EJECUTADO[[#This Row],[RETENCION IVA]]-EJECUTADO[[#This Row],[RETENCION ISR]]</f>
        <v>124</v>
      </c>
      <c r="Q505" s="84" t="s">
        <v>1000</v>
      </c>
      <c r="R505" s="2"/>
      <c r="S505">
        <v>1</v>
      </c>
      <c r="T505" s="168" t="str">
        <f t="shared" si="14"/>
        <v>SUELDOS ACADÉMICOS - SUELDOS Y SALARIOS NUEVO INGRESO Disponible $59497.78 Solicitado $124 PRESUPUESTO: SI</v>
      </c>
    </row>
    <row r="506" spans="1:20" ht="30" x14ac:dyDescent="0.25">
      <c r="A506" s="6">
        <f t="shared" si="15"/>
        <v>503</v>
      </c>
      <c r="B506" s="21">
        <v>45341</v>
      </c>
      <c r="C506" s="17" t="s">
        <v>1712</v>
      </c>
      <c r="D506" s="65" t="s">
        <v>1710</v>
      </c>
      <c r="E506" s="65"/>
      <c r="F506" t="s">
        <v>1396</v>
      </c>
      <c r="G506" s="161">
        <f>MONTH(EJECUTADO[[#This Row],[FECHA]])</f>
        <v>2</v>
      </c>
      <c r="H506" s="163" t="str">
        <f>MID(EJECUTADO[[#This Row],[CUENTA]],1,4)</f>
        <v>E-04</v>
      </c>
      <c r="I506" s="163" t="str">
        <f>INDEX(CATALOGO[Descripción],MATCH(EJECUTADO[[#This Row],[APLICACIÓN]]&amp;"-00-00-00",CATALOGO[Código],0))</f>
        <v>SUELDOS ACADÉMICOS</v>
      </c>
      <c r="J5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506" s="161" t="str">
        <f>IF((EJECUTADO[[#This Row],[MONTO DISPONIBLE ]]-EJECUTADO[[#This Row],[MONTO SOLICITADO]])&gt;=0,"PRESUPUESTO: SI","PRESUPUESTO: NO")</f>
        <v>PRESUPUESTO: SI</v>
      </c>
      <c r="L506" s="162">
        <f>SUMIF(PRESUPUESTO[CUENTA],EJECUTADO[[#This Row],[CUENTA]],PRESUPUESTO[MONTO])-SUMIF($F$1:F505,EJECUTADO[[#This Row],[CUENTA]],$M$1:M505)</f>
        <v>59373.78</v>
      </c>
      <c r="M506" s="2">
        <v>127.5</v>
      </c>
      <c r="N506" s="2"/>
      <c r="O506" s="2"/>
      <c r="P506" s="162">
        <f>+EJECUTADO[[#This Row],[MONTO SOLICITADO]]-EJECUTADO[[#This Row],[RETENCION IVA]]-EJECUTADO[[#This Row],[RETENCION ISR]]</f>
        <v>127.5</v>
      </c>
      <c r="Q506" s="84" t="s">
        <v>1000</v>
      </c>
      <c r="R506" s="2"/>
      <c r="S506">
        <v>1</v>
      </c>
      <c r="T506" s="168" t="str">
        <f t="shared" si="14"/>
        <v>SUELDOS ACADÉMICOS - SUELDOS Y SALARIOS NUEVO INGRESO Disponible $59373.78 Solicitado $127.5 PRESUPUESTO: SI</v>
      </c>
    </row>
    <row r="507" spans="1:20" ht="30" x14ac:dyDescent="0.25">
      <c r="A507" s="6">
        <f t="shared" si="15"/>
        <v>504</v>
      </c>
      <c r="B507" s="21">
        <v>45341</v>
      </c>
      <c r="C507" s="17" t="s">
        <v>1713</v>
      </c>
      <c r="D507" s="65" t="s">
        <v>1710</v>
      </c>
      <c r="E507" s="65"/>
      <c r="F507" t="s">
        <v>1396</v>
      </c>
      <c r="G507" s="161">
        <f>MONTH(EJECUTADO[[#This Row],[FECHA]])</f>
        <v>2</v>
      </c>
      <c r="H507" s="163" t="str">
        <f>MID(EJECUTADO[[#This Row],[CUENTA]],1,4)</f>
        <v>E-04</v>
      </c>
      <c r="I507" s="163" t="str">
        <f>INDEX(CATALOGO[Descripción],MATCH(EJECUTADO[[#This Row],[APLICACIÓN]]&amp;"-00-00-00",CATALOGO[Código],0))</f>
        <v>SUELDOS ACADÉMICOS</v>
      </c>
      <c r="J5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507" s="161" t="str">
        <f>IF((EJECUTADO[[#This Row],[MONTO DISPONIBLE ]]-EJECUTADO[[#This Row],[MONTO SOLICITADO]])&gt;=0,"PRESUPUESTO: SI","PRESUPUESTO: NO")</f>
        <v>PRESUPUESTO: SI</v>
      </c>
      <c r="L507" s="162">
        <f>SUMIF(PRESUPUESTO[CUENTA],EJECUTADO[[#This Row],[CUENTA]],PRESUPUESTO[MONTO])-SUMIF($F$1:F506,EJECUTADO[[#This Row],[CUENTA]],$M$1:M506)</f>
        <v>59246.28</v>
      </c>
      <c r="M507" s="2">
        <v>138.75</v>
      </c>
      <c r="N507" s="2"/>
      <c r="O507" s="2"/>
      <c r="P507" s="162">
        <f>+EJECUTADO[[#This Row],[MONTO SOLICITADO]]-EJECUTADO[[#This Row],[RETENCION IVA]]-EJECUTADO[[#This Row],[RETENCION ISR]]</f>
        <v>138.75</v>
      </c>
      <c r="Q507" s="84" t="s">
        <v>1000</v>
      </c>
      <c r="R507" s="2"/>
      <c r="S507">
        <v>1</v>
      </c>
      <c r="T507" s="168" t="str">
        <f t="shared" si="14"/>
        <v>SUELDOS ACADÉMICOS - SUELDOS Y SALARIOS NUEVO INGRESO Disponible $59246.28 Solicitado $138.75 PRESUPUESTO: SI</v>
      </c>
    </row>
    <row r="508" spans="1:20" ht="75" x14ac:dyDescent="0.25">
      <c r="A508" s="6">
        <f t="shared" si="15"/>
        <v>505</v>
      </c>
      <c r="B508" s="21">
        <v>45341</v>
      </c>
      <c r="C508" s="17" t="s">
        <v>1714</v>
      </c>
      <c r="D508" s="65" t="s">
        <v>1715</v>
      </c>
      <c r="E508" s="65"/>
      <c r="F508" t="s">
        <v>1420</v>
      </c>
      <c r="G508" s="161">
        <f>MONTH(EJECUTADO[[#This Row],[FECHA]])</f>
        <v>2</v>
      </c>
      <c r="H508" s="163" t="str">
        <f>MID(EJECUTADO[[#This Row],[CUENTA]],1,4)</f>
        <v>E-03</v>
      </c>
      <c r="I508" s="163" t="str">
        <f>INDEX(CATALOGO[Descripción],MATCH(EJECUTADO[[#This Row],[APLICACIÓN]]&amp;"-00-00-00",CATALOGO[Código],0))</f>
        <v>SUELDOS ADMINISTRATIVOS</v>
      </c>
      <c r="J5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508" s="161" t="str">
        <f>IF((EJECUTADO[[#This Row],[MONTO DISPONIBLE ]]-EJECUTADO[[#This Row],[MONTO SOLICITADO]])&gt;=0,"PRESUPUESTO: SI","PRESUPUESTO: NO")</f>
        <v>PRESUPUESTO: SI</v>
      </c>
      <c r="L508" s="162">
        <f>SUMIF(PRESUPUESTO[CUENTA],EJECUTADO[[#This Row],[CUENTA]],PRESUPUESTO[MONTO])-SUMIF($F$1:F507,EJECUTADO[[#This Row],[CUENTA]],$M$1:M507)</f>
        <v>967250</v>
      </c>
      <c r="M508" s="2">
        <v>0</v>
      </c>
      <c r="N508" s="2"/>
      <c r="O508" s="2"/>
      <c r="P508" s="162">
        <f>+EJECUTADO[[#This Row],[MONTO SOLICITADO]]-EJECUTADO[[#This Row],[RETENCION IVA]]-EJECUTADO[[#This Row],[RETENCION ISR]]</f>
        <v>0</v>
      </c>
      <c r="Q508" s="84" t="s">
        <v>1000</v>
      </c>
      <c r="R508" s="2"/>
      <c r="S508">
        <v>1</v>
      </c>
      <c r="T508" s="168" t="str">
        <f t="shared" si="14"/>
        <v>SUELDOS ADMINISTRATIVOS - SUELDOS Y SALARIOS PRESIDENCIA JUNTA GU Disponible $967250 Solicitado $0 PRESUPUESTO: SI</v>
      </c>
    </row>
    <row r="509" spans="1:20" ht="75" x14ac:dyDescent="0.25">
      <c r="A509" s="6">
        <f t="shared" si="15"/>
        <v>506</v>
      </c>
      <c r="B509" s="21">
        <v>45341</v>
      </c>
      <c r="C509" s="17" t="s">
        <v>1716</v>
      </c>
      <c r="D509" s="65" t="s">
        <v>1715</v>
      </c>
      <c r="E509" s="65"/>
      <c r="F509" t="s">
        <v>1420</v>
      </c>
      <c r="G509" s="161">
        <f>MONTH(EJECUTADO[[#This Row],[FECHA]])</f>
        <v>2</v>
      </c>
      <c r="H509" s="163" t="str">
        <f>MID(EJECUTADO[[#This Row],[CUENTA]],1,4)</f>
        <v>E-03</v>
      </c>
      <c r="I509" s="163" t="str">
        <f>INDEX(CATALOGO[Descripción],MATCH(EJECUTADO[[#This Row],[APLICACIÓN]]&amp;"-00-00-00",CATALOGO[Código],0))</f>
        <v>SUELDOS ADMINISTRATIVOS</v>
      </c>
      <c r="J5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509" s="161" t="str">
        <f>IF((EJECUTADO[[#This Row],[MONTO DISPONIBLE ]]-EJECUTADO[[#This Row],[MONTO SOLICITADO]])&gt;=0,"PRESUPUESTO: SI","PRESUPUESTO: NO")</f>
        <v>PRESUPUESTO: SI</v>
      </c>
      <c r="L509" s="162">
        <f>SUMIF(PRESUPUESTO[CUENTA],EJECUTADO[[#This Row],[CUENTA]],PRESUPUESTO[MONTO])-SUMIF($F$1:F508,EJECUTADO[[#This Row],[CUENTA]],$M$1:M508)</f>
        <v>967250</v>
      </c>
      <c r="M509" s="2">
        <v>0</v>
      </c>
      <c r="N509" s="2"/>
      <c r="O509" s="2"/>
      <c r="P509" s="162">
        <f>+EJECUTADO[[#This Row],[MONTO SOLICITADO]]-EJECUTADO[[#This Row],[RETENCION IVA]]-EJECUTADO[[#This Row],[RETENCION ISR]]</f>
        <v>0</v>
      </c>
      <c r="Q509" s="84" t="s">
        <v>1000</v>
      </c>
      <c r="R509" s="2"/>
      <c r="S509">
        <v>1</v>
      </c>
      <c r="T509" s="168" t="str">
        <f t="shared" si="14"/>
        <v>SUELDOS ADMINISTRATIVOS - SUELDOS Y SALARIOS PRESIDENCIA JUNTA GU Disponible $967250 Solicitado $0 PRESUPUESTO: SI</v>
      </c>
    </row>
    <row r="510" spans="1:20" ht="75" x14ac:dyDescent="0.25">
      <c r="A510" s="6">
        <f t="shared" si="15"/>
        <v>507</v>
      </c>
      <c r="B510" s="21">
        <v>45341</v>
      </c>
      <c r="C510" s="17" t="s">
        <v>1717</v>
      </c>
      <c r="D510" s="65" t="s">
        <v>1715</v>
      </c>
      <c r="E510" s="65"/>
      <c r="F510" t="s">
        <v>1468</v>
      </c>
      <c r="G510" s="161">
        <f>MONTH(EJECUTADO[[#This Row],[FECHA]])</f>
        <v>2</v>
      </c>
      <c r="H510" s="163" t="str">
        <f>MID(EJECUTADO[[#This Row],[CUENTA]],1,4)</f>
        <v>E-13</v>
      </c>
      <c r="I510" s="163" t="str">
        <f>INDEX(CATALOGO[Descripción],MATCH(EJECUTADO[[#This Row],[APLICACIÓN]]&amp;"-00-00-00",CATALOGO[Código],0))</f>
        <v>MAESTRIAS Y POSTGRADOS</v>
      </c>
      <c r="J5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510" s="161" t="str">
        <f>IF((EJECUTADO[[#This Row],[MONTO DISPONIBLE ]]-EJECUTADO[[#This Row],[MONTO SOLICITADO]])&gt;=0,"PRESUPUESTO: SI","PRESUPUESTO: NO")</f>
        <v>PRESUPUESTO: SI</v>
      </c>
      <c r="L510" s="162">
        <f>SUMIF(PRESUPUESTO[CUENTA],EJECUTADO[[#This Row],[CUENTA]],PRESUPUESTO[MONTO])-SUMIF($F$1:F509,EJECUTADO[[#This Row],[CUENTA]],$M$1:M509)</f>
        <v>100284.37</v>
      </c>
      <c r="M510" s="2">
        <v>0</v>
      </c>
      <c r="N510" s="2"/>
      <c r="O510" s="2"/>
      <c r="P510" s="162">
        <f>+EJECUTADO[[#This Row],[MONTO SOLICITADO]]-EJECUTADO[[#This Row],[RETENCION IVA]]-EJECUTADO[[#This Row],[RETENCION ISR]]</f>
        <v>0</v>
      </c>
      <c r="Q510" s="84" t="s">
        <v>1000</v>
      </c>
      <c r="R510" s="2"/>
      <c r="S510">
        <v>1</v>
      </c>
      <c r="T510" s="168" t="str">
        <f t="shared" si="14"/>
        <v>MAESTRIAS Y POSTGRADOS - SUELDOS Y SALARIOS Disponible $100284.37 Solicitado $0 PRESUPUESTO: SI</v>
      </c>
    </row>
    <row r="511" spans="1:20" ht="75" x14ac:dyDescent="0.25">
      <c r="A511" s="6">
        <f t="shared" si="15"/>
        <v>508</v>
      </c>
      <c r="B511" s="21">
        <v>45341</v>
      </c>
      <c r="C511" s="17" t="s">
        <v>1718</v>
      </c>
      <c r="D511" s="65" t="s">
        <v>1715</v>
      </c>
      <c r="E511" s="65"/>
      <c r="F511" t="s">
        <v>1465</v>
      </c>
      <c r="G511" s="161">
        <f>MONTH(EJECUTADO[[#This Row],[FECHA]])</f>
        <v>2</v>
      </c>
      <c r="H511" s="163" t="str">
        <f>MID(EJECUTADO[[#This Row],[CUENTA]],1,4)</f>
        <v>E-04</v>
      </c>
      <c r="I511" s="163" t="str">
        <f>INDEX(CATALOGO[Descripción],MATCH(EJECUTADO[[#This Row],[APLICACIÓN]]&amp;"-00-00-00",CATALOGO[Código],0))</f>
        <v>SUELDOS ACADÉMICOS</v>
      </c>
      <c r="J5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511" s="161" t="str">
        <f>IF((EJECUTADO[[#This Row],[MONTO DISPONIBLE ]]-EJECUTADO[[#This Row],[MONTO SOLICITADO]])&gt;=0,"PRESUPUESTO: SI","PRESUPUESTO: NO")</f>
        <v>PRESUPUESTO: SI</v>
      </c>
      <c r="L511" s="162">
        <f>SUMIF(PRESUPUESTO[CUENTA],EJECUTADO[[#This Row],[CUENTA]],PRESUPUESTO[MONTO])-SUMIF($F$1:F510,EJECUTADO[[#This Row],[CUENTA]],$M$1:M510)</f>
        <v>47260</v>
      </c>
      <c r="M511" s="2">
        <v>0</v>
      </c>
      <c r="N511" s="2"/>
      <c r="O511" s="2"/>
      <c r="P511" s="162">
        <f>+EJECUTADO[[#This Row],[MONTO SOLICITADO]]-EJECUTADO[[#This Row],[RETENCION IVA]]-EJECUTADO[[#This Row],[RETENCION ISR]]</f>
        <v>0</v>
      </c>
      <c r="Q511" s="84" t="s">
        <v>1000</v>
      </c>
      <c r="R511" s="2"/>
      <c r="S511">
        <v>1</v>
      </c>
      <c r="T511" s="168" t="str">
        <f t="shared" si="14"/>
        <v>SUELDOS ACADÉMICOS - SUELDOS Y SALARIOS FACULTAD DE CIENCIAS JURIDICAS Disponible $47260 Solicitado $0 PRESUPUESTO: SI</v>
      </c>
    </row>
    <row r="512" spans="1:20" ht="75" x14ac:dyDescent="0.25">
      <c r="A512" s="6">
        <f t="shared" si="15"/>
        <v>509</v>
      </c>
      <c r="B512" s="21">
        <v>45341</v>
      </c>
      <c r="C512" s="17" t="s">
        <v>1719</v>
      </c>
      <c r="D512" s="65" t="s">
        <v>1715</v>
      </c>
      <c r="E512" s="65"/>
      <c r="F512" t="s">
        <v>1061</v>
      </c>
      <c r="G512" s="161">
        <f>MONTH(EJECUTADO[[#This Row],[FECHA]])</f>
        <v>2</v>
      </c>
      <c r="H512" s="163" t="str">
        <f>MID(EJECUTADO[[#This Row],[CUENTA]],1,4)</f>
        <v>E-04</v>
      </c>
      <c r="I512" s="163" t="str">
        <f>INDEX(CATALOGO[Descripción],MATCH(EJECUTADO[[#This Row],[APLICACIÓN]]&amp;"-00-00-00",CATALOGO[Código],0))</f>
        <v>SUELDOS ACADÉMICOS</v>
      </c>
      <c r="J5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512" s="161" t="str">
        <f>IF((EJECUTADO[[#This Row],[MONTO DISPONIBLE ]]-EJECUTADO[[#This Row],[MONTO SOLICITADO]])&gt;=0,"PRESUPUESTO: SI","PRESUPUESTO: NO")</f>
        <v>PRESUPUESTO: SI</v>
      </c>
      <c r="L512" s="162">
        <f>SUMIF(PRESUPUESTO[CUENTA],EJECUTADO[[#This Row],[CUENTA]],PRESUPUESTO[MONTO])-SUMIF($F$1:F511,EJECUTADO[[#This Row],[CUENTA]],$M$1:M511)</f>
        <v>111063.95</v>
      </c>
      <c r="M512" s="2">
        <v>0</v>
      </c>
      <c r="N512" s="2"/>
      <c r="O512" s="2"/>
      <c r="P512" s="162">
        <f>+EJECUTADO[[#This Row],[MONTO SOLICITADO]]-EJECUTADO[[#This Row],[RETENCION IVA]]-EJECUTADO[[#This Row],[RETENCION ISR]]</f>
        <v>0</v>
      </c>
      <c r="Q512" s="84" t="s">
        <v>1000</v>
      </c>
      <c r="R512" s="2"/>
      <c r="S512">
        <v>1</v>
      </c>
      <c r="T512" s="168" t="str">
        <f t="shared" si="14"/>
        <v>SUELDOS ACADÉMICOS - SUELDOS Y SALARIOS FACULTAD DE INFORMATICA Y CIENCIAS APLICADAS Disponible $111063.95 Solicitado $0 PRESUPUESTO: SI</v>
      </c>
    </row>
    <row r="513" spans="1:20" ht="75" x14ac:dyDescent="0.25">
      <c r="A513" s="6">
        <f t="shared" si="15"/>
        <v>510</v>
      </c>
      <c r="B513" s="21">
        <v>45341</v>
      </c>
      <c r="C513" s="17" t="s">
        <v>1720</v>
      </c>
      <c r="D513" s="65" t="s">
        <v>1715</v>
      </c>
      <c r="E513" s="65"/>
      <c r="F513" t="s">
        <v>1061</v>
      </c>
      <c r="G513" s="161">
        <f>MONTH(EJECUTADO[[#This Row],[FECHA]])</f>
        <v>2</v>
      </c>
      <c r="H513" s="163" t="str">
        <f>MID(EJECUTADO[[#This Row],[CUENTA]],1,4)</f>
        <v>E-04</v>
      </c>
      <c r="I513" s="163" t="str">
        <f>INDEX(CATALOGO[Descripción],MATCH(EJECUTADO[[#This Row],[APLICACIÓN]]&amp;"-00-00-00",CATALOGO[Código],0))</f>
        <v>SUELDOS ACADÉMICOS</v>
      </c>
      <c r="J5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513" s="161" t="str">
        <f>IF((EJECUTADO[[#This Row],[MONTO DISPONIBLE ]]-EJECUTADO[[#This Row],[MONTO SOLICITADO]])&gt;=0,"PRESUPUESTO: SI","PRESUPUESTO: NO")</f>
        <v>PRESUPUESTO: SI</v>
      </c>
      <c r="L513" s="162">
        <f>SUMIF(PRESUPUESTO[CUENTA],EJECUTADO[[#This Row],[CUENTA]],PRESUPUESTO[MONTO])-SUMIF($F$1:F512,EJECUTADO[[#This Row],[CUENTA]],$M$1:M512)</f>
        <v>111063.95</v>
      </c>
      <c r="M513" s="2">
        <v>0</v>
      </c>
      <c r="N513" s="2"/>
      <c r="O513" s="2"/>
      <c r="P513" s="162">
        <f>+EJECUTADO[[#This Row],[MONTO SOLICITADO]]-EJECUTADO[[#This Row],[RETENCION IVA]]-EJECUTADO[[#This Row],[RETENCION ISR]]</f>
        <v>0</v>
      </c>
      <c r="Q513" s="84" t="s">
        <v>1000</v>
      </c>
      <c r="R513" s="2"/>
      <c r="S513">
        <v>1</v>
      </c>
      <c r="T513" s="168" t="str">
        <f t="shared" si="14"/>
        <v>SUELDOS ACADÉMICOS - SUELDOS Y SALARIOS FACULTAD DE INFORMATICA Y CIENCIAS APLICADAS Disponible $111063.95 Solicitado $0 PRESUPUESTO: SI</v>
      </c>
    </row>
    <row r="514" spans="1:20" ht="75" x14ac:dyDescent="0.25">
      <c r="A514" s="6">
        <f t="shared" si="15"/>
        <v>511</v>
      </c>
      <c r="B514" s="21">
        <v>45341</v>
      </c>
      <c r="C514" s="17" t="s">
        <v>1721</v>
      </c>
      <c r="D514" s="65" t="s">
        <v>1715</v>
      </c>
      <c r="E514" s="65"/>
      <c r="F514" t="s">
        <v>1465</v>
      </c>
      <c r="G514" s="161">
        <f>MONTH(EJECUTADO[[#This Row],[FECHA]])</f>
        <v>2</v>
      </c>
      <c r="H514" s="163" t="str">
        <f>MID(EJECUTADO[[#This Row],[CUENTA]],1,4)</f>
        <v>E-04</v>
      </c>
      <c r="I514" s="163" t="str">
        <f>INDEX(CATALOGO[Descripción],MATCH(EJECUTADO[[#This Row],[APLICACIÓN]]&amp;"-00-00-00",CATALOGO[Código],0))</f>
        <v>SUELDOS ACADÉMICOS</v>
      </c>
      <c r="J5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514" s="161" t="str">
        <f>IF((EJECUTADO[[#This Row],[MONTO DISPONIBLE ]]-EJECUTADO[[#This Row],[MONTO SOLICITADO]])&gt;=0,"PRESUPUESTO: SI","PRESUPUESTO: NO")</f>
        <v>PRESUPUESTO: SI</v>
      </c>
      <c r="L514" s="162">
        <f>SUMIF(PRESUPUESTO[CUENTA],EJECUTADO[[#This Row],[CUENTA]],PRESUPUESTO[MONTO])-SUMIF($F$1:F513,EJECUTADO[[#This Row],[CUENTA]],$M$1:M513)</f>
        <v>47260</v>
      </c>
      <c r="M514" s="2">
        <v>0</v>
      </c>
      <c r="N514" s="2"/>
      <c r="O514" s="2"/>
      <c r="P514" s="162">
        <f>+EJECUTADO[[#This Row],[MONTO SOLICITADO]]-EJECUTADO[[#This Row],[RETENCION IVA]]-EJECUTADO[[#This Row],[RETENCION ISR]]</f>
        <v>0</v>
      </c>
      <c r="Q514" s="84" t="s">
        <v>1000</v>
      </c>
      <c r="R514" s="2"/>
      <c r="S514">
        <v>1</v>
      </c>
      <c r="T514" s="168" t="str">
        <f t="shared" si="14"/>
        <v>SUELDOS ACADÉMICOS - SUELDOS Y SALARIOS FACULTAD DE CIENCIAS JURIDICAS Disponible $47260 Solicitado $0 PRESUPUESTO: SI</v>
      </c>
    </row>
    <row r="515" spans="1:20" ht="75" x14ac:dyDescent="0.25">
      <c r="A515" s="6">
        <f t="shared" si="15"/>
        <v>512</v>
      </c>
      <c r="B515" s="21">
        <v>45341</v>
      </c>
      <c r="C515" s="17" t="s">
        <v>1722</v>
      </c>
      <c r="D515" s="65" t="s">
        <v>1715</v>
      </c>
      <c r="E515" s="65"/>
      <c r="F515" t="s">
        <v>1454</v>
      </c>
      <c r="G515" s="161">
        <f>MONTH(EJECUTADO[[#This Row],[FECHA]])</f>
        <v>2</v>
      </c>
      <c r="H515" s="163" t="str">
        <f>MID(EJECUTADO[[#This Row],[CUENTA]],1,4)</f>
        <v>E-04</v>
      </c>
      <c r="I515" s="163" t="str">
        <f>INDEX(CATALOGO[Descripción],MATCH(EJECUTADO[[#This Row],[APLICACIÓN]]&amp;"-00-00-00",CATALOGO[Código],0))</f>
        <v>SUELDOS ACADÉMICOS</v>
      </c>
      <c r="J5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515" s="161" t="str">
        <f>IF((EJECUTADO[[#This Row],[MONTO DISPONIBLE ]]-EJECUTADO[[#This Row],[MONTO SOLICITADO]])&gt;=0,"PRESUPUESTO: SI","PRESUPUESTO: NO")</f>
        <v>PRESUPUESTO: SI</v>
      </c>
      <c r="L515" s="162">
        <f>SUMIF(PRESUPUESTO[CUENTA],EJECUTADO[[#This Row],[CUENTA]],PRESUPUESTO[MONTO])-SUMIF($F$1:F514,EJECUTADO[[#This Row],[CUENTA]],$M$1:M514)</f>
        <v>177350</v>
      </c>
      <c r="M515" s="2">
        <v>0</v>
      </c>
      <c r="N515" s="2"/>
      <c r="O515" s="2"/>
      <c r="P515" s="162">
        <f>+EJECUTADO[[#This Row],[MONTO SOLICITADO]]-EJECUTADO[[#This Row],[RETENCION IVA]]-EJECUTADO[[#This Row],[RETENCION ISR]]</f>
        <v>0</v>
      </c>
      <c r="Q515" s="84" t="s">
        <v>1000</v>
      </c>
      <c r="R515" s="2"/>
      <c r="S515">
        <v>1</v>
      </c>
      <c r="T515" s="168" t="str">
        <f t="shared" si="14"/>
        <v>SUELDOS ACADÉMICOS - SUELDOS Y SALARIOS FACULTAD DE CIENCIAS SOCIALES Disponible $177350 Solicitado $0 PRESUPUESTO: SI</v>
      </c>
    </row>
    <row r="516" spans="1:20" ht="30" x14ac:dyDescent="0.25">
      <c r="A516" s="6">
        <f t="shared" si="15"/>
        <v>513</v>
      </c>
      <c r="B516" s="21">
        <v>45341</v>
      </c>
      <c r="C516" s="17" t="s">
        <v>1672</v>
      </c>
      <c r="D516" s="65" t="s">
        <v>1324</v>
      </c>
      <c r="E516" s="65"/>
      <c r="F516" t="s">
        <v>1175</v>
      </c>
      <c r="G516" s="161">
        <f>MONTH(EJECUTADO[[#This Row],[FECHA]])</f>
        <v>2</v>
      </c>
      <c r="H516" s="163" t="str">
        <f>MID(EJECUTADO[[#This Row],[CUENTA]],1,4)</f>
        <v>E-24</v>
      </c>
      <c r="I516" s="163" t="str">
        <f>INDEX(CATALOGO[Descripción],MATCH(EJECUTADO[[#This Row],[APLICACIÓN]]&amp;"-00-00-00",CATALOGO[Código],0))</f>
        <v>NUEVO INGRESO</v>
      </c>
      <c r="J5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Parqueo vehículos del personal $ 40</v>
      </c>
      <c r="K516" s="161" t="str">
        <f>IF((EJECUTADO[[#This Row],[MONTO DISPONIBLE ]]-EJECUTADO[[#This Row],[MONTO SOLICITADO]])&gt;=0,"PRESUPUESTO: SI","PRESUPUESTO: NO")</f>
        <v>PRESUPUESTO: SI</v>
      </c>
      <c r="L516" s="162">
        <f>SUMIF(PRESUPUESTO[CUENTA],EJECUTADO[[#This Row],[CUENTA]],PRESUPUESTO[MONTO])-SUMIF($F$1:F515,EJECUTADO[[#This Row],[CUENTA]],$M$1:M515)</f>
        <v>380</v>
      </c>
      <c r="M516" s="2">
        <v>50</v>
      </c>
      <c r="N516" s="2"/>
      <c r="O516" s="2"/>
      <c r="P516" s="162">
        <f>+EJECUTADO[[#This Row],[MONTO SOLICITADO]]-EJECUTADO[[#This Row],[RETENCION IVA]]-EJECUTADO[[#This Row],[RETENCION ISR]]</f>
        <v>50</v>
      </c>
      <c r="Q516" s="84" t="s">
        <v>1000</v>
      </c>
      <c r="R516" s="2"/>
      <c r="S516">
        <v>1</v>
      </c>
      <c r="T516" s="168" t="str">
        <f t="shared" ref="T516:T579" si="16">_xlfn.CONCAT(I516," - ",J516," Disponible $",L516," Solicitado $",M516," ",K516,)</f>
        <v>NUEVO INGRESO - Metrocentro - Parqueo vehículos del personal $ 40 Disponible $380 Solicitado $50 PRESUPUESTO: SI</v>
      </c>
    </row>
    <row r="517" spans="1:20" ht="60" x14ac:dyDescent="0.25">
      <c r="A517" s="6">
        <f t="shared" si="15"/>
        <v>514</v>
      </c>
      <c r="B517" s="21">
        <v>45343</v>
      </c>
      <c r="C517" s="17" t="s">
        <v>1723</v>
      </c>
      <c r="D517" s="65" t="s">
        <v>1724</v>
      </c>
      <c r="E517" s="65"/>
      <c r="F517" t="s">
        <v>1535</v>
      </c>
      <c r="G517" s="161">
        <f>MONTH(EJECUTADO[[#This Row],[FECHA]])</f>
        <v>2</v>
      </c>
      <c r="H517" s="163" t="str">
        <f>MID(EJECUTADO[[#This Row],[CUENTA]],1,4)</f>
        <v>E-08</v>
      </c>
      <c r="I517" s="163" t="str">
        <f>INDEX(CATALOGO[Descripción],MATCH(EJECUTADO[[#This Row],[APLICACIÓN]]&amp;"-00-00-00",CATALOGO[Código],0))</f>
        <v>INVERSIONES Y PROYECTOS ESPECIALES</v>
      </c>
      <c r="J5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Robot colaborativo y modulo didáctico  COMPRES, SA. DE C.V. Fct 2876, + instalaciones.</v>
      </c>
      <c r="K517" s="161" t="str">
        <f>IF((EJECUTADO[[#This Row],[MONTO DISPONIBLE ]]-EJECUTADO[[#This Row],[MONTO SOLICITADO]])&gt;=0,"PRESUPUESTO: SI","PRESUPUESTO: NO")</f>
        <v>PRESUPUESTO: SI</v>
      </c>
      <c r="L517" s="162">
        <f>SUMIF(PRESUPUESTO[CUENTA],EJECUTADO[[#This Row],[CUENTA]],PRESUPUESTO[MONTO])-SUMIF($F$1:F516,EJECUTADO[[#This Row],[CUENTA]],$M$1:M516)</f>
        <v>11200</v>
      </c>
      <c r="M517" s="2">
        <v>4602.54</v>
      </c>
      <c r="N517" s="2"/>
      <c r="O517" s="2"/>
      <c r="P517" s="162">
        <f>+EJECUTADO[[#This Row],[MONTO SOLICITADO]]-EJECUTADO[[#This Row],[RETENCION IVA]]-EJECUTADO[[#This Row],[RETENCION ISR]]</f>
        <v>4602.54</v>
      </c>
      <c r="Q517" s="84" t="s">
        <v>1000</v>
      </c>
      <c r="R517" s="2"/>
      <c r="S517">
        <v>1</v>
      </c>
      <c r="T517" s="168" t="str">
        <f t="shared" si="16"/>
        <v>INVERSIONES Y PROYECTOS ESPECIALES - Robot colaborativo y modulo didáctico  COMPRES, SA. DE C.V. Fct 2876, + instalaciones. Disponible $11200 Solicitado $4602.54 PRESUPUESTO: SI</v>
      </c>
    </row>
    <row r="518" spans="1:20" ht="30" x14ac:dyDescent="0.25">
      <c r="A518" s="6">
        <f t="shared" ref="A518:A581" si="17">+A517+1</f>
        <v>515</v>
      </c>
      <c r="B518" s="21">
        <v>45343</v>
      </c>
      <c r="C518" s="17" t="s">
        <v>1152</v>
      </c>
      <c r="D518" s="65" t="s">
        <v>1725</v>
      </c>
      <c r="E518" s="65"/>
      <c r="F518" t="s">
        <v>1726</v>
      </c>
      <c r="G518" s="161">
        <f>MONTH(EJECUTADO[[#This Row],[FECHA]])</f>
        <v>2</v>
      </c>
      <c r="H518" s="163" t="str">
        <f>MID(EJECUTADO[[#This Row],[CUENTA]],1,4)</f>
        <v>E-19</v>
      </c>
      <c r="I518" s="163" t="str">
        <f>INDEX(CATALOGO[Descripción],MATCH(EJECUTADO[[#This Row],[APLICACIÓN]]&amp;"-00-00-00",CATALOGO[Código],0))</f>
        <v>MANTENIMIENTO</v>
      </c>
      <c r="J51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18" s="161" t="str">
        <f>IF((EJECUTADO[[#This Row],[MONTO DISPONIBLE ]]-EJECUTADO[[#This Row],[MONTO SOLICITADO]])&gt;=0,"PRESUPUESTO: SI","PRESUPUESTO: NO")</f>
        <v>PRESUPUESTO: NO</v>
      </c>
      <c r="L518" s="162">
        <f>SUMIF(PRESUPUESTO[CUENTA],EJECUTADO[[#This Row],[CUENTA]],PRESUPUESTO[MONTO])-SUMIF($F$1:F517,EJECUTADO[[#This Row],[CUENTA]],$M$1:M517)</f>
        <v>0</v>
      </c>
      <c r="M518" s="2">
        <v>515.6</v>
      </c>
      <c r="N518" s="2"/>
      <c r="O518" s="2"/>
      <c r="P518" s="162">
        <f>+EJECUTADO[[#This Row],[MONTO SOLICITADO]]-EJECUTADO[[#This Row],[RETENCION IVA]]-EJECUTADO[[#This Row],[RETENCION ISR]]</f>
        <v>515.6</v>
      </c>
      <c r="Q518" s="84" t="s">
        <v>1000</v>
      </c>
      <c r="R518" s="2"/>
      <c r="S518">
        <v>1</v>
      </c>
      <c r="T518" s="168" t="e">
        <f t="shared" si="16"/>
        <v>#N/A</v>
      </c>
    </row>
    <row r="519" spans="1:20" ht="30" x14ac:dyDescent="0.25">
      <c r="A519" s="6">
        <f t="shared" si="17"/>
        <v>516</v>
      </c>
      <c r="B519" s="21">
        <v>45343</v>
      </c>
      <c r="C519" s="17" t="s">
        <v>1727</v>
      </c>
      <c r="D519" s="65" t="s">
        <v>1728</v>
      </c>
      <c r="E519" s="65"/>
      <c r="F519" t="s">
        <v>1729</v>
      </c>
      <c r="G519" s="161">
        <f>MONTH(EJECUTADO[[#This Row],[FECHA]])</f>
        <v>2</v>
      </c>
      <c r="H519" s="163" t="str">
        <f>MID(EJECUTADO[[#This Row],[CUENTA]],1,4)</f>
        <v>E-29</v>
      </c>
      <c r="I519" s="163" t="str">
        <f>INDEX(CATALOGO[Descripción],MATCH(EJECUTADO[[#This Row],[APLICACIÓN]]&amp;"-00-00-00",CATALOGO[Código],0))</f>
        <v xml:space="preserve">BIBLIOTECA </v>
      </c>
      <c r="J5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Separadores de libros</v>
      </c>
      <c r="K519" s="161" t="str">
        <f>IF((EJECUTADO[[#This Row],[MONTO DISPONIBLE ]]-EJECUTADO[[#This Row],[MONTO SOLICITADO]])&gt;=0,"PRESUPUESTO: SI","PRESUPUESTO: NO")</f>
        <v>PRESUPUESTO: SI</v>
      </c>
      <c r="L519" s="162">
        <f>SUMIF(PRESUPUESTO[CUENTA],EJECUTADO[[#This Row],[CUENTA]],PRESUPUESTO[MONTO])-SUMIF($F$1:F518,EJECUTADO[[#This Row],[CUENTA]],$M$1:M518)</f>
        <v>1800</v>
      </c>
      <c r="M519" s="2">
        <v>1678.73</v>
      </c>
      <c r="N519" s="2"/>
      <c r="O519" s="2"/>
      <c r="P519" s="162">
        <f>+EJECUTADO[[#This Row],[MONTO SOLICITADO]]-EJECUTADO[[#This Row],[RETENCION IVA]]-EJECUTADO[[#This Row],[RETENCION ISR]]</f>
        <v>1678.73</v>
      </c>
      <c r="Q519" s="84" t="s">
        <v>1000</v>
      </c>
      <c r="R519" s="2"/>
      <c r="S519">
        <v>1</v>
      </c>
      <c r="T519" s="168" t="str">
        <f t="shared" si="16"/>
        <v>BIBLIOTECA  - Separadores de libros Disponible $1800 Solicitado $1678.73 PRESUPUESTO: SI</v>
      </c>
    </row>
    <row r="520" spans="1:20" s="140" customFormat="1" x14ac:dyDescent="0.25">
      <c r="A520" s="136">
        <f t="shared" si="17"/>
        <v>517</v>
      </c>
      <c r="B520" s="137">
        <v>45343</v>
      </c>
      <c r="C520" s="138" t="s">
        <v>1079</v>
      </c>
      <c r="D520" s="139" t="s">
        <v>1080</v>
      </c>
      <c r="E520" s="139"/>
      <c r="F520" s="140" t="s">
        <v>1081</v>
      </c>
      <c r="G520" s="161">
        <f>MONTH(EJECUTADO[[#This Row],[FECHA]])</f>
        <v>2</v>
      </c>
      <c r="H520" s="163" t="str">
        <f>MID(EJECUTADO[[#This Row],[CUENTA]],1,4)</f>
        <v>E-10</v>
      </c>
      <c r="I520" s="163" t="str">
        <f>INDEX(CATALOGO[Descripción],MATCH(EJECUTADO[[#This Row],[APLICACIÓN]]&amp;"-00-00-00",CATALOGO[Código],0))</f>
        <v>SERVICIOS PUBLICOS</v>
      </c>
      <c r="J5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520" s="161" t="str">
        <f>IF((EJECUTADO[[#This Row],[MONTO DISPONIBLE ]]-EJECUTADO[[#This Row],[MONTO SOLICITADO]])&gt;=0,"PRESUPUESTO: SI","PRESUPUESTO: NO")</f>
        <v>PRESUPUESTO: SI</v>
      </c>
      <c r="L520" s="162">
        <f>SUMIF(PRESUPUESTO[CUENTA],EJECUTADO[[#This Row],[CUENTA]],PRESUPUESTO[MONTO])-SUMIF($F$1:F519,EJECUTADO[[#This Row],[CUENTA]],$M$1:M519)</f>
        <v>333331.78000000003</v>
      </c>
      <c r="M520" s="141">
        <v>12971.64</v>
      </c>
      <c r="N520" s="141"/>
      <c r="O520" s="141"/>
      <c r="P520" s="162">
        <f>+EJECUTADO[[#This Row],[MONTO SOLICITADO]]-EJECUTADO[[#This Row],[RETENCION IVA]]-EJECUTADO[[#This Row],[RETENCION ISR]]</f>
        <v>12971.64</v>
      </c>
      <c r="Q520" s="142" t="s">
        <v>1000</v>
      </c>
      <c r="R520" s="141"/>
      <c r="S520" s="140">
        <v>1</v>
      </c>
      <c r="T520" s="168" t="str">
        <f t="shared" si="16"/>
        <v>SERVICIOS PUBLICOS - ENERGÍA ELÉCTRICA Disponible $333331.78 Solicitado $12971.64 PRESUPUESTO: SI</v>
      </c>
    </row>
    <row r="521" spans="1:20" s="140" customFormat="1" ht="30" x14ac:dyDescent="0.25">
      <c r="A521" s="136">
        <f t="shared" si="17"/>
        <v>518</v>
      </c>
      <c r="B521" s="137">
        <v>45343</v>
      </c>
      <c r="C521" s="138" t="s">
        <v>1079</v>
      </c>
      <c r="D521" s="139" t="s">
        <v>248</v>
      </c>
      <c r="E521" s="139"/>
      <c r="F521" s="140" t="s">
        <v>1119</v>
      </c>
      <c r="G521" s="161">
        <f>MONTH(EJECUTADO[[#This Row],[FECHA]])</f>
        <v>2</v>
      </c>
      <c r="H521" s="163" t="str">
        <f>MID(EJECUTADO[[#This Row],[CUENTA]],1,4)</f>
        <v>E-10</v>
      </c>
      <c r="I521" s="163" t="str">
        <f>INDEX(CATALOGO[Descripción],MATCH(EJECUTADO[[#This Row],[APLICACIÓN]]&amp;"-00-00-00",CATALOGO[Código],0))</f>
        <v>SERVICIOS PUBLICOS</v>
      </c>
      <c r="J5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521" s="161" t="str">
        <f>IF((EJECUTADO[[#This Row],[MONTO DISPONIBLE ]]-EJECUTADO[[#This Row],[MONTO SOLICITADO]])&gt;=0,"PRESUPUESTO: SI","PRESUPUESTO: NO")</f>
        <v>PRESUPUESTO: NO</v>
      </c>
      <c r="L521" s="162">
        <f>SUMIF(PRESUPUESTO[CUENTA],EJECUTADO[[#This Row],[CUENTA]],PRESUPUESTO[MONTO])-SUMIF($F$1:F520,EJECUTADO[[#This Row],[CUENTA]],$M$1:M520)</f>
        <v>-7623.65</v>
      </c>
      <c r="M521" s="141">
        <v>1723.3530000000001</v>
      </c>
      <c r="N521" s="141"/>
      <c r="O521" s="141"/>
      <c r="P521" s="162">
        <f>+EJECUTADO[[#This Row],[MONTO SOLICITADO]]-EJECUTADO[[#This Row],[RETENCION IVA]]-EJECUTADO[[#This Row],[RETENCION ISR]]</f>
        <v>1723.3530000000001</v>
      </c>
      <c r="Q521" s="142" t="s">
        <v>1000</v>
      </c>
      <c r="R521" s="141"/>
      <c r="S521" s="140">
        <v>1</v>
      </c>
      <c r="T521" s="168" t="str">
        <f t="shared" si="16"/>
        <v>SERVICIOS PUBLICOS - IMPUESTOS MUNICIPALES Disponible $-7623.65 Solicitado $1723.353 PRESUPUESTO: NO</v>
      </c>
    </row>
    <row r="522" spans="1:20" s="140" customFormat="1" x14ac:dyDescent="0.25">
      <c r="A522" s="136">
        <f t="shared" si="17"/>
        <v>519</v>
      </c>
      <c r="B522" s="137">
        <v>45343</v>
      </c>
      <c r="C522" s="138" t="s">
        <v>1079</v>
      </c>
      <c r="D522" s="139" t="s">
        <v>1080</v>
      </c>
      <c r="E522" s="139"/>
      <c r="F522" s="140" t="s">
        <v>1347</v>
      </c>
      <c r="G522" s="161">
        <f>MONTH(EJECUTADO[[#This Row],[FECHA]])</f>
        <v>2</v>
      </c>
      <c r="H522" s="163" t="str">
        <f>MID(EJECUTADO[[#This Row],[CUENTA]],1,4)</f>
        <v>E-13</v>
      </c>
      <c r="I522" s="163" t="str">
        <f>INDEX(CATALOGO[Descripción],MATCH(EJECUTADO[[#This Row],[APLICACIÓN]]&amp;"-00-00-00",CATALOGO[Código],0))</f>
        <v>MAESTRIAS Y POSTGRADOS</v>
      </c>
      <c r="J5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ENERGIA ELECTRICA </v>
      </c>
      <c r="K522" s="161" t="str">
        <f>IF((EJECUTADO[[#This Row],[MONTO DISPONIBLE ]]-EJECUTADO[[#This Row],[MONTO SOLICITADO]])&gt;=0,"PRESUPUESTO: SI","PRESUPUESTO: NO")</f>
        <v>PRESUPUESTO: SI</v>
      </c>
      <c r="L522" s="162">
        <f>SUMIF(PRESUPUESTO[CUENTA],EJECUTADO[[#This Row],[CUENTA]],PRESUPUESTO[MONTO])-SUMIF($F$1:F521,EJECUTADO[[#This Row],[CUENTA]],$M$1:M521)</f>
        <v>13184.24</v>
      </c>
      <c r="M522" s="141">
        <v>1404.29</v>
      </c>
      <c r="N522" s="141"/>
      <c r="O522" s="141"/>
      <c r="P522" s="162">
        <f>+EJECUTADO[[#This Row],[MONTO SOLICITADO]]-EJECUTADO[[#This Row],[RETENCION IVA]]-EJECUTADO[[#This Row],[RETENCION ISR]]</f>
        <v>1404.29</v>
      </c>
      <c r="Q522" s="142" t="s">
        <v>1000</v>
      </c>
      <c r="R522" s="141"/>
      <c r="S522" s="140">
        <v>1</v>
      </c>
      <c r="T522" s="168" t="str">
        <f t="shared" si="16"/>
        <v>MAESTRIAS Y POSTGRADOS - ENERGIA ELECTRICA  Disponible $13184.24 Solicitado $1404.29 PRESUPUESTO: SI</v>
      </c>
    </row>
    <row r="523" spans="1:20" ht="45" x14ac:dyDescent="0.25">
      <c r="A523" s="6">
        <f t="shared" si="17"/>
        <v>520</v>
      </c>
      <c r="B523" s="21">
        <v>45343</v>
      </c>
      <c r="C523" s="17" t="s">
        <v>1279</v>
      </c>
      <c r="D523" s="65" t="s">
        <v>1626</v>
      </c>
      <c r="E523" s="65"/>
      <c r="F523" t="s">
        <v>1281</v>
      </c>
      <c r="G523" s="161">
        <f>MONTH(EJECUTADO[[#This Row],[FECHA]])</f>
        <v>2</v>
      </c>
      <c r="H523" s="163" t="str">
        <f>MID(EJECUTADO[[#This Row],[CUENTA]],1,4)</f>
        <v>E-03</v>
      </c>
      <c r="I523" s="163" t="str">
        <f>INDEX(CATALOGO[Descripción],MATCH(EJECUTADO[[#This Row],[APLICACIÓN]]&amp;"-00-00-00",CATALOGO[Código],0))</f>
        <v>SUELDOS ADMINISTRATIVOS</v>
      </c>
      <c r="J5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523" s="161" t="str">
        <f>IF((EJECUTADO[[#This Row],[MONTO DISPONIBLE ]]-EJECUTADO[[#This Row],[MONTO SOLICITADO]])&gt;=0,"PRESUPUESTO: SI","PRESUPUESTO: NO")</f>
        <v>PRESUPUESTO: SI</v>
      </c>
      <c r="L523" s="162">
        <f>SUMIF(PRESUPUESTO[CUENTA],EJECUTADO[[#This Row],[CUENTA]],PRESUPUESTO[MONTO])-SUMIF($F$1:F522,EJECUTADO[[#This Row],[CUENTA]],$M$1:M522)</f>
        <v>291173.51</v>
      </c>
      <c r="M523" s="2">
        <v>275</v>
      </c>
      <c r="N523" s="2"/>
      <c r="O523" s="2"/>
      <c r="P523" s="162">
        <f>+EJECUTADO[[#This Row],[MONTO SOLICITADO]]-EJECUTADO[[#This Row],[RETENCION IVA]]-EJECUTADO[[#This Row],[RETENCION ISR]]</f>
        <v>275</v>
      </c>
      <c r="Q523" s="84" t="s">
        <v>1000</v>
      </c>
      <c r="R523" s="2"/>
      <c r="S523">
        <v>1</v>
      </c>
      <c r="T523" s="168" t="str">
        <f t="shared" si="16"/>
        <v>SUELDOS ADMINISTRATIVOS - SUELDOS Y SALARIOS VICERRECTORÍA FINANCIERA  Disponible $291173.51 Solicitado $275 PRESUPUESTO: SI</v>
      </c>
    </row>
    <row r="524" spans="1:20" ht="30" x14ac:dyDescent="0.25">
      <c r="A524" s="6">
        <f t="shared" si="17"/>
        <v>521</v>
      </c>
      <c r="B524" s="21">
        <v>45343</v>
      </c>
      <c r="C524" s="17" t="s">
        <v>1730</v>
      </c>
      <c r="D524" s="65" t="s">
        <v>1731</v>
      </c>
      <c r="E524" s="65"/>
      <c r="F524" t="s">
        <v>1732</v>
      </c>
      <c r="G524" s="161">
        <f>MONTH(EJECUTADO[[#This Row],[FECHA]])</f>
        <v>2</v>
      </c>
      <c r="H524" s="163" t="str">
        <f>MID(EJECUTADO[[#This Row],[CUENTA]],1,4)</f>
        <v>E-26</v>
      </c>
      <c r="I524" s="163" t="str">
        <f>INDEX(CATALOGO[Descripción],MATCH(EJECUTADO[[#This Row],[APLICACIÓN]]&amp;"-00-00-00",CATALOGO[Código],0))</f>
        <v>EVENTOS ACADEMICOS, CULTURALES  E INSTITUCIONALES</v>
      </c>
      <c r="J5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Vinculación padres de familia  - FCCS</v>
      </c>
      <c r="K524" s="161" t="str">
        <f>IF((EJECUTADO[[#This Row],[MONTO DISPONIBLE ]]-EJECUTADO[[#This Row],[MONTO SOLICITADO]])&gt;=0,"PRESUPUESTO: SI","PRESUPUESTO: NO")</f>
        <v>PRESUPUESTO: SI</v>
      </c>
      <c r="L524" s="162">
        <f>SUMIF(PRESUPUESTO[CUENTA],EJECUTADO[[#This Row],[CUENTA]],PRESUPUESTO[MONTO])-SUMIF($F$1:F523,EJECUTADO[[#This Row],[CUENTA]],$M$1:M523)</f>
        <v>800</v>
      </c>
      <c r="M524" s="2">
        <v>300</v>
      </c>
      <c r="N524" s="2"/>
      <c r="O524" s="2"/>
      <c r="P524" s="162">
        <f>+EJECUTADO[[#This Row],[MONTO SOLICITADO]]-EJECUTADO[[#This Row],[RETENCION IVA]]-EJECUTADO[[#This Row],[RETENCION ISR]]</f>
        <v>300</v>
      </c>
      <c r="Q524" s="84" t="s">
        <v>1000</v>
      </c>
      <c r="R524" s="2"/>
      <c r="S524">
        <v>1</v>
      </c>
      <c r="T524" s="168" t="str">
        <f t="shared" si="16"/>
        <v>EVENTOS ACADEMICOS, CULTURALES  E INSTITUCIONALES - Vinculación padres de familia  - FCCS Disponible $800 Solicitado $300 PRESUPUESTO: SI</v>
      </c>
    </row>
    <row r="525" spans="1:20" ht="30" x14ac:dyDescent="0.25">
      <c r="A525" s="6">
        <f t="shared" si="17"/>
        <v>522</v>
      </c>
      <c r="B525" s="21">
        <v>45343</v>
      </c>
      <c r="C525" s="17" t="s">
        <v>1263</v>
      </c>
      <c r="D525" s="65" t="s">
        <v>248</v>
      </c>
      <c r="E525" s="65"/>
      <c r="F525" t="s">
        <v>1119</v>
      </c>
      <c r="G525" s="161">
        <f>MONTH(EJECUTADO[[#This Row],[FECHA]])</f>
        <v>2</v>
      </c>
      <c r="H525" s="163" t="str">
        <f>MID(EJECUTADO[[#This Row],[CUENTA]],1,4)</f>
        <v>E-10</v>
      </c>
      <c r="I525" s="163" t="str">
        <f>INDEX(CATALOGO[Descripción],MATCH(EJECUTADO[[#This Row],[APLICACIÓN]]&amp;"-00-00-00",CATALOGO[Código],0))</f>
        <v>SERVICIOS PUBLICOS</v>
      </c>
      <c r="J5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525" s="161" t="str">
        <f>IF((EJECUTADO[[#This Row],[MONTO DISPONIBLE ]]-EJECUTADO[[#This Row],[MONTO SOLICITADO]])&gt;=0,"PRESUPUESTO: SI","PRESUPUESTO: NO")</f>
        <v>PRESUPUESTO: NO</v>
      </c>
      <c r="L525" s="162">
        <f>SUMIF(PRESUPUESTO[CUENTA],EJECUTADO[[#This Row],[CUENTA]],PRESUPUESTO[MONTO])-SUMIF($F$1:F524,EJECUTADO[[#This Row],[CUENTA]],$M$1:M524)</f>
        <v>-9347.0030000000006</v>
      </c>
      <c r="M525" s="2">
        <v>3910.05</v>
      </c>
      <c r="N525" s="2"/>
      <c r="O525" s="2"/>
      <c r="P525" s="162">
        <f>+EJECUTADO[[#This Row],[MONTO SOLICITADO]]-EJECUTADO[[#This Row],[RETENCION IVA]]-EJECUTADO[[#This Row],[RETENCION ISR]]</f>
        <v>3910.05</v>
      </c>
      <c r="Q525" s="84" t="s">
        <v>1000</v>
      </c>
      <c r="R525" s="2"/>
      <c r="S525">
        <v>1</v>
      </c>
      <c r="T525" s="168" t="str">
        <f t="shared" si="16"/>
        <v>SERVICIOS PUBLICOS - IMPUESTOS MUNICIPALES Disponible $-9347.003 Solicitado $3910.05 PRESUPUESTO: NO</v>
      </c>
    </row>
    <row r="526" spans="1:20" ht="30" x14ac:dyDescent="0.25">
      <c r="A526" s="6">
        <f t="shared" si="17"/>
        <v>523</v>
      </c>
      <c r="B526" s="21">
        <v>45343</v>
      </c>
      <c r="C526" s="17" t="s">
        <v>1263</v>
      </c>
      <c r="D526" s="65" t="s">
        <v>1733</v>
      </c>
      <c r="E526" s="65"/>
      <c r="F526" t="s">
        <v>1734</v>
      </c>
      <c r="G526" s="161">
        <f>MONTH(EJECUTADO[[#This Row],[FECHA]])</f>
        <v>2</v>
      </c>
      <c r="H526" s="163" t="str">
        <f>MID(EJECUTADO[[#This Row],[CUENTA]],1,4)</f>
        <v>E-19</v>
      </c>
      <c r="I526" s="163" t="str">
        <f>INDEX(CATALOGO[Descripción],MATCH(EJECUTADO[[#This Row],[APLICACIÓN]]&amp;"-00-00-00",CATALOGO[Código],0))</f>
        <v>MANTENIMIENTO</v>
      </c>
      <c r="J52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26" s="161" t="str">
        <f>IF((EJECUTADO[[#This Row],[MONTO DISPONIBLE ]]-EJECUTADO[[#This Row],[MONTO SOLICITADO]])&gt;=0,"PRESUPUESTO: SI","PRESUPUESTO: NO")</f>
        <v>PRESUPUESTO: NO</v>
      </c>
      <c r="L526" s="162">
        <f>SUMIF(PRESUPUESTO[CUENTA],EJECUTADO[[#This Row],[CUENTA]],PRESUPUESTO[MONTO])-SUMIF($F$1:F525,EJECUTADO[[#This Row],[CUENTA]],$M$1:M525)</f>
        <v>0</v>
      </c>
      <c r="M526" s="2">
        <v>1447.07</v>
      </c>
      <c r="N526" s="2"/>
      <c r="O526" s="2"/>
      <c r="P526" s="162">
        <f>+EJECUTADO[[#This Row],[MONTO SOLICITADO]]-EJECUTADO[[#This Row],[RETENCION IVA]]-EJECUTADO[[#This Row],[RETENCION ISR]]</f>
        <v>1447.07</v>
      </c>
      <c r="Q526" s="84" t="s">
        <v>1000</v>
      </c>
      <c r="R526" s="2"/>
      <c r="S526">
        <v>1</v>
      </c>
      <c r="T526" s="168" t="e">
        <f t="shared" si="16"/>
        <v>#N/A</v>
      </c>
    </row>
    <row r="527" spans="1:20" ht="30" x14ac:dyDescent="0.25">
      <c r="A527" s="6">
        <f t="shared" si="17"/>
        <v>524</v>
      </c>
      <c r="B527" s="21">
        <v>45343</v>
      </c>
      <c r="C527" s="17" t="s">
        <v>1735</v>
      </c>
      <c r="D527" s="65" t="s">
        <v>1736</v>
      </c>
      <c r="E527" s="65"/>
      <c r="F527" t="s">
        <v>1737</v>
      </c>
      <c r="G527" s="161">
        <f>MONTH(EJECUTADO[[#This Row],[FECHA]])</f>
        <v>2</v>
      </c>
      <c r="H527" s="163" t="str">
        <f>MID(EJECUTADO[[#This Row],[CUENTA]],1,4)</f>
        <v>E-30</v>
      </c>
      <c r="I527" s="163" t="str">
        <f>INDEX(CATALOGO[Descripción],MATCH(EJECUTADO[[#This Row],[APLICACIÓN]]&amp;"-00-00-00",CATALOGO[Código],0))</f>
        <v>MEMBRESIAS Y SUSCRIPCIONES</v>
      </c>
      <c r="J5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Apdo Postal</v>
      </c>
      <c r="K527" s="161" t="str">
        <f>IF((EJECUTADO[[#This Row],[MONTO DISPONIBLE ]]-EJECUTADO[[#This Row],[MONTO SOLICITADO]])&gt;=0,"PRESUPUESTO: SI","PRESUPUESTO: NO")</f>
        <v>PRESUPUESTO: NO</v>
      </c>
      <c r="L527" s="162">
        <f>SUMIF(PRESUPUESTO[CUENTA],EJECUTADO[[#This Row],[CUENTA]],PRESUPUESTO[MONTO])-SUMIF($F$1:F526,EJECUTADO[[#This Row],[CUENTA]],$M$1:M526)</f>
        <v>60</v>
      </c>
      <c r="M527" s="2">
        <v>78</v>
      </c>
      <c r="N527" s="2"/>
      <c r="O527" s="2"/>
      <c r="P527" s="162">
        <f>+EJECUTADO[[#This Row],[MONTO SOLICITADO]]-EJECUTADO[[#This Row],[RETENCION IVA]]-EJECUTADO[[#This Row],[RETENCION ISR]]</f>
        <v>78</v>
      </c>
      <c r="Q527" s="84" t="s">
        <v>1000</v>
      </c>
      <c r="R527" s="2"/>
      <c r="S527">
        <v>1</v>
      </c>
      <c r="T527" s="168" t="str">
        <f t="shared" si="16"/>
        <v>MEMBRESIAS Y SUSCRIPCIONES - Apdo Postal Disponible $60 Solicitado $78 PRESUPUESTO: NO</v>
      </c>
    </row>
    <row r="528" spans="1:20" ht="30" x14ac:dyDescent="0.25">
      <c r="A528" s="6">
        <f t="shared" si="17"/>
        <v>525</v>
      </c>
      <c r="B528" s="21">
        <v>45343</v>
      </c>
      <c r="C528" s="17" t="s">
        <v>1738</v>
      </c>
      <c r="D528" s="65" t="s">
        <v>1739</v>
      </c>
      <c r="E528" s="65"/>
      <c r="F528" t="s">
        <v>1740</v>
      </c>
      <c r="G528" s="161">
        <f>MONTH(EJECUTADO[[#This Row],[FECHA]])</f>
        <v>2</v>
      </c>
      <c r="H528" s="163" t="str">
        <f>MID(EJECUTADO[[#This Row],[CUENTA]],1,4)</f>
        <v>E-19</v>
      </c>
      <c r="I528" s="163" t="str">
        <f>INDEX(CATALOGO[Descripción],MATCH(EJECUTADO[[#This Row],[APLICACIÓN]]&amp;"-00-00-00",CATALOGO[Código],0))</f>
        <v>MANTENIMIENTO</v>
      </c>
      <c r="J5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Enmarcados</v>
      </c>
      <c r="K528" s="161" t="str">
        <f>IF((EJECUTADO[[#This Row],[MONTO DISPONIBLE ]]-EJECUTADO[[#This Row],[MONTO SOLICITADO]])&gt;=0,"PRESUPUESTO: SI","PRESUPUESTO: NO")</f>
        <v>PRESUPUESTO: NO</v>
      </c>
      <c r="L528" s="162">
        <f>SUMIF(PRESUPUESTO[CUENTA],EJECUTADO[[#This Row],[CUENTA]],PRESUPUESTO[MONTO])-SUMIF($F$1:F527,EJECUTADO[[#This Row],[CUENTA]],$M$1:M527)</f>
        <v>0</v>
      </c>
      <c r="M528" s="2">
        <v>55</v>
      </c>
      <c r="N528" s="2"/>
      <c r="O528" s="2"/>
      <c r="P528" s="162">
        <f>+EJECUTADO[[#This Row],[MONTO SOLICITADO]]-EJECUTADO[[#This Row],[RETENCION IVA]]-EJECUTADO[[#This Row],[RETENCION ISR]]</f>
        <v>55</v>
      </c>
      <c r="Q528" s="84" t="s">
        <v>1000</v>
      </c>
      <c r="R528" s="2"/>
      <c r="S528">
        <v>1</v>
      </c>
      <c r="T528" s="168" t="str">
        <f t="shared" si="16"/>
        <v>MANTENIMIENTO - Dir. Mantenimiento - Enmarcados Disponible $0 Solicitado $55 PRESUPUESTO: NO</v>
      </c>
    </row>
    <row r="529" spans="1:20" ht="30" x14ac:dyDescent="0.25">
      <c r="A529" s="6">
        <f t="shared" si="17"/>
        <v>526</v>
      </c>
      <c r="B529" s="21">
        <v>45343</v>
      </c>
      <c r="C529" s="17" t="s">
        <v>1738</v>
      </c>
      <c r="D529" s="65" t="s">
        <v>1741</v>
      </c>
      <c r="E529" s="65"/>
      <c r="F529" t="s">
        <v>1742</v>
      </c>
      <c r="G529" s="161">
        <f>MONTH(EJECUTADO[[#This Row],[FECHA]])</f>
        <v>2</v>
      </c>
      <c r="H529" s="163" t="str">
        <f>MID(EJECUTADO[[#This Row],[CUENTA]],1,4)</f>
        <v>E-12</v>
      </c>
      <c r="I529" s="163" t="str">
        <f>INDEX(CATALOGO[Descripción],MATCH(EJECUTADO[[#This Row],[APLICACIÓN]]&amp;"-00-00-00",CATALOGO[Código],0))</f>
        <v>PROYECCION SOCIAL</v>
      </c>
      <c r="J5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29" s="161" t="str">
        <f>IF((EJECUTADO[[#This Row],[MONTO DISPONIBLE ]]-EJECUTADO[[#This Row],[MONTO SOLICITADO]])&gt;=0,"PRESUPUESTO: SI","PRESUPUESTO: NO")</f>
        <v>PRESUPUESTO: NO</v>
      </c>
      <c r="L529" s="162">
        <f>SUMIF(PRESUPUESTO[CUENTA],EJECUTADO[[#This Row],[CUENTA]],PRESUPUESTO[MONTO])-SUMIF($F$1:F528,EJECUTADO[[#This Row],[CUENTA]],$M$1:M528)</f>
        <v>0</v>
      </c>
      <c r="M529" s="2">
        <v>48.25</v>
      </c>
      <c r="N529" s="2"/>
      <c r="O529" s="2"/>
      <c r="P529" s="162">
        <f>+EJECUTADO[[#This Row],[MONTO SOLICITADO]]-EJECUTADO[[#This Row],[RETENCION IVA]]-EJECUTADO[[#This Row],[RETENCION ISR]]</f>
        <v>48.25</v>
      </c>
      <c r="Q529" s="84" t="s">
        <v>1000</v>
      </c>
      <c r="R529" s="2"/>
      <c r="S529">
        <v>1</v>
      </c>
      <c r="T529" s="168" t="str">
        <f t="shared" si="16"/>
        <v>PROYECCION SOCIAL - LA CUENTA SELECCIONADA NO PERMITE MOVIMIENTO Disponible $0 Solicitado $48.25 PRESUPUESTO: NO</v>
      </c>
    </row>
    <row r="530" spans="1:20" ht="30" x14ac:dyDescent="0.25">
      <c r="A530" s="6">
        <f t="shared" si="17"/>
        <v>527</v>
      </c>
      <c r="B530" s="21">
        <v>45343</v>
      </c>
      <c r="C530" s="17" t="s">
        <v>1738</v>
      </c>
      <c r="D530" s="65" t="s">
        <v>1743</v>
      </c>
      <c r="E530" s="65"/>
      <c r="F530" t="s">
        <v>1742</v>
      </c>
      <c r="G530" s="161">
        <f>MONTH(EJECUTADO[[#This Row],[FECHA]])</f>
        <v>2</v>
      </c>
      <c r="H530" s="163" t="str">
        <f>MID(EJECUTADO[[#This Row],[CUENTA]],1,4)</f>
        <v>E-12</v>
      </c>
      <c r="I530" s="163" t="str">
        <f>INDEX(CATALOGO[Descripción],MATCH(EJECUTADO[[#This Row],[APLICACIÓN]]&amp;"-00-00-00",CATALOGO[Código],0))</f>
        <v>PROYECCION SOCIAL</v>
      </c>
      <c r="J5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30" s="161" t="str">
        <f>IF((EJECUTADO[[#This Row],[MONTO DISPONIBLE ]]-EJECUTADO[[#This Row],[MONTO SOLICITADO]])&gt;=0,"PRESUPUESTO: SI","PRESUPUESTO: NO")</f>
        <v>PRESUPUESTO: NO</v>
      </c>
      <c r="L530" s="162">
        <f>SUMIF(PRESUPUESTO[CUENTA],EJECUTADO[[#This Row],[CUENTA]],PRESUPUESTO[MONTO])-SUMIF($F$1:F529,EJECUTADO[[#This Row],[CUENTA]],$M$1:M529)</f>
        <v>-48.25</v>
      </c>
      <c r="M530" s="2">
        <v>120</v>
      </c>
      <c r="N530" s="2"/>
      <c r="O530" s="2"/>
      <c r="P530" s="162">
        <f>+EJECUTADO[[#This Row],[MONTO SOLICITADO]]-EJECUTADO[[#This Row],[RETENCION IVA]]-EJECUTADO[[#This Row],[RETENCION ISR]]</f>
        <v>120</v>
      </c>
      <c r="Q530" s="84" t="s">
        <v>1000</v>
      </c>
      <c r="R530" s="2"/>
      <c r="S530">
        <v>1</v>
      </c>
      <c r="T530" s="168" t="str">
        <f t="shared" si="16"/>
        <v>PROYECCION SOCIAL - LA CUENTA SELECCIONADA NO PERMITE MOVIMIENTO Disponible $-48.25 Solicitado $120 PRESUPUESTO: NO</v>
      </c>
    </row>
    <row r="531" spans="1:20" ht="60" x14ac:dyDescent="0.25">
      <c r="A531" s="6">
        <f t="shared" si="17"/>
        <v>528</v>
      </c>
      <c r="B531" s="21">
        <v>45343</v>
      </c>
      <c r="C531" s="17" t="s">
        <v>1744</v>
      </c>
      <c r="D531" s="65" t="s">
        <v>1745</v>
      </c>
      <c r="E531" s="65"/>
      <c r="F531" t="s">
        <v>1726</v>
      </c>
      <c r="G531" s="161">
        <f>MONTH(EJECUTADO[[#This Row],[FECHA]])</f>
        <v>2</v>
      </c>
      <c r="H531" s="163" t="str">
        <f>MID(EJECUTADO[[#This Row],[CUENTA]],1,4)</f>
        <v>E-19</v>
      </c>
      <c r="I531" s="163" t="str">
        <f>INDEX(CATALOGO[Descripción],MATCH(EJECUTADO[[#This Row],[APLICACIÓN]]&amp;"-00-00-00",CATALOGO[Código],0))</f>
        <v>MANTENIMIENTO</v>
      </c>
      <c r="J53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31" s="161" t="str">
        <f>IF((EJECUTADO[[#This Row],[MONTO DISPONIBLE ]]-EJECUTADO[[#This Row],[MONTO SOLICITADO]])&gt;=0,"PRESUPUESTO: SI","PRESUPUESTO: NO")</f>
        <v>PRESUPUESTO: NO</v>
      </c>
      <c r="L531" s="162">
        <f>SUMIF(PRESUPUESTO[CUENTA],EJECUTADO[[#This Row],[CUENTA]],PRESUPUESTO[MONTO])-SUMIF($F$1:F530,EJECUTADO[[#This Row],[CUENTA]],$M$1:M530)</f>
        <v>-515.6</v>
      </c>
      <c r="M531" s="2">
        <v>870.44</v>
      </c>
      <c r="N531" s="2"/>
      <c r="O531" s="2"/>
      <c r="P531" s="162">
        <f>+EJECUTADO[[#This Row],[MONTO SOLICITADO]]-EJECUTADO[[#This Row],[RETENCION IVA]]-EJECUTADO[[#This Row],[RETENCION ISR]]</f>
        <v>870.44</v>
      </c>
      <c r="Q531" s="84" t="s">
        <v>1000</v>
      </c>
      <c r="R531" s="2"/>
      <c r="S531">
        <v>1</v>
      </c>
      <c r="T531" s="168" t="e">
        <f t="shared" si="16"/>
        <v>#N/A</v>
      </c>
    </row>
    <row r="532" spans="1:20" ht="30" x14ac:dyDescent="0.25">
      <c r="A532" s="6">
        <f t="shared" si="17"/>
        <v>529</v>
      </c>
      <c r="B532" s="21">
        <v>45343</v>
      </c>
      <c r="C532" s="17" t="s">
        <v>1401</v>
      </c>
      <c r="D532" s="65" t="s">
        <v>1746</v>
      </c>
      <c r="E532" s="65"/>
      <c r="F532" t="s">
        <v>1402</v>
      </c>
      <c r="G532" s="161">
        <f>MONTH(EJECUTADO[[#This Row],[FECHA]])</f>
        <v>2</v>
      </c>
      <c r="H532" s="163" t="str">
        <f>MID(EJECUTADO[[#This Row],[CUENTA]],1,4)</f>
        <v>E-20</v>
      </c>
      <c r="I532" s="163" t="str">
        <f>INDEX(CATALOGO[Descripción],MATCH(EJECUTADO[[#This Row],[APLICACIÓN]]&amp;"-00-00-00",CATALOGO[Código],0))</f>
        <v>SEGUROS</v>
      </c>
      <c r="J5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Valores ACSA 8 cuotas</v>
      </c>
      <c r="K532" s="161" t="str">
        <f>IF((EJECUTADO[[#This Row],[MONTO DISPONIBLE ]]-EJECUTADO[[#This Row],[MONTO SOLICITADO]])&gt;=0,"PRESUPUESTO: SI","PRESUPUESTO: NO")</f>
        <v>PRESUPUESTO: NO</v>
      </c>
      <c r="L532" s="162">
        <f>SUMIF(PRESUPUESTO[CUENTA],EJECUTADO[[#This Row],[CUENTA]],PRESUPUESTO[MONTO])-SUMIF($F$1:F531,EJECUTADO[[#This Row],[CUENTA]],$M$1:M531)</f>
        <v>-754.10000000000036</v>
      </c>
      <c r="M532" s="2">
        <v>6429.44</v>
      </c>
      <c r="N532" s="2"/>
      <c r="O532" s="2"/>
      <c r="P532" s="162">
        <f>+EJECUTADO[[#This Row],[MONTO SOLICITADO]]-EJECUTADO[[#This Row],[RETENCION IVA]]-EJECUTADO[[#This Row],[RETENCION ISR]]</f>
        <v>6429.44</v>
      </c>
      <c r="Q532" s="84" t="s">
        <v>1000</v>
      </c>
      <c r="R532" s="2"/>
      <c r="S532">
        <v>1</v>
      </c>
      <c r="T532" s="168" t="str">
        <f t="shared" si="16"/>
        <v>SEGUROS - Seguro Valores ACSA 8 cuotas Disponible $-754.1 Solicitado $6429.44 PRESUPUESTO: NO</v>
      </c>
    </row>
    <row r="533" spans="1:20" ht="30" x14ac:dyDescent="0.25">
      <c r="A533" s="6">
        <f t="shared" si="17"/>
        <v>530</v>
      </c>
      <c r="B533" s="21">
        <v>45343</v>
      </c>
      <c r="C533" s="17" t="s">
        <v>1401</v>
      </c>
      <c r="D533" s="65" t="s">
        <v>1747</v>
      </c>
      <c r="E533" s="65"/>
      <c r="F533" t="s">
        <v>1403</v>
      </c>
      <c r="G533" s="161">
        <f>MONTH(EJECUTADO[[#This Row],[FECHA]])</f>
        <v>2</v>
      </c>
      <c r="H533" s="163" t="str">
        <f>MID(EJECUTADO[[#This Row],[CUENTA]],1,4)</f>
        <v>E-20</v>
      </c>
      <c r="I533" s="163" t="str">
        <f>INDEX(CATALOGO[Descripción],MATCH(EJECUTADO[[#This Row],[APLICACIÓN]]&amp;"-00-00-00",CATALOGO[Código],0))</f>
        <v>SEGUROS</v>
      </c>
      <c r="J5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VehÍculos ACSA 8 cuotas</v>
      </c>
      <c r="K533" s="161" t="str">
        <f>IF((EJECUTADO[[#This Row],[MONTO DISPONIBLE ]]-EJECUTADO[[#This Row],[MONTO SOLICITADO]])&gt;=0,"PRESUPUESTO: SI","PRESUPUESTO: NO")</f>
        <v>PRESUPUESTO: NO</v>
      </c>
      <c r="L533" s="162">
        <f>SUMIF(PRESUPUESTO[CUENTA],EJECUTADO[[#This Row],[CUENTA]],PRESUPUESTO[MONTO])-SUMIF($F$1:F532,EJECUTADO[[#This Row],[CUENTA]],$M$1:M532)</f>
        <v>13257.18</v>
      </c>
      <c r="M533" s="2">
        <v>16741.27</v>
      </c>
      <c r="N533" s="2"/>
      <c r="O533" s="2"/>
      <c r="P533" s="162">
        <f>+EJECUTADO[[#This Row],[MONTO SOLICITADO]]-EJECUTADO[[#This Row],[RETENCION IVA]]-EJECUTADO[[#This Row],[RETENCION ISR]]</f>
        <v>16741.27</v>
      </c>
      <c r="Q533" s="84" t="s">
        <v>1000</v>
      </c>
      <c r="R533" s="2"/>
      <c r="S533">
        <v>1</v>
      </c>
      <c r="T533" s="168" t="str">
        <f t="shared" si="16"/>
        <v>SEGUROS - Seguro VehÍculos ACSA 8 cuotas Disponible $13257.18 Solicitado $16741.27 PRESUPUESTO: NO</v>
      </c>
    </row>
    <row r="534" spans="1:20" ht="30" x14ac:dyDescent="0.25">
      <c r="A534" s="6">
        <f t="shared" si="17"/>
        <v>531</v>
      </c>
      <c r="B534" s="21">
        <v>45343</v>
      </c>
      <c r="C534" s="17" t="s">
        <v>1318</v>
      </c>
      <c r="D534" s="65" t="s">
        <v>1748</v>
      </c>
      <c r="E534" s="65"/>
      <c r="F534" t="s">
        <v>1656</v>
      </c>
      <c r="G534" s="161">
        <f>MONTH(EJECUTADO[[#This Row],[FECHA]])</f>
        <v>2</v>
      </c>
      <c r="H534" s="163" t="str">
        <f>MID(EJECUTADO[[#This Row],[CUENTA]],1,4)</f>
        <v>E-09</v>
      </c>
      <c r="I534" s="163" t="str">
        <f>INDEX(CATALOGO[Descripción],MATCH(EJECUTADO[[#This Row],[APLICACIÓN]]&amp;"-00-00-00",CATALOGO[Código],0))</f>
        <v>PRESTACIONES AL PERSONAL</v>
      </c>
      <c r="J5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34" s="161" t="str">
        <f>IF((EJECUTADO[[#This Row],[MONTO DISPONIBLE ]]-EJECUTADO[[#This Row],[MONTO SOLICITADO]])&gt;=0,"PRESUPUESTO: SI","PRESUPUESTO: NO")</f>
        <v>PRESUPUESTO: NO</v>
      </c>
      <c r="L534" s="162">
        <f>SUMIF(PRESUPUESTO[CUENTA],EJECUTADO[[#This Row],[CUENTA]],PRESUPUESTO[MONTO])-SUMIF($F$1:F533,EJECUTADO[[#This Row],[CUENTA]],$M$1:M533)</f>
        <v>-20</v>
      </c>
      <c r="M534" s="2">
        <v>1367.09</v>
      </c>
      <c r="N534" s="2"/>
      <c r="O534" s="2"/>
      <c r="P534" s="162">
        <f>+EJECUTADO[[#This Row],[MONTO SOLICITADO]]-EJECUTADO[[#This Row],[RETENCION IVA]]-EJECUTADO[[#This Row],[RETENCION ISR]]</f>
        <v>1367.09</v>
      </c>
      <c r="Q534" s="84" t="s">
        <v>1000</v>
      </c>
      <c r="R534" s="2"/>
      <c r="S534">
        <v>1</v>
      </c>
      <c r="T534" s="168" t="str">
        <f t="shared" si="16"/>
        <v>PRESTACIONES AL PERSONAL - LA CUENTA SELECCIONADA NO PERMITE MOVIMIENTO Disponible $-20 Solicitado $1367.09 PRESUPUESTO: NO</v>
      </c>
    </row>
    <row r="535" spans="1:20" ht="30" x14ac:dyDescent="0.25">
      <c r="A535" s="6">
        <f t="shared" si="17"/>
        <v>532</v>
      </c>
      <c r="B535" s="21">
        <v>45343</v>
      </c>
      <c r="C535" s="17" t="s">
        <v>1318</v>
      </c>
      <c r="D535" s="65" t="s">
        <v>1748</v>
      </c>
      <c r="E535" s="65"/>
      <c r="F535" t="s">
        <v>1033</v>
      </c>
      <c r="G535" s="161">
        <f>MONTH(EJECUTADO[[#This Row],[FECHA]])</f>
        <v>2</v>
      </c>
      <c r="H535" s="163" t="str">
        <f>MID(EJECUTADO[[#This Row],[CUENTA]],1,4)</f>
        <v>E-13</v>
      </c>
      <c r="I535" s="163" t="str">
        <f>INDEX(CATALOGO[Descripción],MATCH(EJECUTADO[[#This Row],[APLICACIÓN]]&amp;"-00-00-00",CATALOGO[Código],0))</f>
        <v>MAESTRIAS Y POSTGRADOS</v>
      </c>
      <c r="J5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Material de oficina</v>
      </c>
      <c r="K535" s="161" t="str">
        <f>IF((EJECUTADO[[#This Row],[MONTO DISPONIBLE ]]-EJECUTADO[[#This Row],[MONTO SOLICITADO]])&gt;=0,"PRESUPUESTO: SI","PRESUPUESTO: NO")</f>
        <v>PRESUPUESTO: SI</v>
      </c>
      <c r="L535" s="162">
        <f>SUMIF(PRESUPUESTO[CUENTA],EJECUTADO[[#This Row],[CUENTA]],PRESUPUESTO[MONTO])-SUMIF($F$1:F534,EJECUTADO[[#This Row],[CUENTA]],$M$1:M534)</f>
        <v>4395</v>
      </c>
      <c r="M535" s="2">
        <v>50</v>
      </c>
      <c r="N535" s="2"/>
      <c r="O535" s="2"/>
      <c r="P535" s="162">
        <f>+EJECUTADO[[#This Row],[MONTO SOLICITADO]]-EJECUTADO[[#This Row],[RETENCION IVA]]-EJECUTADO[[#This Row],[RETENCION ISR]]</f>
        <v>50</v>
      </c>
      <c r="Q535" s="84" t="s">
        <v>1000</v>
      </c>
      <c r="R535" s="2"/>
      <c r="S535">
        <v>1</v>
      </c>
      <c r="T535" s="168" t="str">
        <f t="shared" si="16"/>
        <v>MAESTRIAS Y POSTGRADOS - Material de oficina Disponible $4395 Solicitado $50 PRESUPUESTO: SI</v>
      </c>
    </row>
    <row r="536" spans="1:20" ht="30" x14ac:dyDescent="0.25">
      <c r="A536" s="6">
        <f t="shared" si="17"/>
        <v>533</v>
      </c>
      <c r="B536" s="21">
        <v>45343</v>
      </c>
      <c r="C536" s="17" t="s">
        <v>1318</v>
      </c>
      <c r="D536" s="65" t="s">
        <v>1748</v>
      </c>
      <c r="E536" s="65"/>
      <c r="F536" t="s">
        <v>1749</v>
      </c>
      <c r="G536" s="161">
        <f>MONTH(EJECUTADO[[#This Row],[FECHA]])</f>
        <v>2</v>
      </c>
      <c r="H536" s="163" t="str">
        <f>MID(EJECUTADO[[#This Row],[CUENTA]],1,4)</f>
        <v>E-12</v>
      </c>
      <c r="I536" s="163" t="str">
        <f>INDEX(CATALOGO[Descripción],MATCH(EJECUTADO[[#This Row],[APLICACIÓN]]&amp;"-00-00-00",CATALOGO[Código],0))</f>
        <v>PROYECCION SOCIAL</v>
      </c>
      <c r="J5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36" s="161" t="str">
        <f>IF((EJECUTADO[[#This Row],[MONTO DISPONIBLE ]]-EJECUTADO[[#This Row],[MONTO SOLICITADO]])&gt;=0,"PRESUPUESTO: SI","PRESUPUESTO: NO")</f>
        <v>PRESUPUESTO: NO</v>
      </c>
      <c r="L536" s="162">
        <f>SUMIF(PRESUPUESTO[CUENTA],EJECUTADO[[#This Row],[CUENTA]],PRESUPUESTO[MONTO])-SUMIF($F$1:F535,EJECUTADO[[#This Row],[CUENTA]],$M$1:M535)</f>
        <v>0</v>
      </c>
      <c r="M536" s="2">
        <v>30</v>
      </c>
      <c r="N536" s="2"/>
      <c r="O536" s="2"/>
      <c r="P536" s="162">
        <f>+EJECUTADO[[#This Row],[MONTO SOLICITADO]]-EJECUTADO[[#This Row],[RETENCION IVA]]-EJECUTADO[[#This Row],[RETENCION ISR]]</f>
        <v>30</v>
      </c>
      <c r="Q536" s="84" t="s">
        <v>1000</v>
      </c>
      <c r="R536" s="2"/>
      <c r="S536">
        <v>1</v>
      </c>
      <c r="T536" s="168" t="str">
        <f t="shared" si="16"/>
        <v>PROYECCION SOCIAL - LA CUENTA SELECCIONADA NO PERMITE MOVIMIENTO Disponible $0 Solicitado $30 PRESUPUESTO: NO</v>
      </c>
    </row>
    <row r="537" spans="1:20" ht="30" x14ac:dyDescent="0.25">
      <c r="A537" s="6">
        <f t="shared" si="17"/>
        <v>534</v>
      </c>
      <c r="B537" s="21">
        <v>45343</v>
      </c>
      <c r="C537" s="17" t="s">
        <v>1318</v>
      </c>
      <c r="D537" s="65" t="s">
        <v>1748</v>
      </c>
      <c r="E537" s="65"/>
      <c r="F537" t="s">
        <v>1190</v>
      </c>
      <c r="G537" s="161">
        <f>MONTH(EJECUTADO[[#This Row],[FECHA]])</f>
        <v>2</v>
      </c>
      <c r="H537" s="163" t="str">
        <f>MID(EJECUTADO[[#This Row],[CUENTA]],1,4)</f>
        <v>E-25</v>
      </c>
      <c r="I537" s="163" t="str">
        <f>INDEX(CATALOGO[Descripción],MATCH(EJECUTADO[[#This Row],[APLICACIÓN]]&amp;"-00-00-00",CATALOGO[Código],0))</f>
        <v>DECANATO DE ESTUDIANTES</v>
      </c>
      <c r="J5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Inscripciones de torneos universitarios</v>
      </c>
      <c r="K537" s="161" t="str">
        <f>IF((EJECUTADO[[#This Row],[MONTO DISPONIBLE ]]-EJECUTADO[[#This Row],[MONTO SOLICITADO]])&gt;=0,"PRESUPUESTO: SI","PRESUPUESTO: NO")</f>
        <v>PRESUPUESTO: SI</v>
      </c>
      <c r="L537" s="162">
        <f>SUMIF(PRESUPUESTO[CUENTA],EJECUTADO[[#This Row],[CUENTA]],PRESUPUESTO[MONTO])-SUMIF($F$1:F536,EJECUTADO[[#This Row],[CUENTA]],$M$1:M536)</f>
        <v>2000</v>
      </c>
      <c r="M537" s="2">
        <v>100</v>
      </c>
      <c r="N537" s="2"/>
      <c r="O537" s="2"/>
      <c r="P537" s="162">
        <f>+EJECUTADO[[#This Row],[MONTO SOLICITADO]]-EJECUTADO[[#This Row],[RETENCION IVA]]-EJECUTADO[[#This Row],[RETENCION ISR]]</f>
        <v>100</v>
      </c>
      <c r="Q537" s="84" t="s">
        <v>1000</v>
      </c>
      <c r="R537" s="2"/>
      <c r="S537">
        <v>1</v>
      </c>
      <c r="T537" s="168" t="str">
        <f t="shared" si="16"/>
        <v>DECANATO DE ESTUDIANTES - U. recreación y deportes - Inscripciones de torneos universitarios Disponible $2000 Solicitado $100 PRESUPUESTO: SI</v>
      </c>
    </row>
    <row r="538" spans="1:20" x14ac:dyDescent="0.25">
      <c r="A538" s="6">
        <f t="shared" si="17"/>
        <v>535</v>
      </c>
      <c r="B538" s="21">
        <v>45343</v>
      </c>
      <c r="C538" s="17" t="s">
        <v>1750</v>
      </c>
      <c r="D538" s="65" t="s">
        <v>1751</v>
      </c>
      <c r="E538" s="65"/>
      <c r="F538" t="s">
        <v>1752</v>
      </c>
      <c r="G538" s="161">
        <f>MONTH(EJECUTADO[[#This Row],[FECHA]])</f>
        <v>2</v>
      </c>
      <c r="H538" s="163" t="str">
        <f>MID(EJECUTADO[[#This Row],[CUENTA]],1,4)</f>
        <v>E-02</v>
      </c>
      <c r="I538" s="163" t="str">
        <f>INDEX(CATALOGO[Descripción],MATCH(EJECUTADO[[#This Row],[APLICACIÓN]]&amp;"-00-00-00",CATALOGO[Código],0))</f>
        <v>PRESTAMOS BANCARIOS</v>
      </c>
      <c r="J5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538" s="161" t="str">
        <f>IF((EJECUTADO[[#This Row],[MONTO DISPONIBLE ]]-EJECUTADO[[#This Row],[MONTO SOLICITADO]])&gt;=0,"PRESUPUESTO: SI","PRESUPUESTO: NO")</f>
        <v>PRESUPUESTO: SI</v>
      </c>
      <c r="L538" s="162">
        <f>SUMIF(PRESUPUESTO[CUENTA],EJECUTADO[[#This Row],[CUENTA]],PRESUPUESTO[MONTO])-SUMIF($F$1:F537,EJECUTADO[[#This Row],[CUENTA]],$M$1:M537)</f>
        <v>120000</v>
      </c>
      <c r="M538" s="2">
        <v>3776.55</v>
      </c>
      <c r="N538" s="2"/>
      <c r="O538" s="2"/>
      <c r="P538" s="162">
        <f>+EJECUTADO[[#This Row],[MONTO SOLICITADO]]-EJECUTADO[[#This Row],[RETENCION IVA]]-EJECUTADO[[#This Row],[RETENCION ISR]]</f>
        <v>3776.55</v>
      </c>
      <c r="Q538" s="84" t="s">
        <v>1000</v>
      </c>
      <c r="R538" s="2"/>
      <c r="S538">
        <v>1</v>
      </c>
      <c r="T538" s="168" t="str">
        <f t="shared" si="16"/>
        <v>PRESTAMOS BANCARIOS - COMISIONES BANCARIOS Disponible $120000 Solicitado $3776.55 PRESUPUESTO: SI</v>
      </c>
    </row>
    <row r="539" spans="1:20" ht="45" x14ac:dyDescent="0.25">
      <c r="A539" s="6">
        <f t="shared" si="17"/>
        <v>536</v>
      </c>
      <c r="B539" s="21">
        <v>45343</v>
      </c>
      <c r="C539" s="17" t="s">
        <v>1753</v>
      </c>
      <c r="D539" s="65" t="s">
        <v>1754</v>
      </c>
      <c r="E539" s="65" t="s">
        <v>1755</v>
      </c>
      <c r="F539" t="s">
        <v>1756</v>
      </c>
      <c r="G539" s="161">
        <f>MONTH(EJECUTADO[[#This Row],[FECHA]])</f>
        <v>2</v>
      </c>
      <c r="H539" s="163" t="str">
        <f>MID(EJECUTADO[[#This Row],[CUENTA]],1,4)</f>
        <v>E-16</v>
      </c>
      <c r="I539" s="163" t="str">
        <f>INDEX(CATALOGO[Descripción],MATCH(EJECUTADO[[#This Row],[APLICACIÓN]]&amp;"-00-00-00",CATALOGO[Código],0))</f>
        <v xml:space="preserve">PRE-ESPECIALIDAD </v>
      </c>
      <c r="J5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 Clase - Modulos</v>
      </c>
      <c r="K539" s="161" t="str">
        <f>IF((EJECUTADO[[#This Row],[MONTO DISPONIBLE ]]-EJECUTADO[[#This Row],[MONTO SOLICITADO]])&gt;=0,"PRESUPUESTO: SI","PRESUPUESTO: NO")</f>
        <v>PRESUPUESTO: SI</v>
      </c>
      <c r="L539" s="162">
        <f>SUMIF(PRESUPUESTO[CUENTA],EJECUTADO[[#This Row],[CUENTA]],PRESUPUESTO[MONTO])-SUMIF($F$1:F538,EJECUTADO[[#This Row],[CUENTA]],$M$1:M538)</f>
        <v>326700</v>
      </c>
      <c r="M539" s="2">
        <v>2435.39</v>
      </c>
      <c r="N539" s="2">
        <v>280.18</v>
      </c>
      <c r="O539" s="2">
        <v>431.04</v>
      </c>
      <c r="P539" s="162">
        <f>+EJECUTADO[[#This Row],[MONTO SOLICITADO]]-EJECUTADO[[#This Row],[RETENCION IVA]]-EJECUTADO[[#This Row],[RETENCION ISR]]</f>
        <v>1724.17</v>
      </c>
      <c r="Q539" s="84" t="s">
        <v>1000</v>
      </c>
      <c r="R539" s="2" t="s">
        <v>1757</v>
      </c>
      <c r="S539">
        <v>1</v>
      </c>
      <c r="T539" s="168" t="str">
        <f t="shared" si="16"/>
        <v>PRE-ESPECIALIDAD  - Hora Clase - Modulos Disponible $326700 Solicitado $2435.39 PRESUPUESTO: SI</v>
      </c>
    </row>
    <row r="540" spans="1:20" ht="30" x14ac:dyDescent="0.25">
      <c r="A540" s="6">
        <f t="shared" si="17"/>
        <v>537</v>
      </c>
      <c r="B540" s="21">
        <v>45346</v>
      </c>
      <c r="C540" s="17" t="s">
        <v>1156</v>
      </c>
      <c r="D540" s="65" t="s">
        <v>1758</v>
      </c>
      <c r="E540" s="65"/>
      <c r="F540" t="s">
        <v>1322</v>
      </c>
      <c r="G540" s="161">
        <f>MONTH(EJECUTADO[[#This Row],[FECHA]])</f>
        <v>2</v>
      </c>
      <c r="H540" s="163" t="str">
        <f>MID(EJECUTADO[[#This Row],[CUENTA]],1,4)</f>
        <v>E-09</v>
      </c>
      <c r="I540" s="163" t="str">
        <f>INDEX(CATALOGO[Descripción],MATCH(EJECUTADO[[#This Row],[APLICACIÓN]]&amp;"-00-00-00",CATALOGO[Código],0))</f>
        <v>PRESTACIONES AL PERSONAL</v>
      </c>
      <c r="J5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540" s="161" t="str">
        <f>IF((EJECUTADO[[#This Row],[MONTO DISPONIBLE ]]-EJECUTADO[[#This Row],[MONTO SOLICITADO]])&gt;=0,"PRESUPUESTO: SI","PRESUPUESTO: NO")</f>
        <v>PRESUPUESTO: SI</v>
      </c>
      <c r="L540" s="162">
        <f>SUMIF(PRESUPUESTO[CUENTA],EJECUTADO[[#This Row],[CUENTA]],PRESUPUESTO[MONTO])-SUMIF($F$1:F539,EJECUTADO[[#This Row],[CUENTA]],$M$1:M539)</f>
        <v>2730.79</v>
      </c>
      <c r="M540" s="2">
        <v>1107.01</v>
      </c>
      <c r="N540" s="2"/>
      <c r="O540" s="2"/>
      <c r="P540" s="162">
        <f>+EJECUTADO[[#This Row],[MONTO SOLICITADO]]-EJECUTADO[[#This Row],[RETENCION IVA]]-EJECUTADO[[#This Row],[RETENCION ISR]]</f>
        <v>1107.01</v>
      </c>
      <c r="Q540" s="84" t="s">
        <v>1000</v>
      </c>
      <c r="R540" s="2"/>
      <c r="S540">
        <v>1</v>
      </c>
      <c r="T540" s="168" t="str">
        <f t="shared" si="16"/>
        <v>PRESTACIONES AL PERSONAL - SALA CUNA Disponible $2730.79 Solicitado $1107.01 PRESUPUESTO: SI</v>
      </c>
    </row>
    <row r="541" spans="1:20" ht="60" x14ac:dyDescent="0.25">
      <c r="A541" s="6">
        <f t="shared" si="17"/>
        <v>538</v>
      </c>
      <c r="B541" s="21">
        <v>45346</v>
      </c>
      <c r="C541" s="17" t="s">
        <v>1079</v>
      </c>
      <c r="D541" s="65" t="s">
        <v>1759</v>
      </c>
      <c r="E541" s="65"/>
      <c r="F541" t="s">
        <v>1180</v>
      </c>
      <c r="G541" s="161">
        <f>MONTH(EJECUTADO[[#This Row],[FECHA]])</f>
        <v>2</v>
      </c>
      <c r="H541" s="163" t="str">
        <f>MID(EJECUTADO[[#This Row],[CUENTA]],1,4)</f>
        <v>E-08</v>
      </c>
      <c r="I541" s="163" t="str">
        <f>INDEX(CATALOGO[Descripción],MATCH(EJECUTADO[[#This Row],[APLICACIÓN]]&amp;"-00-00-00",CATALOGO[Código],0))</f>
        <v>INVERSIONES Y PROYECTOS ESPECIALES</v>
      </c>
      <c r="J5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41" s="161" t="str">
        <f>IF((EJECUTADO[[#This Row],[MONTO DISPONIBLE ]]-EJECUTADO[[#This Row],[MONTO SOLICITADO]])&gt;=0,"PRESUPUESTO: SI","PRESUPUESTO: NO")</f>
        <v>PRESUPUESTO: NO</v>
      </c>
      <c r="L541" s="162">
        <f>SUMIF(PRESUPUESTO[CUENTA],EJECUTADO[[#This Row],[CUENTA]],PRESUPUESTO[MONTO])-SUMIF($F$1:F540,EJECUTADO[[#This Row],[CUENTA]],$M$1:M540)</f>
        <v>-728.12</v>
      </c>
      <c r="M541" s="2">
        <v>39788.22</v>
      </c>
      <c r="N541" s="2"/>
      <c r="O541" s="2"/>
      <c r="P541" s="162">
        <f>+EJECUTADO[[#This Row],[MONTO SOLICITADO]]-EJECUTADO[[#This Row],[RETENCION IVA]]-EJECUTADO[[#This Row],[RETENCION ISR]]</f>
        <v>39788.22</v>
      </c>
      <c r="Q541" s="84" t="s">
        <v>1000</v>
      </c>
      <c r="R541" s="2"/>
      <c r="S541">
        <v>1</v>
      </c>
      <c r="T541" s="168" t="str">
        <f t="shared" si="16"/>
        <v>INVERSIONES Y PROYECTOS ESPECIALES - LA CUENTA SELECCIONADA NO PERMITE MOVIMIENTO Disponible $-728.12 Solicitado $39788.22 PRESUPUESTO: NO</v>
      </c>
    </row>
    <row r="542" spans="1:20" ht="30" x14ac:dyDescent="0.25">
      <c r="A542" s="6">
        <f t="shared" si="17"/>
        <v>539</v>
      </c>
      <c r="B542" s="21">
        <v>45346</v>
      </c>
      <c r="C542" s="17" t="s">
        <v>1155</v>
      </c>
      <c r="D542" s="65" t="s">
        <v>1758</v>
      </c>
      <c r="E542" s="65"/>
      <c r="F542" t="s">
        <v>1322</v>
      </c>
      <c r="G542" s="161">
        <f>MONTH(EJECUTADO[[#This Row],[FECHA]])</f>
        <v>2</v>
      </c>
      <c r="H542" s="163" t="str">
        <f>MID(EJECUTADO[[#This Row],[CUENTA]],1,4)</f>
        <v>E-09</v>
      </c>
      <c r="I542" s="163" t="str">
        <f>INDEX(CATALOGO[Descripción],MATCH(EJECUTADO[[#This Row],[APLICACIÓN]]&amp;"-00-00-00",CATALOGO[Código],0))</f>
        <v>PRESTACIONES AL PERSONAL</v>
      </c>
      <c r="J5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542" s="161" t="str">
        <f>IF((EJECUTADO[[#This Row],[MONTO DISPONIBLE ]]-EJECUTADO[[#This Row],[MONTO SOLICITADO]])&gt;=0,"PRESUPUESTO: SI","PRESUPUESTO: NO")</f>
        <v>PRESUPUESTO: SI</v>
      </c>
      <c r="L542" s="162">
        <f>SUMIF(PRESUPUESTO[CUENTA],EJECUTADO[[#This Row],[CUENTA]],PRESUPUESTO[MONTO])-SUMIF($F$1:F541,EJECUTADO[[#This Row],[CUENTA]],$M$1:M541)</f>
        <v>1623.7799999999997</v>
      </c>
      <c r="M542" s="2">
        <v>1107.01</v>
      </c>
      <c r="N542" s="2"/>
      <c r="O542" s="2"/>
      <c r="P542" s="162">
        <f>+EJECUTADO[[#This Row],[MONTO SOLICITADO]]-EJECUTADO[[#This Row],[RETENCION IVA]]-EJECUTADO[[#This Row],[RETENCION ISR]]</f>
        <v>1107.01</v>
      </c>
      <c r="Q542" s="84" t="s">
        <v>1000</v>
      </c>
      <c r="R542" s="2"/>
      <c r="S542">
        <v>1</v>
      </c>
      <c r="T542" s="168" t="str">
        <f t="shared" si="16"/>
        <v>PRESTACIONES AL PERSONAL - SALA CUNA Disponible $1623.78 Solicitado $1107.01 PRESUPUESTO: SI</v>
      </c>
    </row>
    <row r="543" spans="1:20" ht="45" x14ac:dyDescent="0.25">
      <c r="A543" s="6">
        <f t="shared" si="17"/>
        <v>540</v>
      </c>
      <c r="B543" s="21">
        <v>45346</v>
      </c>
      <c r="C543" s="17" t="s">
        <v>1760</v>
      </c>
      <c r="D543" s="65" t="s">
        <v>1761</v>
      </c>
      <c r="E543" s="65"/>
      <c r="F543" t="s">
        <v>1762</v>
      </c>
      <c r="G543" s="161">
        <f>MONTH(EJECUTADO[[#This Row],[FECHA]])</f>
        <v>2</v>
      </c>
      <c r="H543" s="163" t="str">
        <f>MID(EJECUTADO[[#This Row],[CUENTA]],1,4)</f>
        <v>E-01</v>
      </c>
      <c r="I543" s="163" t="str">
        <f>INDEX(CATALOGO[Descripción],MATCH(EJECUTADO[[#This Row],[APLICACIÓN]]&amp;"-00-00-00",CATALOGO[Código],0))</f>
        <v>SERVICIOS PROFESIONALES</v>
      </c>
      <c r="J5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43" s="161" t="str">
        <f>IF((EJECUTADO[[#This Row],[MONTO DISPONIBLE ]]-EJECUTADO[[#This Row],[MONTO SOLICITADO]])&gt;=0,"PRESUPUESTO: SI","PRESUPUESTO: NO")</f>
        <v>PRESUPUESTO: NO</v>
      </c>
      <c r="L543" s="162">
        <f>SUMIF(PRESUPUESTO[CUENTA],EJECUTADO[[#This Row],[CUENTA]],PRESUPUESTO[MONTO])-SUMIF($F$1:F542,EJECUTADO[[#This Row],[CUENTA]],$M$1:M542)</f>
        <v>-13470</v>
      </c>
      <c r="M543" s="2">
        <v>1000</v>
      </c>
      <c r="N543" s="2"/>
      <c r="O543" s="2"/>
      <c r="P543" s="162">
        <f>+EJECUTADO[[#This Row],[MONTO SOLICITADO]]-EJECUTADO[[#This Row],[RETENCION IVA]]-EJECUTADO[[#This Row],[RETENCION ISR]]</f>
        <v>1000</v>
      </c>
      <c r="Q543" s="84" t="s">
        <v>1000</v>
      </c>
      <c r="R543" s="2"/>
      <c r="S543">
        <v>1</v>
      </c>
      <c r="T543" s="168" t="str">
        <f t="shared" si="16"/>
        <v>SERVICIOS PROFESIONALES - LA CUENTA SELECCIONADA NO PERMITE MOVIMIENTO Disponible $-13470 Solicitado $1000 PRESUPUESTO: NO</v>
      </c>
    </row>
    <row r="544" spans="1:20" ht="60" x14ac:dyDescent="0.25">
      <c r="A544" s="6">
        <f t="shared" si="17"/>
        <v>541</v>
      </c>
      <c r="B544" s="21">
        <v>45346</v>
      </c>
      <c r="C544" s="17" t="s">
        <v>1763</v>
      </c>
      <c r="D544" s="65" t="s">
        <v>1764</v>
      </c>
      <c r="E544" s="65"/>
      <c r="F544" t="s">
        <v>1762</v>
      </c>
      <c r="G544" s="161">
        <f>MONTH(EJECUTADO[[#This Row],[FECHA]])</f>
        <v>2</v>
      </c>
      <c r="H544" s="163" t="str">
        <f>MID(EJECUTADO[[#This Row],[CUENTA]],1,4)</f>
        <v>E-01</v>
      </c>
      <c r="I544" s="163" t="str">
        <f>INDEX(CATALOGO[Descripción],MATCH(EJECUTADO[[#This Row],[APLICACIÓN]]&amp;"-00-00-00",CATALOGO[Código],0))</f>
        <v>SERVICIOS PROFESIONALES</v>
      </c>
      <c r="J5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44" s="161" t="str">
        <f>IF((EJECUTADO[[#This Row],[MONTO DISPONIBLE ]]-EJECUTADO[[#This Row],[MONTO SOLICITADO]])&gt;=0,"PRESUPUESTO: SI","PRESUPUESTO: NO")</f>
        <v>PRESUPUESTO: NO</v>
      </c>
      <c r="L544" s="162">
        <f>SUMIF(PRESUPUESTO[CUENTA],EJECUTADO[[#This Row],[CUENTA]],PRESUPUESTO[MONTO])-SUMIF($F$1:F543,EJECUTADO[[#This Row],[CUENTA]],$M$1:M543)</f>
        <v>-14470</v>
      </c>
      <c r="M544" s="2">
        <v>2800</v>
      </c>
      <c r="N544" s="2"/>
      <c r="O544" s="2"/>
      <c r="P544" s="162">
        <f>+EJECUTADO[[#This Row],[MONTO SOLICITADO]]-EJECUTADO[[#This Row],[RETENCION IVA]]-EJECUTADO[[#This Row],[RETENCION ISR]]</f>
        <v>2800</v>
      </c>
      <c r="Q544" s="84" t="s">
        <v>1000</v>
      </c>
      <c r="R544" s="2"/>
      <c r="S544">
        <v>1</v>
      </c>
      <c r="T544" s="168" t="str">
        <f t="shared" si="16"/>
        <v>SERVICIOS PROFESIONALES - LA CUENTA SELECCIONADA NO PERMITE MOVIMIENTO Disponible $-14470 Solicitado $2800 PRESUPUESTO: NO</v>
      </c>
    </row>
    <row r="545" spans="1:20" ht="30" x14ac:dyDescent="0.25">
      <c r="A545" s="6">
        <f t="shared" si="17"/>
        <v>542</v>
      </c>
      <c r="B545" s="21">
        <v>45346</v>
      </c>
      <c r="C545" s="17" t="s">
        <v>1765</v>
      </c>
      <c r="D545" s="65" t="s">
        <v>1766</v>
      </c>
      <c r="E545" s="65"/>
      <c r="F545" t="s">
        <v>1040</v>
      </c>
      <c r="G545" s="161">
        <f>MONTH(EJECUTADO[[#This Row],[FECHA]])</f>
        <v>2</v>
      </c>
      <c r="H545" s="163" t="str">
        <f>MID(EJECUTADO[[#This Row],[CUENTA]],1,4)</f>
        <v>E-23</v>
      </c>
      <c r="I545" s="163" t="str">
        <f>INDEX(CATALOGO[Descripción],MATCH(EJECUTADO[[#This Row],[APLICACIÓN]]&amp;"-00-00-00",CATALOGO[Código],0))</f>
        <v>GASTOS DE VIAJE</v>
      </c>
      <c r="J5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BOLETOS Y VIATICOS A EJECUTIVOS</v>
      </c>
      <c r="K545" s="161" t="str">
        <f>IF((EJECUTADO[[#This Row],[MONTO DISPONIBLE ]]-EJECUTADO[[#This Row],[MONTO SOLICITADO]])&gt;=0,"PRESUPUESTO: SI","PRESUPUESTO: NO")</f>
        <v>PRESUPUESTO: SI</v>
      </c>
      <c r="L545" s="162">
        <f>SUMIF(PRESUPUESTO[CUENTA],EJECUTADO[[#This Row],[CUENTA]],PRESUPUESTO[MONTO])-SUMIF($F$1:F544,EJECUTADO[[#This Row],[CUENTA]],$M$1:M544)</f>
        <v>14825</v>
      </c>
      <c r="M545" s="2">
        <v>1254</v>
      </c>
      <c r="N545" s="2"/>
      <c r="O545" s="2"/>
      <c r="P545" s="162">
        <f>+EJECUTADO[[#This Row],[MONTO SOLICITADO]]-EJECUTADO[[#This Row],[RETENCION IVA]]-EJECUTADO[[#This Row],[RETENCION ISR]]</f>
        <v>1254</v>
      </c>
      <c r="Q545" s="84" t="s">
        <v>1000</v>
      </c>
      <c r="R545" s="2"/>
      <c r="S545">
        <v>1</v>
      </c>
      <c r="T545" s="168" t="str">
        <f t="shared" si="16"/>
        <v>GASTOS DE VIAJE - BOLETOS Y VIATICOS A EJECUTIVOS Disponible $14825 Solicitado $1254 PRESUPUESTO: SI</v>
      </c>
    </row>
    <row r="546" spans="1:20" ht="30" x14ac:dyDescent="0.25">
      <c r="A546" s="6">
        <f t="shared" si="17"/>
        <v>543</v>
      </c>
      <c r="B546" s="21">
        <v>45346</v>
      </c>
      <c r="C546" s="17" t="s">
        <v>1004</v>
      </c>
      <c r="D546" s="65" t="s">
        <v>1581</v>
      </c>
      <c r="E546" s="65"/>
      <c r="F546" t="s">
        <v>1582</v>
      </c>
      <c r="G546" s="161">
        <f>MONTH(EJECUTADO[[#This Row],[FECHA]])</f>
        <v>2</v>
      </c>
      <c r="H546" s="163" t="str">
        <f>MID(EJECUTADO[[#This Row],[CUENTA]],1,4)</f>
        <v>E-19</v>
      </c>
      <c r="I546" s="163" t="str">
        <f>INDEX(CATALOGO[Descripción],MATCH(EJECUTADO[[#This Row],[APLICACIÓN]]&amp;"-00-00-00",CATALOGO[Código],0))</f>
        <v>MANTENIMIENTO</v>
      </c>
      <c r="J5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546" s="161" t="str">
        <f>IF((EJECUTADO[[#This Row],[MONTO DISPONIBLE ]]-EJECUTADO[[#This Row],[MONTO SOLICITADO]])&gt;=0,"PRESUPUESTO: SI","PRESUPUESTO: NO")</f>
        <v>PRESUPUESTO: SI</v>
      </c>
      <c r="L546" s="162">
        <f>SUMIF(PRESUPUESTO[CUENTA],EJECUTADO[[#This Row],[CUENTA]],PRESUPUESTO[MONTO])-SUMIF($F$1:F545,EJECUTADO[[#This Row],[CUENTA]],$M$1:M545)</f>
        <v>5360</v>
      </c>
      <c r="M546" s="2">
        <v>5.88</v>
      </c>
      <c r="N546" s="2"/>
      <c r="O546" s="2"/>
      <c r="P546" s="162">
        <f>+EJECUTADO[[#This Row],[MONTO SOLICITADO]]-EJECUTADO[[#This Row],[RETENCION IVA]]-EJECUTADO[[#This Row],[RETENCION ISR]]</f>
        <v>5.88</v>
      </c>
      <c r="Q546" s="84" t="s">
        <v>1000</v>
      </c>
      <c r="R546" s="2"/>
      <c r="S546">
        <v>1</v>
      </c>
      <c r="T546" s="168" t="str">
        <f t="shared" si="16"/>
        <v>MANTENIMIENTO - Dir. Mantenimiento - Materiales Eléctricos  Disponible $5360 Solicitado $5.88 PRESUPUESTO: SI</v>
      </c>
    </row>
    <row r="547" spans="1:20" ht="30" x14ac:dyDescent="0.25">
      <c r="A547" s="6">
        <f t="shared" si="17"/>
        <v>544</v>
      </c>
      <c r="B547" s="21">
        <v>45346</v>
      </c>
      <c r="C547" s="17" t="s">
        <v>1004</v>
      </c>
      <c r="D547" s="65" t="s">
        <v>1767</v>
      </c>
      <c r="E547" s="65"/>
      <c r="F547" t="s">
        <v>1768</v>
      </c>
      <c r="G547" s="161">
        <f>MONTH(EJECUTADO[[#This Row],[FECHA]])</f>
        <v>2</v>
      </c>
      <c r="H547" s="163" t="str">
        <f>MID(EJECUTADO[[#This Row],[CUENTA]],1,4)</f>
        <v>E-19</v>
      </c>
      <c r="I547" s="163" t="str">
        <f>INDEX(CATALOGO[Descripción],MATCH(EJECUTADO[[#This Row],[APLICACIÓN]]&amp;"-00-00-00",CATALOGO[Código],0))</f>
        <v>MANTENIMIENTO</v>
      </c>
      <c r="J5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547" s="161" t="str">
        <f>IF((EJECUTADO[[#This Row],[MONTO DISPONIBLE ]]-EJECUTADO[[#This Row],[MONTO SOLICITADO]])&gt;=0,"PRESUPUESTO: SI","PRESUPUESTO: NO")</f>
        <v>PRESUPUESTO: SI</v>
      </c>
      <c r="L547" s="162">
        <f>SUMIF(PRESUPUESTO[CUENTA],EJECUTADO[[#This Row],[CUENTA]],PRESUPUESTO[MONTO])-SUMIF($F$1:F546,EJECUTADO[[#This Row],[CUENTA]],$M$1:M546)</f>
        <v>8000</v>
      </c>
      <c r="M547" s="2">
        <v>943.11</v>
      </c>
      <c r="N547" s="2"/>
      <c r="O547" s="2"/>
      <c r="P547" s="162">
        <f>+EJECUTADO[[#This Row],[MONTO SOLICITADO]]-EJECUTADO[[#This Row],[RETENCION IVA]]-EJECUTADO[[#This Row],[RETENCION ISR]]</f>
        <v>943.11</v>
      </c>
      <c r="Q547" s="84" t="s">
        <v>1000</v>
      </c>
      <c r="R547" s="2"/>
      <c r="S547">
        <v>1</v>
      </c>
      <c r="T547" s="168" t="str">
        <f t="shared" si="16"/>
        <v>MANTENIMIENTO - Dir. Mantenimiento - Materiales para Construcción  Disponible $8000 Solicitado $943.11 PRESUPUESTO: SI</v>
      </c>
    </row>
    <row r="548" spans="1:20" ht="30" x14ac:dyDescent="0.25">
      <c r="A548" s="6">
        <f t="shared" si="17"/>
        <v>545</v>
      </c>
      <c r="B548" s="21">
        <v>45346</v>
      </c>
      <c r="C548" s="17" t="s">
        <v>1004</v>
      </c>
      <c r="D548" s="65" t="s">
        <v>1769</v>
      </c>
      <c r="E548" s="65"/>
      <c r="F548" t="s">
        <v>1355</v>
      </c>
      <c r="G548" s="161">
        <f>MONTH(EJECUTADO[[#This Row],[FECHA]])</f>
        <v>2</v>
      </c>
      <c r="H548" s="163" t="str">
        <f>MID(EJECUTADO[[#This Row],[CUENTA]],1,4)</f>
        <v>E-19</v>
      </c>
      <c r="I548" s="163" t="str">
        <f>INDEX(CATALOGO[Descripción],MATCH(EJECUTADO[[#This Row],[APLICACIÓN]]&amp;"-00-00-00",CATALOGO[Código],0))</f>
        <v>MANTENIMIENTO</v>
      </c>
      <c r="J54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48" s="161" t="str">
        <f>IF((EJECUTADO[[#This Row],[MONTO DISPONIBLE ]]-EJECUTADO[[#This Row],[MONTO SOLICITADO]])&gt;=0,"PRESUPUESTO: SI","PRESUPUESTO: NO")</f>
        <v>PRESUPUESTO: NO</v>
      </c>
      <c r="L548" s="162">
        <f>SUMIF(PRESUPUESTO[CUENTA],EJECUTADO[[#This Row],[CUENTA]],PRESUPUESTO[MONTO])-SUMIF($F$1:F547,EJECUTADO[[#This Row],[CUENTA]],$M$1:M547)</f>
        <v>-6551.73</v>
      </c>
      <c r="M548" s="2">
        <v>63.58</v>
      </c>
      <c r="N548" s="2"/>
      <c r="O548" s="2"/>
      <c r="P548" s="162">
        <f>+EJECUTADO[[#This Row],[MONTO SOLICITADO]]-EJECUTADO[[#This Row],[RETENCION IVA]]-EJECUTADO[[#This Row],[RETENCION ISR]]</f>
        <v>63.58</v>
      </c>
      <c r="Q548" s="84" t="s">
        <v>1000</v>
      </c>
      <c r="R548" s="2"/>
      <c r="S548">
        <v>1</v>
      </c>
      <c r="T548" s="168" t="e">
        <f t="shared" si="16"/>
        <v>#N/A</v>
      </c>
    </row>
    <row r="549" spans="1:20" ht="60" x14ac:dyDescent="0.25">
      <c r="A549" s="6">
        <f t="shared" si="17"/>
        <v>546</v>
      </c>
      <c r="B549" s="21">
        <v>45346</v>
      </c>
      <c r="C549" s="17" t="s">
        <v>1770</v>
      </c>
      <c r="D549" s="65" t="s">
        <v>1771</v>
      </c>
      <c r="E549" s="65"/>
      <c r="F549" t="s">
        <v>1772</v>
      </c>
      <c r="G549" s="161">
        <f>MONTH(EJECUTADO[[#This Row],[FECHA]])</f>
        <v>2</v>
      </c>
      <c r="H549" s="163" t="str">
        <f>MID(EJECUTADO[[#This Row],[CUENTA]],1,4)</f>
        <v>E-19</v>
      </c>
      <c r="I549" s="163" t="str">
        <f>INDEX(CATALOGO[Descripción],MATCH(EJECUTADO[[#This Row],[APLICACIÓN]]&amp;"-00-00-00",CATALOGO[Código],0))</f>
        <v>MANTENIMIENTO</v>
      </c>
      <c r="J54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49" s="161" t="str">
        <f>IF((EJECUTADO[[#This Row],[MONTO DISPONIBLE ]]-EJECUTADO[[#This Row],[MONTO SOLICITADO]])&gt;=0,"PRESUPUESTO: SI","PRESUPUESTO: NO")</f>
        <v>PRESUPUESTO: NO</v>
      </c>
      <c r="L549" s="162">
        <f>SUMIF(PRESUPUESTO[CUENTA],EJECUTADO[[#This Row],[CUENTA]],PRESUPUESTO[MONTO])-SUMIF($F$1:F548,EJECUTADO[[#This Row],[CUENTA]],$M$1:M548)</f>
        <v>0</v>
      </c>
      <c r="M549" s="2">
        <v>250</v>
      </c>
      <c r="N549" s="2"/>
      <c r="O549" s="2"/>
      <c r="P549" s="162">
        <f>+EJECUTADO[[#This Row],[MONTO SOLICITADO]]-EJECUTADO[[#This Row],[RETENCION IVA]]-EJECUTADO[[#This Row],[RETENCION ISR]]</f>
        <v>250</v>
      </c>
      <c r="Q549" s="84" t="s">
        <v>1000</v>
      </c>
      <c r="R549" s="2"/>
      <c r="S549">
        <v>1</v>
      </c>
      <c r="T549" s="168" t="e">
        <f t="shared" si="16"/>
        <v>#N/A</v>
      </c>
    </row>
    <row r="550" spans="1:20" ht="45" x14ac:dyDescent="0.25">
      <c r="A550" s="6">
        <f t="shared" si="17"/>
        <v>547</v>
      </c>
      <c r="B550" s="21">
        <v>45346</v>
      </c>
      <c r="C550" s="17" t="s">
        <v>1304</v>
      </c>
      <c r="D550" s="65" t="s">
        <v>1646</v>
      </c>
      <c r="E550" s="65"/>
      <c r="F550" t="s">
        <v>1306</v>
      </c>
      <c r="G550" s="161">
        <f>MONTH(EJECUTADO[[#This Row],[FECHA]])</f>
        <v>2</v>
      </c>
      <c r="H550" s="163" t="str">
        <f>MID(EJECUTADO[[#This Row],[CUENTA]],1,4)</f>
        <v>E-07</v>
      </c>
      <c r="I550" s="163" t="str">
        <f>INDEX(CATALOGO[Descripción],MATCH(EJECUTADO[[#This Row],[APLICACIÓN]]&amp;"-00-00-00",CATALOGO[Código],0))</f>
        <v>SERVICIOS TECNOLOGICOS</v>
      </c>
      <c r="J5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ADMINISTRATIVOS- APP Estudiantes Mobiles El Salvador </v>
      </c>
      <c r="K550" s="161" t="str">
        <f>IF((EJECUTADO[[#This Row],[MONTO DISPONIBLE ]]-EJECUTADO[[#This Row],[MONTO SOLICITADO]])&gt;=0,"PRESUPUESTO: SI","PRESUPUESTO: NO")</f>
        <v>PRESUPUESTO: SI</v>
      </c>
      <c r="L550" s="162">
        <f>SUMIF(PRESUPUESTO[CUENTA],EJECUTADO[[#This Row],[CUENTA]],PRESUPUESTO[MONTO])-SUMIF($F$1:F549,EJECUTADO[[#This Row],[CUENTA]],$M$1:M549)</f>
        <v>5670</v>
      </c>
      <c r="M550" s="2">
        <v>565</v>
      </c>
      <c r="N550" s="2">
        <v>5</v>
      </c>
      <c r="O550" s="2"/>
      <c r="P550" s="162">
        <f>+EJECUTADO[[#This Row],[MONTO SOLICITADO]]-EJECUTADO[[#This Row],[RETENCION IVA]]-EJECUTADO[[#This Row],[RETENCION ISR]]</f>
        <v>560</v>
      </c>
      <c r="Q550" s="84" t="s">
        <v>1000</v>
      </c>
      <c r="R550" s="2"/>
      <c r="S550">
        <v>1560218</v>
      </c>
      <c r="T550" s="168" t="str">
        <f t="shared" si="16"/>
        <v>SERVICIOS TECNOLOGICOS - SERVICIOS ADMINISTRATIVOS- APP Estudiantes Mobiles El Salvador  Disponible $5670 Solicitado $565 PRESUPUESTO: SI</v>
      </c>
    </row>
    <row r="551" spans="1:20" ht="30" x14ac:dyDescent="0.25">
      <c r="A551" s="6">
        <f t="shared" si="17"/>
        <v>548</v>
      </c>
      <c r="B551" s="21">
        <v>45346</v>
      </c>
      <c r="C551" s="17" t="s">
        <v>1325</v>
      </c>
      <c r="D551" s="65" t="s">
        <v>1326</v>
      </c>
      <c r="E551" s="65"/>
      <c r="F551" t="s">
        <v>1327</v>
      </c>
      <c r="G551" s="161">
        <f>MONTH(EJECUTADO[[#This Row],[FECHA]])</f>
        <v>2</v>
      </c>
      <c r="H551" s="163" t="str">
        <f>MID(EJECUTADO[[#This Row],[CUENTA]],1,4)</f>
        <v>E-10</v>
      </c>
      <c r="I551" s="163" t="str">
        <f>INDEX(CATALOGO[Descripción],MATCH(EJECUTADO[[#This Row],[APLICACIÓN]]&amp;"-00-00-00",CATALOGO[Código],0))</f>
        <v>SERVICIOS PUBLICOS</v>
      </c>
      <c r="J5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551" s="161" t="str">
        <f>IF((EJECUTADO[[#This Row],[MONTO DISPONIBLE ]]-EJECUTADO[[#This Row],[MONTO SOLICITADO]])&gt;=0,"PRESUPUESTO: SI","PRESUPUESTO: NO")</f>
        <v>PRESUPUESTO: SI</v>
      </c>
      <c r="L551" s="162">
        <f>SUMIF(PRESUPUESTO[CUENTA],EJECUTADO[[#This Row],[CUENTA]],PRESUPUESTO[MONTO])-SUMIF($F$1:F550,EJECUTADO[[#This Row],[CUENTA]],$M$1:M550)</f>
        <v>36199.72</v>
      </c>
      <c r="M551" s="2">
        <v>3673.72</v>
      </c>
      <c r="N551" s="2"/>
      <c r="O551" s="2"/>
      <c r="P551" s="162">
        <f>+EJECUTADO[[#This Row],[MONTO SOLICITADO]]-EJECUTADO[[#This Row],[RETENCION IVA]]-EJECUTADO[[#This Row],[RETENCION ISR]]</f>
        <v>3673.72</v>
      </c>
      <c r="Q551" s="84" t="s">
        <v>1000</v>
      </c>
      <c r="R551" s="2"/>
      <c r="S551">
        <v>1</v>
      </c>
      <c r="T551" s="168" t="str">
        <f t="shared" si="16"/>
        <v>SERVICIOS PUBLICOS - SERVICIO PLANTA TELEFÓNICA  Disponible $36199.72 Solicitado $3673.72 PRESUPUESTO: SI</v>
      </c>
    </row>
    <row r="552" spans="1:20" ht="30" x14ac:dyDescent="0.25">
      <c r="A552" s="6">
        <f t="shared" si="17"/>
        <v>549</v>
      </c>
      <c r="B552" s="21">
        <v>45346</v>
      </c>
      <c r="C552" s="17" t="s">
        <v>1325</v>
      </c>
      <c r="D552" s="65" t="s">
        <v>1326</v>
      </c>
      <c r="E552" s="65"/>
      <c r="F552" t="s">
        <v>1328</v>
      </c>
      <c r="G552" s="161">
        <f>MONTH(EJECUTADO[[#This Row],[FECHA]])</f>
        <v>2</v>
      </c>
      <c r="H552" s="163" t="str">
        <f>MID(EJECUTADO[[#This Row],[CUENTA]],1,4)</f>
        <v>E-13</v>
      </c>
      <c r="I552" s="163" t="str">
        <f>INDEX(CATALOGO[Descripción],MATCH(EJECUTADO[[#This Row],[APLICACIÓN]]&amp;"-00-00-00",CATALOGO[Código],0))</f>
        <v>MAESTRIAS Y POSTGRADOS</v>
      </c>
      <c r="J5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TELEFONICA </v>
      </c>
      <c r="K552" s="161" t="str">
        <f>IF((EJECUTADO[[#This Row],[MONTO DISPONIBLE ]]-EJECUTADO[[#This Row],[MONTO SOLICITADO]])&gt;=0,"PRESUPUESTO: SI","PRESUPUESTO: NO")</f>
        <v>PRESUPUESTO: SI</v>
      </c>
      <c r="L552" s="162">
        <f>SUMIF(PRESUPUESTO[CUENTA],EJECUTADO[[#This Row],[CUENTA]],PRESUPUESTO[MONTO])-SUMIF($F$1:F551,EJECUTADO[[#This Row],[CUENTA]],$M$1:M551)</f>
        <v>4432.9399999999996</v>
      </c>
      <c r="M552" s="2">
        <v>403.06</v>
      </c>
      <c r="N552" s="2"/>
      <c r="O552" s="2"/>
      <c r="P552" s="162">
        <f>+EJECUTADO[[#This Row],[MONTO SOLICITADO]]-EJECUTADO[[#This Row],[RETENCION IVA]]-EJECUTADO[[#This Row],[RETENCION ISR]]</f>
        <v>403.06</v>
      </c>
      <c r="Q552" s="84" t="s">
        <v>1000</v>
      </c>
      <c r="R552" s="2"/>
      <c r="S552">
        <v>1</v>
      </c>
      <c r="T552" s="168" t="str">
        <f t="shared" si="16"/>
        <v>MAESTRIAS Y POSTGRADOS - SERVICIO PLANTA TELEFONICA  Disponible $4432.94 Solicitado $403.06 PRESUPUESTO: SI</v>
      </c>
    </row>
    <row r="553" spans="1:20" ht="30" x14ac:dyDescent="0.25">
      <c r="A553" s="6">
        <f t="shared" si="17"/>
        <v>550</v>
      </c>
      <c r="B553" s="21">
        <v>45346</v>
      </c>
      <c r="C553" s="17" t="s">
        <v>1325</v>
      </c>
      <c r="D553" s="65" t="s">
        <v>1326</v>
      </c>
      <c r="E553" s="65"/>
      <c r="F553" t="s">
        <v>1773</v>
      </c>
      <c r="G553" s="161">
        <f>MONTH(EJECUTADO[[#This Row],[FECHA]])</f>
        <v>2</v>
      </c>
      <c r="H553" s="163" t="str">
        <f>MID(EJECUTADO[[#This Row],[CUENTA]],1,4)</f>
        <v>E-24</v>
      </c>
      <c r="I553" s="163" t="str">
        <f>INDEX(CATALOGO[Descripción],MATCH(EJECUTADO[[#This Row],[APLICACIÓN]]&amp;"-00-00-00",CATALOGO[Código],0))</f>
        <v>NUEVO INGRESO</v>
      </c>
      <c r="J5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Centro de soluciones - Servicio telefono móvil $ 35 x 12</v>
      </c>
      <c r="K553" s="161" t="str">
        <f>IF((EJECUTADO[[#This Row],[MONTO DISPONIBLE ]]-EJECUTADO[[#This Row],[MONTO SOLICITADO]])&gt;=0,"PRESUPUESTO: SI","PRESUPUESTO: NO")</f>
        <v>PRESUPUESTO: SI</v>
      </c>
      <c r="L553" s="162">
        <f>SUMIF(PRESUPUESTO[CUENTA],EJECUTADO[[#This Row],[CUENTA]],PRESUPUESTO[MONTO])-SUMIF($F$1:F552,EJECUTADO[[#This Row],[CUENTA]],$M$1:M552)</f>
        <v>420</v>
      </c>
      <c r="M553" s="2">
        <v>379.29</v>
      </c>
      <c r="N553" s="2"/>
      <c r="O553" s="2"/>
      <c r="P553" s="162">
        <f>+EJECUTADO[[#This Row],[MONTO SOLICITADO]]-EJECUTADO[[#This Row],[RETENCION IVA]]-EJECUTADO[[#This Row],[RETENCION ISR]]</f>
        <v>379.29</v>
      </c>
      <c r="Q553" s="84" t="s">
        <v>1000</v>
      </c>
      <c r="R553" s="2"/>
      <c r="S553">
        <v>1</v>
      </c>
      <c r="T553" s="168" t="str">
        <f t="shared" si="16"/>
        <v>NUEVO INGRESO - Centro de soluciones - Servicio telefono móvil $ 35 x 12 Disponible $420 Solicitado $379.29 PRESUPUESTO: SI</v>
      </c>
    </row>
    <row r="554" spans="1:20" x14ac:dyDescent="0.25">
      <c r="A554" s="6">
        <f t="shared" si="17"/>
        <v>551</v>
      </c>
      <c r="B554" s="21">
        <v>45346</v>
      </c>
      <c r="C554" s="17" t="s">
        <v>1515</v>
      </c>
      <c r="D554" s="65" t="s">
        <v>1774</v>
      </c>
      <c r="E554" s="65"/>
      <c r="F554" t="s">
        <v>1295</v>
      </c>
      <c r="G554" s="161">
        <f>MONTH(EJECUTADO[[#This Row],[FECHA]])</f>
        <v>2</v>
      </c>
      <c r="H554" s="163" t="str">
        <f>MID(EJECUTADO[[#This Row],[CUENTA]],1,4)</f>
        <v>E-24</v>
      </c>
      <c r="I554" s="163" t="str">
        <f>INDEX(CATALOGO[Descripción],MATCH(EJECUTADO[[#This Row],[APLICACIÓN]]&amp;"-00-00-00",CATALOGO[Código],0))</f>
        <v>NUEVO INGRESO</v>
      </c>
      <c r="J5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554" s="161" t="str">
        <f>IF((EJECUTADO[[#This Row],[MONTO DISPONIBLE ]]-EJECUTADO[[#This Row],[MONTO SOLICITADO]])&gt;=0,"PRESUPUESTO: SI","PRESUPUESTO: NO")</f>
        <v>PRESUPUESTO: SI</v>
      </c>
      <c r="L554" s="162">
        <f>SUMIF(PRESUPUESTO[CUENTA],EJECUTADO[[#This Row],[CUENTA]],PRESUPUESTO[MONTO])-SUMIF($F$1:F553,EJECUTADO[[#This Row],[CUENTA]],$M$1:M553)</f>
        <v>423.94</v>
      </c>
      <c r="M554" s="2">
        <v>55.37</v>
      </c>
      <c r="N554" s="2"/>
      <c r="O554" s="2"/>
      <c r="P554" s="162">
        <f>+EJECUTADO[[#This Row],[MONTO SOLICITADO]]-EJECUTADO[[#This Row],[RETENCION IVA]]-EJECUTADO[[#This Row],[RETENCION ISR]]</f>
        <v>55.37</v>
      </c>
      <c r="Q554" s="84" t="s">
        <v>1000</v>
      </c>
      <c r="R554" s="2"/>
      <c r="S554">
        <v>1</v>
      </c>
      <c r="T554" s="168" t="str">
        <f t="shared" si="16"/>
        <v>NUEVO INGRESO - Plaza Mundo - Aromatización $ 55.00 * 12 Disponible $423.94 Solicitado $55.37 PRESUPUESTO: SI</v>
      </c>
    </row>
    <row r="555" spans="1:20" x14ac:dyDescent="0.25">
      <c r="A555" s="6">
        <f t="shared" si="17"/>
        <v>552</v>
      </c>
      <c r="B555" s="21">
        <v>45346</v>
      </c>
      <c r="C555" s="17" t="s">
        <v>1515</v>
      </c>
      <c r="D555" s="65" t="s">
        <v>1774</v>
      </c>
      <c r="E555" s="65"/>
      <c r="F555" t="s">
        <v>1167</v>
      </c>
      <c r="G555" s="161">
        <f>MONTH(EJECUTADO[[#This Row],[FECHA]])</f>
        <v>2</v>
      </c>
      <c r="H555" s="163" t="str">
        <f>MID(EJECUTADO[[#This Row],[CUENTA]],1,4)</f>
        <v>E-24</v>
      </c>
      <c r="I555" s="163" t="str">
        <f>INDEX(CATALOGO[Descripción],MATCH(EJECUTADO[[#This Row],[APLICACIÓN]]&amp;"-00-00-00",CATALOGO[Código],0))</f>
        <v>NUEVO INGRESO</v>
      </c>
      <c r="J5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555" s="161" t="str">
        <f>IF((EJECUTADO[[#This Row],[MONTO DISPONIBLE ]]-EJECUTADO[[#This Row],[MONTO SOLICITADO]])&gt;=0,"PRESUPUESTO: SI","PRESUPUESTO: NO")</f>
        <v>PRESUPUESTO: NO</v>
      </c>
      <c r="L555" s="162">
        <f>SUMIF(PRESUPUESTO[CUENTA],EJECUTADO[[#This Row],[CUENTA]],PRESUPUESTO[MONTO])-SUMIF($F$1:F554,EJECUTADO[[#This Row],[CUENTA]],$M$1:M554)</f>
        <v>-1093.5100000000002</v>
      </c>
      <c r="M555" s="2">
        <v>55.37</v>
      </c>
      <c r="N555" s="2"/>
      <c r="O555" s="2"/>
      <c r="P555" s="162">
        <f>+EJECUTADO[[#This Row],[MONTO SOLICITADO]]-EJECUTADO[[#This Row],[RETENCION IVA]]-EJECUTADO[[#This Row],[RETENCION ISR]]</f>
        <v>55.37</v>
      </c>
      <c r="Q555" s="84" t="s">
        <v>1000</v>
      </c>
      <c r="R555" s="2"/>
      <c r="S555">
        <v>1</v>
      </c>
      <c r="T555" s="168" t="str">
        <f t="shared" si="16"/>
        <v>NUEVO INGRESO - Metrocentro - Mantenimiento de local $ 436.23 Disponible $-1093.51 Solicitado $55.37 PRESUPUESTO: NO</v>
      </c>
    </row>
    <row r="556" spans="1:20" ht="30" x14ac:dyDescent="0.25">
      <c r="A556" s="6">
        <f t="shared" si="17"/>
        <v>553</v>
      </c>
      <c r="B556" s="21">
        <v>45346</v>
      </c>
      <c r="C556" s="17" t="s">
        <v>1775</v>
      </c>
      <c r="D556" s="65" t="s">
        <v>1776</v>
      </c>
      <c r="E556" s="65"/>
      <c r="F556" t="s">
        <v>1777</v>
      </c>
      <c r="G556" s="161">
        <f>MONTH(EJECUTADO[[#This Row],[FECHA]])</f>
        <v>2</v>
      </c>
      <c r="H556" s="163" t="str">
        <f>MID(EJECUTADO[[#This Row],[CUENTA]],1,4)</f>
        <v>E-07</v>
      </c>
      <c r="I556" s="163" t="str">
        <f>INDEX(CATALOGO[Descripción],MATCH(EJECUTADO[[#This Row],[APLICACIÓN]]&amp;"-00-00-00",CATALOGO[Código],0))</f>
        <v>SERVICIOS TECNOLOGICOS</v>
      </c>
      <c r="J5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56" s="161" t="str">
        <f>IF((EJECUTADO[[#This Row],[MONTO DISPONIBLE ]]-EJECUTADO[[#This Row],[MONTO SOLICITADO]])&gt;=0,"PRESUPUESTO: SI","PRESUPUESTO: NO")</f>
        <v>PRESUPUESTO: NO</v>
      </c>
      <c r="L556" s="162">
        <f>SUMIF(PRESUPUESTO[CUENTA],EJECUTADO[[#This Row],[CUENTA]],PRESUPUESTO[MONTO])-SUMIF($F$1:F555,EJECUTADO[[#This Row],[CUENTA]],$M$1:M555)</f>
        <v>0</v>
      </c>
      <c r="M556" s="2">
        <v>3051</v>
      </c>
      <c r="N556" s="2"/>
      <c r="O556" s="2"/>
      <c r="P556" s="162">
        <f>+EJECUTADO[[#This Row],[MONTO SOLICITADO]]-EJECUTADO[[#This Row],[RETENCION IVA]]-EJECUTADO[[#This Row],[RETENCION ISR]]</f>
        <v>3051</v>
      </c>
      <c r="Q556" s="84" t="s">
        <v>1000</v>
      </c>
      <c r="R556" s="2"/>
      <c r="S556">
        <v>1</v>
      </c>
      <c r="T556" s="168" t="str">
        <f t="shared" si="16"/>
        <v>SERVICIOS TECNOLOGICOS - LA CUENTA SELECCIONADA NO PERMITE MOVIMIENTO Disponible $0 Solicitado $3051 PRESUPUESTO: NO</v>
      </c>
    </row>
    <row r="557" spans="1:20" ht="45" x14ac:dyDescent="0.25">
      <c r="A557" s="6">
        <f t="shared" si="17"/>
        <v>554</v>
      </c>
      <c r="B557" s="21">
        <v>45346</v>
      </c>
      <c r="C557" s="17" t="s">
        <v>1224</v>
      </c>
      <c r="D557" s="65" t="s">
        <v>1255</v>
      </c>
      <c r="E557" s="65"/>
      <c r="F557" t="s">
        <v>1778</v>
      </c>
      <c r="G557" s="161">
        <f>MONTH(EJECUTADO[[#This Row],[FECHA]])</f>
        <v>2</v>
      </c>
      <c r="H557" s="163" t="str">
        <f>MID(EJECUTADO[[#This Row],[CUENTA]],1,4)</f>
        <v>E-19</v>
      </c>
      <c r="I557" s="163" t="str">
        <f>INDEX(CATALOGO[Descripción],MATCH(EJECUTADO[[#This Row],[APLICACIÓN]]&amp;"-00-00-00",CATALOGO[Código],0))</f>
        <v>MANTENIMIENTO</v>
      </c>
      <c r="J5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57" s="161" t="str">
        <f>IF((EJECUTADO[[#This Row],[MONTO DISPONIBLE ]]-EJECUTADO[[#This Row],[MONTO SOLICITADO]])&gt;=0,"PRESUPUESTO: SI","PRESUPUESTO: NO")</f>
        <v>PRESUPUESTO: NO</v>
      </c>
      <c r="L557" s="162">
        <f>SUMIF(PRESUPUESTO[CUENTA],EJECUTADO[[#This Row],[CUENTA]],PRESUPUESTO[MONTO])-SUMIF($F$1:F556,EJECUTADO[[#This Row],[CUENTA]],$M$1:M556)</f>
        <v>0</v>
      </c>
      <c r="M557" s="2">
        <v>200</v>
      </c>
      <c r="N557" s="2"/>
      <c r="O557" s="2"/>
      <c r="P557" s="162">
        <f>+EJECUTADO[[#This Row],[MONTO SOLICITADO]]-EJECUTADO[[#This Row],[RETENCION IVA]]-EJECUTADO[[#This Row],[RETENCION ISR]]</f>
        <v>200</v>
      </c>
      <c r="Q557" s="84" t="s">
        <v>1000</v>
      </c>
      <c r="R557" s="2"/>
      <c r="S557">
        <v>1560217</v>
      </c>
      <c r="T557" s="168" t="str">
        <f t="shared" si="16"/>
        <v>MANTENIMIENTO - LA CUENTA SELECCIONADA NO PERMITE MOVIMIENTO Disponible $0 Solicitado $200 PRESUPUESTO: NO</v>
      </c>
    </row>
    <row r="558" spans="1:20" ht="60" x14ac:dyDescent="0.25">
      <c r="A558" s="6">
        <f t="shared" si="17"/>
        <v>555</v>
      </c>
      <c r="B558" s="21">
        <v>45346</v>
      </c>
      <c r="C558" s="17" t="s">
        <v>1224</v>
      </c>
      <c r="D558" s="65" t="s">
        <v>1779</v>
      </c>
      <c r="E558" s="65"/>
      <c r="F558" t="s">
        <v>1778</v>
      </c>
      <c r="G558" s="161">
        <f>MONTH(EJECUTADO[[#This Row],[FECHA]])</f>
        <v>2</v>
      </c>
      <c r="H558" s="163" t="str">
        <f>MID(EJECUTADO[[#This Row],[CUENTA]],1,4)</f>
        <v>E-19</v>
      </c>
      <c r="I558" s="163" t="str">
        <f>INDEX(CATALOGO[Descripción],MATCH(EJECUTADO[[#This Row],[APLICACIÓN]]&amp;"-00-00-00",CATALOGO[Código],0))</f>
        <v>MANTENIMIENTO</v>
      </c>
      <c r="J5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58" s="161" t="str">
        <f>IF((EJECUTADO[[#This Row],[MONTO DISPONIBLE ]]-EJECUTADO[[#This Row],[MONTO SOLICITADO]])&gt;=0,"PRESUPUESTO: SI","PRESUPUESTO: NO")</f>
        <v>PRESUPUESTO: NO</v>
      </c>
      <c r="L558" s="162">
        <f>SUMIF(PRESUPUESTO[CUENTA],EJECUTADO[[#This Row],[CUENTA]],PRESUPUESTO[MONTO])-SUMIF($F$1:F557,EJECUTADO[[#This Row],[CUENTA]],$M$1:M557)</f>
        <v>-200</v>
      </c>
      <c r="M558" s="2">
        <v>700.6</v>
      </c>
      <c r="N558" s="2"/>
      <c r="O558" s="2"/>
      <c r="P558" s="162">
        <f>+EJECUTADO[[#This Row],[MONTO SOLICITADO]]-EJECUTADO[[#This Row],[RETENCION IVA]]-EJECUTADO[[#This Row],[RETENCION ISR]]</f>
        <v>700.6</v>
      </c>
      <c r="Q558" s="84" t="s">
        <v>1000</v>
      </c>
      <c r="R558" s="2"/>
      <c r="S558">
        <v>1560217</v>
      </c>
      <c r="T558" s="168" t="str">
        <f t="shared" si="16"/>
        <v>MANTENIMIENTO - LA CUENTA SELECCIONADA NO PERMITE MOVIMIENTO Disponible $-200 Solicitado $700.6 PRESUPUESTO: NO</v>
      </c>
    </row>
    <row r="559" spans="1:20" ht="30" x14ac:dyDescent="0.25">
      <c r="A559" s="6">
        <f t="shared" si="17"/>
        <v>556</v>
      </c>
      <c r="B559" s="21">
        <v>45346</v>
      </c>
      <c r="C559" s="17" t="s">
        <v>1302</v>
      </c>
      <c r="D559" s="65" t="s">
        <v>1780</v>
      </c>
      <c r="E559" s="65"/>
      <c r="F559" t="s">
        <v>1029</v>
      </c>
      <c r="G559" s="161">
        <f>MONTH(EJECUTADO[[#This Row],[FECHA]])</f>
        <v>2</v>
      </c>
      <c r="H559" s="163" t="str">
        <f>MID(EJECUTADO[[#This Row],[CUENTA]],1,4)</f>
        <v>E-18</v>
      </c>
      <c r="I559" s="163" t="str">
        <f>INDEX(CATALOGO[Descripción],MATCH(EJECUTADO[[#This Row],[APLICACIÓN]]&amp;"-00-00-00",CATALOGO[Código],0))</f>
        <v>COMUNICACIÓN INSTITUCIONAL</v>
      </c>
      <c r="J5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Arrendamiento de 5 mupis digitales: SB, BJ, FM, GL Y GM ($2,200 mens)</v>
      </c>
      <c r="K559" s="161" t="str">
        <f>IF((EJECUTADO[[#This Row],[MONTO DISPONIBLE ]]-EJECUTADO[[#This Row],[MONTO SOLICITADO]])&gt;=0,"PRESUPUESTO: SI","PRESUPUESTO: NO")</f>
        <v>PRESUPUESTO: SI</v>
      </c>
      <c r="L559" s="162">
        <f>SUMIF(PRESUPUESTO[CUENTA],EJECUTADO[[#This Row],[CUENTA]],PRESUPUESTO[MONTO])-SUMIF($F$1:F558,EJECUTADO[[#This Row],[CUENTA]],$M$1:M558)</f>
        <v>16574.650000000001</v>
      </c>
      <c r="M559" s="2">
        <v>2486</v>
      </c>
      <c r="N559" s="2"/>
      <c r="O559" s="2"/>
      <c r="P559" s="162">
        <f>+EJECUTADO[[#This Row],[MONTO SOLICITADO]]-EJECUTADO[[#This Row],[RETENCION IVA]]-EJECUTADO[[#This Row],[RETENCION ISR]]</f>
        <v>2486</v>
      </c>
      <c r="Q559" s="84" t="s">
        <v>1000</v>
      </c>
      <c r="R559" s="2"/>
      <c r="S559">
        <v>1</v>
      </c>
      <c r="T559" s="168" t="str">
        <f t="shared" si="16"/>
        <v>COMUNICACIÓN INSTITUCIONAL - Com. Interna - Arrendamiento de 5 mupis digitales: SB, BJ, FM, GL Y GM ($2,200 mens) Disponible $16574.65 Solicitado $2486 PRESUPUESTO: SI</v>
      </c>
    </row>
    <row r="560" spans="1:20" ht="45" x14ac:dyDescent="0.25">
      <c r="A560" s="6">
        <f t="shared" si="17"/>
        <v>557</v>
      </c>
      <c r="B560" s="21">
        <v>45346</v>
      </c>
      <c r="C560" s="17" t="s">
        <v>1016</v>
      </c>
      <c r="D560" s="65" t="s">
        <v>1016</v>
      </c>
      <c r="E560" s="65"/>
      <c r="F560" t="s">
        <v>1017</v>
      </c>
      <c r="G560" s="161">
        <f>MONTH(EJECUTADO[[#This Row],[FECHA]])</f>
        <v>2</v>
      </c>
      <c r="H560" s="163" t="str">
        <f>MID(EJECUTADO[[#This Row],[CUENTA]],1,4)</f>
        <v>E-31</v>
      </c>
      <c r="I560" s="163" t="str">
        <f>INDEX(CATALOGO[Descripción],MATCH(EJECUTADO[[#This Row],[APLICACIÓN]]&amp;"-00-00-00",CATALOGO[Código],0))</f>
        <v>DONACIONES</v>
      </c>
      <c r="J5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560" s="161" t="str">
        <f>IF((EJECUTADO[[#This Row],[MONTO DISPONIBLE ]]-EJECUTADO[[#This Row],[MONTO SOLICITADO]])&gt;=0,"PRESUPUESTO: SI","PRESUPUESTO: NO")</f>
        <v>PRESUPUESTO: SI</v>
      </c>
      <c r="L560" s="162">
        <f>SUMIF(PRESUPUESTO[CUENTA],EJECUTADO[[#This Row],[CUENTA]],PRESUPUESTO[MONTO])-SUMIF($F$1:F559,EJECUTADO[[#This Row],[CUENTA]],$M$1:M559)</f>
        <v>4500</v>
      </c>
      <c r="M560" s="2">
        <v>500</v>
      </c>
      <c r="N560" s="2"/>
      <c r="O560" s="2"/>
      <c r="P560" s="162">
        <f>+EJECUTADO[[#This Row],[MONTO SOLICITADO]]-EJECUTADO[[#This Row],[RETENCION IVA]]-EJECUTADO[[#This Row],[RETENCION ISR]]</f>
        <v>500</v>
      </c>
      <c r="Q560" s="84" t="s">
        <v>1000</v>
      </c>
      <c r="R560" s="2"/>
      <c r="S560">
        <v>1875479</v>
      </c>
      <c r="T560" s="168" t="str">
        <f t="shared" si="16"/>
        <v>DONACIONES - Academia  Salvadoreña de la Lengua Disponible $4500 Solicitado $500 PRESUPUESTO: SI</v>
      </c>
    </row>
    <row r="561" spans="1:20" ht="30" x14ac:dyDescent="0.25">
      <c r="A561" s="6">
        <f t="shared" si="17"/>
        <v>558</v>
      </c>
      <c r="B561" s="21">
        <v>45346</v>
      </c>
      <c r="C561" s="17" t="s">
        <v>1346</v>
      </c>
      <c r="D561" s="65" t="s">
        <v>1080</v>
      </c>
      <c r="E561" s="65"/>
      <c r="F561" t="s">
        <v>1081</v>
      </c>
      <c r="G561" s="161">
        <f>MONTH(EJECUTADO[[#This Row],[FECHA]])</f>
        <v>2</v>
      </c>
      <c r="H561" s="163" t="str">
        <f>MID(EJECUTADO[[#This Row],[CUENTA]],1,4)</f>
        <v>E-10</v>
      </c>
      <c r="I561" s="163" t="str">
        <f>INDEX(CATALOGO[Descripción],MATCH(EJECUTADO[[#This Row],[APLICACIÓN]]&amp;"-00-00-00",CATALOGO[Código],0))</f>
        <v>SERVICIOS PUBLICOS</v>
      </c>
      <c r="J5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561" s="161" t="str">
        <f>IF((EJECUTADO[[#This Row],[MONTO DISPONIBLE ]]-EJECUTADO[[#This Row],[MONTO SOLICITADO]])&gt;=0,"PRESUPUESTO: SI","PRESUPUESTO: NO")</f>
        <v>PRESUPUESTO: SI</v>
      </c>
      <c r="L561" s="162">
        <f>SUMIF(PRESUPUESTO[CUENTA],EJECUTADO[[#This Row],[CUENTA]],PRESUPUESTO[MONTO])-SUMIF($F$1:F560,EJECUTADO[[#This Row],[CUENTA]],$M$1:M560)</f>
        <v>320360.14</v>
      </c>
      <c r="M561" s="2">
        <v>104.71</v>
      </c>
      <c r="N561" s="2"/>
      <c r="O561" s="2"/>
      <c r="P561" s="162">
        <f>+EJECUTADO[[#This Row],[MONTO SOLICITADO]]-EJECUTADO[[#This Row],[RETENCION IVA]]-EJECUTADO[[#This Row],[RETENCION ISR]]</f>
        <v>104.71</v>
      </c>
      <c r="Q561" s="84" t="s">
        <v>1000</v>
      </c>
      <c r="R561" s="2"/>
      <c r="S561">
        <v>1</v>
      </c>
      <c r="T561" s="168" t="str">
        <f t="shared" si="16"/>
        <v>SERVICIOS PUBLICOS - ENERGÍA ELÉCTRICA Disponible $320360.14 Solicitado $104.71 PRESUPUESTO: SI</v>
      </c>
    </row>
    <row r="562" spans="1:20" x14ac:dyDescent="0.25">
      <c r="A562" s="6">
        <f t="shared" si="17"/>
        <v>559</v>
      </c>
      <c r="B562" s="21">
        <v>45346</v>
      </c>
      <c r="C562" s="17" t="s">
        <v>1781</v>
      </c>
      <c r="D562" s="65" t="s">
        <v>1782</v>
      </c>
      <c r="E562" s="65"/>
      <c r="F562" t="s">
        <v>1783</v>
      </c>
      <c r="G562" s="161">
        <f>MONTH(EJECUTADO[[#This Row],[FECHA]])</f>
        <v>2</v>
      </c>
      <c r="H562" s="163" t="str">
        <f>MID(EJECUTADO[[#This Row],[CUENTA]],1,4)</f>
        <v>E-17</v>
      </c>
      <c r="I562" s="163" t="str">
        <f>INDEX(CATALOGO[Descripción],MATCH(EJECUTADO[[#This Row],[APLICACIÓN]]&amp;"-00-00-00",CATALOGO[Código],0))</f>
        <v>MEDIOS DE COMUNICACIÓN</v>
      </c>
      <c r="J5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62" s="161" t="str">
        <f>IF((EJECUTADO[[#This Row],[MONTO DISPONIBLE ]]-EJECUTADO[[#This Row],[MONTO SOLICITADO]])&gt;=0,"PRESUPUESTO: SI","PRESUPUESTO: NO")</f>
        <v>PRESUPUESTO: NO</v>
      </c>
      <c r="L562" s="162">
        <f>SUMIF(PRESUPUESTO[CUENTA],EJECUTADO[[#This Row],[CUENTA]],PRESUPUESTO[MONTO])-SUMIF($F$1:F561,EJECUTADO[[#This Row],[CUENTA]],$M$1:M561)</f>
        <v>0</v>
      </c>
      <c r="M562" s="2">
        <v>1322.1</v>
      </c>
      <c r="N562" s="2"/>
      <c r="O562" s="2"/>
      <c r="P562" s="162">
        <f>+EJECUTADO[[#This Row],[MONTO SOLICITADO]]-EJECUTADO[[#This Row],[RETENCION IVA]]-EJECUTADO[[#This Row],[RETENCION ISR]]</f>
        <v>1322.1</v>
      </c>
      <c r="Q562" s="84" t="s">
        <v>1000</v>
      </c>
      <c r="R562" s="2"/>
      <c r="S562">
        <v>810767</v>
      </c>
      <c r="T562" s="168" t="str">
        <f t="shared" si="16"/>
        <v>MEDIOS DE COMUNICACIÓN - LA CUENTA SELECCIONADA NO PERMITE MOVIMIENTO Disponible $0 Solicitado $1322.1 PRESUPUESTO: NO</v>
      </c>
    </row>
    <row r="563" spans="1:20" ht="30" x14ac:dyDescent="0.25">
      <c r="A563" s="6">
        <f t="shared" si="17"/>
        <v>560</v>
      </c>
      <c r="B563" s="73">
        <v>45346</v>
      </c>
      <c r="C563" s="125" t="s">
        <v>1781</v>
      </c>
      <c r="D563" s="75" t="s">
        <v>1587</v>
      </c>
      <c r="E563" s="75"/>
      <c r="F563" s="74" t="s">
        <v>1038</v>
      </c>
      <c r="G563" s="161">
        <f>MONTH(EJECUTADO[[#This Row],[FECHA]])</f>
        <v>2</v>
      </c>
      <c r="H563" s="163" t="str">
        <f>MID(EJECUTADO[[#This Row],[CUENTA]],1,4)</f>
        <v>E-18</v>
      </c>
      <c r="I563" s="163" t="str">
        <f>INDEX(CATALOGO[Descripción],MATCH(EJECUTADO[[#This Row],[APLICACIÓN]]&amp;"-00-00-00",CATALOGO[Código],0))</f>
        <v>COMUNICACIÓN INSTITUCIONAL</v>
      </c>
      <c r="J5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PROMOCIONAL</v>
      </c>
      <c r="K563" s="161" t="str">
        <f>IF((EJECUTADO[[#This Row],[MONTO DISPONIBLE ]]-EJECUTADO[[#This Row],[MONTO SOLICITADO]])&gt;=0,"PRESUPUESTO: SI","PRESUPUESTO: NO")</f>
        <v>PRESUPUESTO: SI</v>
      </c>
      <c r="L563" s="162">
        <f>SUMIF(PRESUPUESTO[CUENTA],EJECUTADO[[#This Row],[CUENTA]],PRESUPUESTO[MONTO])-SUMIF($F$1:F562,EJECUTADO[[#This Row],[CUENTA]],$M$1:M562)</f>
        <v>159940</v>
      </c>
      <c r="M563" s="76">
        <v>26063.45</v>
      </c>
      <c r="N563" s="76"/>
      <c r="O563" s="76"/>
      <c r="P563" s="162">
        <f>+EJECUTADO[[#This Row],[MONTO SOLICITADO]]-EJECUTADO[[#This Row],[RETENCION IVA]]-EJECUTADO[[#This Row],[RETENCION ISR]]</f>
        <v>26063.45</v>
      </c>
      <c r="Q563" s="84" t="s">
        <v>1000</v>
      </c>
      <c r="R563" s="76"/>
      <c r="S563" s="74">
        <v>810767</v>
      </c>
      <c r="T563" s="168" t="str">
        <f t="shared" si="16"/>
        <v>COMUNICACIÓN INSTITUCIONAL - PUBLICIDAD PROMOCIONAL Disponible $159940 Solicitado $26063.45 PRESUPUESTO: SI</v>
      </c>
    </row>
    <row r="564" spans="1:20" ht="45" x14ac:dyDescent="0.25">
      <c r="A564" s="6">
        <f t="shared" si="17"/>
        <v>561</v>
      </c>
      <c r="B564" s="21">
        <v>45352</v>
      </c>
      <c r="C564" s="17" t="s">
        <v>1784</v>
      </c>
      <c r="D564" s="65" t="s">
        <v>1785</v>
      </c>
      <c r="E564" s="65"/>
      <c r="F564" t="s">
        <v>1265</v>
      </c>
      <c r="G564" s="161">
        <f>MONTH(EJECUTADO[[#This Row],[FECHA]])</f>
        <v>3</v>
      </c>
      <c r="H564" s="163" t="str">
        <f>MID(EJECUTADO[[#This Row],[CUENTA]],1,4)</f>
        <v>E-23</v>
      </c>
      <c r="I564" s="163" t="str">
        <f>INDEX(CATALOGO[Descripción],MATCH(EJECUTADO[[#This Row],[APLICACIÓN]]&amp;"-00-00-00",CATALOGO[Código],0))</f>
        <v>GASTOS DE VIAJE</v>
      </c>
      <c r="J5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564" s="161" t="str">
        <f>IF((EJECUTADO[[#This Row],[MONTO DISPONIBLE ]]-EJECUTADO[[#This Row],[MONTO SOLICITADO]])&gt;=0,"PRESUPUESTO: SI","PRESUPUESTO: NO")</f>
        <v>PRESUPUESTO: SI</v>
      </c>
      <c r="L564" s="162">
        <f>SUMIF(PRESUPUESTO[CUENTA],EJECUTADO[[#This Row],[CUENTA]],PRESUPUESTO[MONTO])-SUMIF($F$1:F563,EJECUTADO[[#This Row],[CUENTA]],$M$1:M563)</f>
        <v>23800</v>
      </c>
      <c r="M564" s="2">
        <v>400</v>
      </c>
      <c r="N564" s="84"/>
      <c r="O564" s="84"/>
      <c r="P564" s="162">
        <f>+EJECUTADO[[#This Row],[MONTO SOLICITADO]]-EJECUTADO[[#This Row],[RETENCION IVA]]-EJECUTADO[[#This Row],[RETENCION ISR]]</f>
        <v>400</v>
      </c>
      <c r="Q564" s="84" t="s">
        <v>1786</v>
      </c>
      <c r="R564" s="84"/>
      <c r="S564">
        <v>3225</v>
      </c>
      <c r="T564" s="168" t="str">
        <f t="shared" si="16"/>
        <v>GASTOS DE VIAJE - Servicio combustible Disponible $23800 Solicitado $400 PRESUPUESTO: SI</v>
      </c>
    </row>
    <row r="565" spans="1:20" ht="30" x14ac:dyDescent="0.25">
      <c r="A565" s="6">
        <f t="shared" si="17"/>
        <v>562</v>
      </c>
      <c r="B565" s="21">
        <v>45355</v>
      </c>
      <c r="C565" s="107" t="s">
        <v>1144</v>
      </c>
      <c r="D565" s="107" t="s">
        <v>1787</v>
      </c>
      <c r="E565" s="65"/>
      <c r="F565" s="37" t="s">
        <v>1146</v>
      </c>
      <c r="G565" s="161">
        <f>MONTH(EJECUTADO[[#This Row],[FECHA]])</f>
        <v>3</v>
      </c>
      <c r="H565" s="163" t="str">
        <f>MID(EJECUTADO[[#This Row],[CUENTA]],1,4)</f>
        <v>E-23</v>
      </c>
      <c r="I565" s="163" t="str">
        <f>INDEX(CATALOGO[Descripción],MATCH(EJECUTADO[[#This Row],[APLICACIÓN]]&amp;"-00-00-00",CATALOGO[Código],0))</f>
        <v>GASTOS DE VIAJE</v>
      </c>
      <c r="J5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565" s="161" t="str">
        <f>IF((EJECUTADO[[#This Row],[MONTO DISPONIBLE ]]-EJECUTADO[[#This Row],[MONTO SOLICITADO]])&gt;=0,"PRESUPUESTO: SI","PRESUPUESTO: NO")</f>
        <v>PRESUPUESTO: SI</v>
      </c>
      <c r="L565" s="162">
        <f>SUMIF(PRESUPUESTO[CUENTA],EJECUTADO[[#This Row],[CUENTA]],PRESUPUESTO[MONTO])-SUMIF($F$1:F564,EJECUTADO[[#This Row],[CUENTA]],$M$1:M564)</f>
        <v>1800</v>
      </c>
      <c r="M565" s="2">
        <v>180</v>
      </c>
      <c r="N565" s="84"/>
      <c r="O565" s="84"/>
      <c r="P565" s="162">
        <f>+EJECUTADO[[#This Row],[MONTO SOLICITADO]]-EJECUTADO[[#This Row],[RETENCION IVA]]-EJECUTADO[[#This Row],[RETENCION ISR]]</f>
        <v>180</v>
      </c>
      <c r="Q565" s="84" t="s">
        <v>1786</v>
      </c>
      <c r="R565" s="84"/>
      <c r="S565">
        <v>3228</v>
      </c>
      <c r="T565" s="168" t="str">
        <f t="shared" si="16"/>
        <v>GASTOS DE VIAJE - Mensajero $ 180.00  Disponible $1800 Solicitado $180 PRESUPUESTO: SI</v>
      </c>
    </row>
    <row r="566" spans="1:20" ht="60" x14ac:dyDescent="0.25">
      <c r="A566" s="6">
        <f t="shared" si="17"/>
        <v>563</v>
      </c>
      <c r="B566" s="21">
        <v>45355</v>
      </c>
      <c r="C566" s="108" t="s">
        <v>1404</v>
      </c>
      <c r="D566" s="107" t="s">
        <v>1405</v>
      </c>
      <c r="E566" s="65" t="s">
        <v>1788</v>
      </c>
      <c r="F566" s="37" t="s">
        <v>1406</v>
      </c>
      <c r="G566" s="161">
        <f>MONTH(EJECUTADO[[#This Row],[FECHA]])</f>
        <v>3</v>
      </c>
      <c r="H566" s="163" t="str">
        <f>MID(EJECUTADO[[#This Row],[CUENTA]],1,4)</f>
        <v>E-22</v>
      </c>
      <c r="I566" s="163" t="str">
        <f>INDEX(CATALOGO[Descripción],MATCH(EJECUTADO[[#This Row],[APLICACIÓN]]&amp;"-00-00-00",CATALOGO[Código],0))</f>
        <v>CAPACITACIÓN AL PERSONAL</v>
      </c>
      <c r="J5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FICA - Maestría Lic. Henry  Cerritos</v>
      </c>
      <c r="K566" s="161" t="str">
        <f>IF((EJECUTADO[[#This Row],[MONTO DISPONIBLE ]]-EJECUTADO[[#This Row],[MONTO SOLICITADO]])&gt;=0,"PRESUPUESTO: SI","PRESUPUESTO: NO")</f>
        <v>PRESUPUESTO: SI</v>
      </c>
      <c r="L566" s="162">
        <f>SUMIF(PRESUPUESTO[CUENTA],EJECUTADO[[#This Row],[CUENTA]],PRESUPUESTO[MONTO])-SUMIF($F$1:F565,EJECUTADO[[#This Row],[CUENTA]],$M$1:M565)</f>
        <v>975</v>
      </c>
      <c r="M566" s="2">
        <v>93.75</v>
      </c>
      <c r="N566" s="84"/>
      <c r="O566" s="84"/>
      <c r="P566" s="162">
        <f>+EJECUTADO[[#This Row],[MONTO SOLICITADO]]-EJECUTADO[[#This Row],[RETENCION IVA]]-EJECUTADO[[#This Row],[RETENCION ISR]]</f>
        <v>93.75</v>
      </c>
      <c r="Q566" s="84" t="s">
        <v>1786</v>
      </c>
      <c r="R566" s="84"/>
      <c r="S566">
        <v>3227</v>
      </c>
      <c r="T566" s="168" t="str">
        <f t="shared" si="16"/>
        <v>CAPACITACIÓN AL PERSONAL - FICA - Maestría Lic. Henry  Cerritos Disponible $975 Solicitado $93.75 PRESUPUESTO: SI</v>
      </c>
    </row>
    <row r="567" spans="1:20" ht="30" x14ac:dyDescent="0.25">
      <c r="A567" s="6">
        <f t="shared" si="17"/>
        <v>564</v>
      </c>
      <c r="B567" s="21">
        <v>45355</v>
      </c>
      <c r="C567" s="126" t="s">
        <v>1789</v>
      </c>
      <c r="D567" s="126" t="s">
        <v>1790</v>
      </c>
      <c r="E567" s="21"/>
      <c r="F567" s="21" t="s">
        <v>1214</v>
      </c>
      <c r="G567" s="161">
        <f>MONTH(EJECUTADO[[#This Row],[FECHA]])</f>
        <v>3</v>
      </c>
      <c r="H567" s="163" t="str">
        <f>MID(EJECUTADO[[#This Row],[CUENTA]],1,4)</f>
        <v>E-19</v>
      </c>
      <c r="I567" s="163" t="str">
        <f>INDEX(CATALOGO[Descripción],MATCH(EJECUTADO[[#This Row],[APLICACIÓN]]&amp;"-00-00-00",CATALOGO[Código],0))</f>
        <v>MANTENIMIENTO</v>
      </c>
      <c r="J5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567" s="161" t="str">
        <f>IF((EJECUTADO[[#This Row],[MONTO DISPONIBLE ]]-EJECUTADO[[#This Row],[MONTO SOLICITADO]])&gt;=0,"PRESUPUESTO: SI","PRESUPUESTO: NO")</f>
        <v>PRESUPUESTO: SI</v>
      </c>
      <c r="L567" s="162">
        <f>SUMIF(PRESUPUESTO[CUENTA],EJECUTADO[[#This Row],[CUENTA]],PRESUPUESTO[MONTO])-SUMIF($F$1:F566,EJECUTADO[[#This Row],[CUENTA]],$M$1:M566)</f>
        <v>36878.94</v>
      </c>
      <c r="M567" s="2">
        <v>319.98</v>
      </c>
      <c r="N567" s="84"/>
      <c r="O567" s="84"/>
      <c r="P567" s="162">
        <f>+EJECUTADO[[#This Row],[MONTO SOLICITADO]]-EJECUTADO[[#This Row],[RETENCION IVA]]-EJECUTADO[[#This Row],[RETENCION ISR]]</f>
        <v>319.98</v>
      </c>
      <c r="Q567" s="84" t="s">
        <v>1786</v>
      </c>
      <c r="R567" s="84"/>
      <c r="S567">
        <v>3226</v>
      </c>
      <c r="T567" s="168" t="str">
        <f t="shared" si="16"/>
        <v>MANTENIMIENTO - Mantenimiento en talleres (Vehiculos) Disponible $36878.94 Solicitado $319.98 PRESUPUESTO: SI</v>
      </c>
    </row>
    <row r="568" spans="1:20" ht="30" x14ac:dyDescent="0.25">
      <c r="A568" s="6">
        <f t="shared" si="17"/>
        <v>565</v>
      </c>
      <c r="B568" s="21">
        <v>45355</v>
      </c>
      <c r="C568" s="126" t="s">
        <v>1791</v>
      </c>
      <c r="D568" s="108" t="s">
        <v>1619</v>
      </c>
      <c r="E568" s="65"/>
      <c r="F568" t="s">
        <v>1664</v>
      </c>
      <c r="G568" s="161">
        <f>MONTH(EJECUTADO[[#This Row],[FECHA]])</f>
        <v>3</v>
      </c>
      <c r="H568" s="163" t="str">
        <f>MID(EJECUTADO[[#This Row],[CUENTA]],1,4)</f>
        <v>E-13</v>
      </c>
      <c r="I568" s="163" t="str">
        <f>INDEX(CATALOGO[Descripción],MATCH(EJECUTADO[[#This Row],[APLICACIÓN]]&amp;"-00-00-00",CATALOGO[Código],0))</f>
        <v>MAESTRIAS Y POSTGRADOS</v>
      </c>
      <c r="J5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INSTALACIONES Y FUMIGACIONES</v>
      </c>
      <c r="K568" s="161" t="str">
        <f>IF((EJECUTADO[[#This Row],[MONTO DISPONIBLE ]]-EJECUTADO[[#This Row],[MONTO SOLICITADO]])&gt;=0,"PRESUPUESTO: SI","PRESUPUESTO: NO")</f>
        <v>PRESUPUESTO: SI</v>
      </c>
      <c r="L568" s="162">
        <f>SUMIF(PRESUPUESTO[CUENTA],EJECUTADO[[#This Row],[CUENTA]],PRESUPUESTO[MONTO])-SUMIF($F$1:F567,EJECUTADO[[#This Row],[CUENTA]],$M$1:M567)</f>
        <v>2210.3200000000002</v>
      </c>
      <c r="M568" s="2">
        <v>230.66</v>
      </c>
      <c r="N568" s="84"/>
      <c r="O568" s="84"/>
      <c r="P568" s="162">
        <f>+EJECUTADO[[#This Row],[MONTO SOLICITADO]]-EJECUTADO[[#This Row],[RETENCION IVA]]-EJECUTADO[[#This Row],[RETENCION ISR]]</f>
        <v>230.66</v>
      </c>
      <c r="Q568" s="84" t="s">
        <v>1786</v>
      </c>
      <c r="R568" s="84"/>
      <c r="S568">
        <v>3229</v>
      </c>
      <c r="T568" s="168" t="str">
        <f t="shared" si="16"/>
        <v>MAESTRIAS Y POSTGRADOS - MANTENIMIENTO INSTALACIONES Y FUMIGACIONES Disponible $2210.32 Solicitado $230.66 PRESUPUESTO: SI</v>
      </c>
    </row>
    <row r="569" spans="1:20" ht="30" x14ac:dyDescent="0.25">
      <c r="A569" s="6">
        <f t="shared" si="17"/>
        <v>566</v>
      </c>
      <c r="B569" s="21">
        <v>45355</v>
      </c>
      <c r="C569" s="65" t="s">
        <v>1036</v>
      </c>
      <c r="D569" s="65" t="s">
        <v>701</v>
      </c>
      <c r="E569" s="65"/>
      <c r="F569" t="s">
        <v>1265</v>
      </c>
      <c r="G569" s="161">
        <f>MONTH(EJECUTADO[[#This Row],[FECHA]])</f>
        <v>3</v>
      </c>
      <c r="H569" s="163" t="str">
        <f>MID(EJECUTADO[[#This Row],[CUENTA]],1,4)</f>
        <v>E-23</v>
      </c>
      <c r="I569" s="163" t="str">
        <f>INDEX(CATALOGO[Descripción],MATCH(EJECUTADO[[#This Row],[APLICACIÓN]]&amp;"-00-00-00",CATALOGO[Código],0))</f>
        <v>GASTOS DE VIAJE</v>
      </c>
      <c r="J5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569" s="161" t="str">
        <f>IF((EJECUTADO[[#This Row],[MONTO DISPONIBLE ]]-EJECUTADO[[#This Row],[MONTO SOLICITADO]])&gt;=0,"PRESUPUESTO: SI","PRESUPUESTO: NO")</f>
        <v>PRESUPUESTO: SI</v>
      </c>
      <c r="L569" s="162">
        <f>SUMIF(PRESUPUESTO[CUENTA],EJECUTADO[[#This Row],[CUENTA]],PRESUPUESTO[MONTO])-SUMIF($F$1:F568,EJECUTADO[[#This Row],[CUENTA]],$M$1:M568)</f>
        <v>23400</v>
      </c>
      <c r="M569" s="2">
        <v>30</v>
      </c>
      <c r="N569" s="84"/>
      <c r="O569" s="84"/>
      <c r="P569" s="162">
        <f>+EJECUTADO[[#This Row],[MONTO SOLICITADO]]-EJECUTADO[[#This Row],[RETENCION IVA]]-EJECUTADO[[#This Row],[RETENCION ISR]]</f>
        <v>30</v>
      </c>
      <c r="Q569" s="84" t="s">
        <v>1786</v>
      </c>
      <c r="R569" s="84"/>
      <c r="S569">
        <v>3224</v>
      </c>
      <c r="T569" s="168" t="str">
        <f t="shared" si="16"/>
        <v>GASTOS DE VIAJE - Servicio combustible Disponible $23400 Solicitado $30 PRESUPUESTO: SI</v>
      </c>
    </row>
    <row r="570" spans="1:20" ht="30" x14ac:dyDescent="0.25">
      <c r="A570" s="6">
        <v>566</v>
      </c>
      <c r="B570" s="21">
        <v>45355</v>
      </c>
      <c r="C570" s="65" t="s">
        <v>1036</v>
      </c>
      <c r="D570" s="65" t="s">
        <v>701</v>
      </c>
      <c r="E570" s="65"/>
      <c r="F570" t="s">
        <v>1265</v>
      </c>
      <c r="G570" s="161">
        <f>MONTH(EJECUTADO[[#This Row],[FECHA]])</f>
        <v>3</v>
      </c>
      <c r="H570" s="163" t="str">
        <f>MID(EJECUTADO[[#This Row],[CUENTA]],1,4)</f>
        <v>E-23</v>
      </c>
      <c r="I570" s="163" t="str">
        <f>INDEX(CATALOGO[Descripción],MATCH(EJECUTADO[[#This Row],[APLICACIÓN]]&amp;"-00-00-00",CATALOGO[Código],0))</f>
        <v>GASTOS DE VIAJE</v>
      </c>
      <c r="J5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570" s="161" t="str">
        <f>IF((EJECUTADO[[#This Row],[MONTO DISPONIBLE ]]-EJECUTADO[[#This Row],[MONTO SOLICITADO]])&gt;=0,"PRESUPUESTO: SI","PRESUPUESTO: NO")</f>
        <v>PRESUPUESTO: SI</v>
      </c>
      <c r="L570" s="162">
        <f>SUMIF(PRESUPUESTO[CUENTA],EJECUTADO[[#This Row],[CUENTA]],PRESUPUESTO[MONTO])-SUMIF($F$1:F569,EJECUTADO[[#This Row],[CUENTA]],$M$1:M569)</f>
        <v>23370</v>
      </c>
      <c r="M570" s="2">
        <f>23.04+82.32+4.38+3.75+1</f>
        <v>114.48999999999998</v>
      </c>
      <c r="N570" s="84"/>
      <c r="O570" s="84"/>
      <c r="P570" s="162">
        <f>+EJECUTADO[[#This Row],[MONTO SOLICITADO]]-EJECUTADO[[#This Row],[RETENCION IVA]]-EJECUTADO[[#This Row],[RETENCION ISR]]</f>
        <v>114.48999999999998</v>
      </c>
      <c r="Q570" s="84" t="s">
        <v>1786</v>
      </c>
      <c r="R570" s="84"/>
      <c r="S570">
        <v>3224</v>
      </c>
      <c r="T570" s="168" t="str">
        <f t="shared" si="16"/>
        <v>GASTOS DE VIAJE - Servicio combustible Disponible $23370 Solicitado $114.49 PRESUPUESTO: SI</v>
      </c>
    </row>
    <row r="571" spans="1:20" x14ac:dyDescent="0.25">
      <c r="A571" s="6">
        <v>566</v>
      </c>
      <c r="B571" s="21">
        <f>+B570</f>
        <v>45355</v>
      </c>
      <c r="C571" s="65" t="str">
        <f>+C570</f>
        <v>ANDREA ELISA DE LARIOS</v>
      </c>
      <c r="D571" s="65" t="s">
        <v>459</v>
      </c>
      <c r="E571" s="65"/>
      <c r="F571" t="s">
        <v>1240</v>
      </c>
      <c r="G571" s="161">
        <f>MONTH(EJECUTADO[[#This Row],[FECHA]])</f>
        <v>3</v>
      </c>
      <c r="H571" s="163" t="str">
        <f>MID(EJECUTADO[[#This Row],[CUENTA]],1,4)</f>
        <v>E-16</v>
      </c>
      <c r="I571" s="163" t="str">
        <f>INDEX(CATALOGO[Descripción],MATCH(EJECUTADO[[#This Row],[APLICACIÓN]]&amp;"-00-00-00",CATALOGO[Código],0))</f>
        <v xml:space="preserve">PRE-ESPECIALIDAD </v>
      </c>
      <c r="J5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Papelería y Utiles </v>
      </c>
      <c r="K571" s="161" t="str">
        <f>IF((EJECUTADO[[#This Row],[MONTO DISPONIBLE ]]-EJECUTADO[[#This Row],[MONTO SOLICITADO]])&gt;=0,"PRESUPUESTO: SI","PRESUPUESTO: NO")</f>
        <v>PRESUPUESTO: SI</v>
      </c>
      <c r="L571" s="162">
        <f>SUMIF(PRESUPUESTO[CUENTA],EJECUTADO[[#This Row],[CUENTA]],PRESUPUESTO[MONTO])-SUMIF($F$1:F570,EJECUTADO[[#This Row],[CUENTA]],$M$1:M570)</f>
        <v>4100</v>
      </c>
      <c r="M571" s="2">
        <v>9</v>
      </c>
      <c r="N571" s="84"/>
      <c r="O571" s="84"/>
      <c r="P571" s="162">
        <f>+EJECUTADO[[#This Row],[MONTO SOLICITADO]]-EJECUTADO[[#This Row],[RETENCION IVA]]-EJECUTADO[[#This Row],[RETENCION ISR]]</f>
        <v>9</v>
      </c>
      <c r="Q571" s="84" t="s">
        <v>1786</v>
      </c>
      <c r="R571" s="84"/>
      <c r="S571">
        <v>3224</v>
      </c>
      <c r="T571" s="168" t="str">
        <f t="shared" si="16"/>
        <v>PRE-ESPECIALIDAD  - Papelería y Utiles  Disponible $4100 Solicitado $9 PRESUPUESTO: SI</v>
      </c>
    </row>
    <row r="572" spans="1:20" ht="45" x14ac:dyDescent="0.25">
      <c r="A572" s="6">
        <f t="shared" si="17"/>
        <v>567</v>
      </c>
      <c r="B572" s="21">
        <v>45355</v>
      </c>
      <c r="C572" s="126" t="s">
        <v>1714</v>
      </c>
      <c r="D572" s="65" t="s">
        <v>140</v>
      </c>
      <c r="E572" s="65" t="s">
        <v>1792</v>
      </c>
      <c r="F572" t="s">
        <v>1078</v>
      </c>
      <c r="G572" s="161">
        <f>MONTH(EJECUTADO[[#This Row],[FECHA]])</f>
        <v>3</v>
      </c>
      <c r="H572" s="163" t="str">
        <f>MID(EJECUTADO[[#This Row],[CUENTA]],1,4)</f>
        <v>E-26</v>
      </c>
      <c r="I572" s="163" t="str">
        <f>INDEX(CATALOGO[Descripción],MATCH(EJECUTADO[[#This Row],[APLICACIÓN]]&amp;"-00-00-00",CATALOGO[Código],0))</f>
        <v>EVENTOS ACADEMICOS, CULTURALES  E INSTITUCIONALES</v>
      </c>
      <c r="J5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DE REPRESENTACION </v>
      </c>
      <c r="K572" s="161" t="str">
        <f>IF((EJECUTADO[[#This Row],[MONTO DISPONIBLE ]]-EJECUTADO[[#This Row],[MONTO SOLICITADO]])&gt;=0,"PRESUPUESTO: SI","PRESUPUESTO: NO")</f>
        <v>PRESUPUESTO: SI</v>
      </c>
      <c r="L572" s="162">
        <f>SUMIF(PRESUPUESTO[CUENTA],EJECUTADO[[#This Row],[CUENTA]],PRESUPUESTO[MONTO])-SUMIF($F$1:F571,EJECUTADO[[#This Row],[CUENTA]],$M$1:M571)</f>
        <v>108385.71</v>
      </c>
      <c r="M572" s="2">
        <v>8888.8799999999992</v>
      </c>
      <c r="N572" s="84"/>
      <c r="O572" s="84">
        <v>888.88</v>
      </c>
      <c r="P572" s="162">
        <f>+EJECUTADO[[#This Row],[MONTO SOLICITADO]]-EJECUTADO[[#This Row],[RETENCION IVA]]-EJECUTADO[[#This Row],[RETENCION ISR]]</f>
        <v>7999.9999999999991</v>
      </c>
      <c r="Q572" s="84" t="s">
        <v>1786</v>
      </c>
      <c r="R572" s="84"/>
      <c r="S572">
        <v>1560221</v>
      </c>
      <c r="T572" s="168" t="str">
        <f t="shared" si="16"/>
        <v>EVENTOS ACADEMICOS, CULTURALES  E INSTITUCIONALES - GASTOS DE REPRESENTACION  Disponible $108385.71 Solicitado $8888.88 PRESUPUESTO: SI</v>
      </c>
    </row>
    <row r="573" spans="1:20" ht="90" x14ac:dyDescent="0.25">
      <c r="A573" s="6">
        <f t="shared" si="17"/>
        <v>568</v>
      </c>
      <c r="B573" s="21">
        <v>45355</v>
      </c>
      <c r="C573" s="126" t="s">
        <v>1793</v>
      </c>
      <c r="D573" s="65" t="s">
        <v>1794</v>
      </c>
      <c r="E573" s="21" t="s">
        <v>1795</v>
      </c>
      <c r="F573" t="s">
        <v>1796</v>
      </c>
      <c r="G573" s="161">
        <f>MONTH(EJECUTADO[[#This Row],[FECHA]])</f>
        <v>3</v>
      </c>
      <c r="H573" s="163" t="str">
        <f>MID(EJECUTADO[[#This Row],[CUENTA]],1,4)</f>
        <v>E-15</v>
      </c>
      <c r="I573" s="163" t="str">
        <f>INDEX(CATALOGO[Descripción],MATCH(EJECUTADO[[#This Row],[APLICACIÓN]]&amp;"-00-00-00",CATALOGO[Código],0))</f>
        <v>ALQUILERES</v>
      </c>
      <c r="J5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Despacho en Cumbres de Cuscatlán $ 4,294.00 x 12 (Armida Calderón)</v>
      </c>
      <c r="K573" s="161" t="str">
        <f>IF((EJECUTADO[[#This Row],[MONTO DISPONIBLE ]]-EJECUTADO[[#This Row],[MONTO SOLICITADO]])&gt;=0,"PRESUPUESTO: SI","PRESUPUESTO: NO")</f>
        <v>PRESUPUESTO: SI</v>
      </c>
      <c r="L573" s="162">
        <f>SUMIF(PRESUPUESTO[CUENTA],EJECUTADO[[#This Row],[CUENTA]],PRESUPUESTO[MONTO])-SUMIF($F$1:F572,EJECUTADO[[#This Row],[CUENTA]],$M$1:M572)</f>
        <v>51540</v>
      </c>
      <c r="M573" s="2">
        <v>4294</v>
      </c>
      <c r="N573" s="84">
        <v>558.22</v>
      </c>
      <c r="O573" s="84">
        <v>373.58</v>
      </c>
      <c r="P573" s="162">
        <f>+EJECUTADO[[#This Row],[MONTO SOLICITADO]]-EJECUTADO[[#This Row],[RETENCION IVA]]-EJECUTADO[[#This Row],[RETENCION ISR]]</f>
        <v>3362.2</v>
      </c>
      <c r="Q573" s="84" t="s">
        <v>1786</v>
      </c>
      <c r="R573" s="84"/>
      <c r="S573">
        <v>1560220</v>
      </c>
      <c r="T573" s="168" t="str">
        <f t="shared" si="16"/>
        <v>ALQUILERES - Despacho en Cumbres de Cuscatlán $ 4,294.00 x 12 (Armida Calderón) Disponible $51540 Solicitado $4294 PRESUPUESTO: SI</v>
      </c>
    </row>
    <row r="574" spans="1:20" ht="45" x14ac:dyDescent="0.25">
      <c r="A574" s="6">
        <f t="shared" si="17"/>
        <v>569</v>
      </c>
      <c r="B574" s="21">
        <v>45355</v>
      </c>
      <c r="C574" s="126" t="s">
        <v>1717</v>
      </c>
      <c r="D574" s="65" t="s">
        <v>1797</v>
      </c>
      <c r="E574" s="65" t="s">
        <v>1798</v>
      </c>
      <c r="F574" t="s">
        <v>1799</v>
      </c>
      <c r="G574" s="161">
        <f>MONTH(EJECUTADO[[#This Row],[FECHA]])</f>
        <v>3</v>
      </c>
      <c r="H574" s="163" t="str">
        <f>MID(EJECUTADO[[#This Row],[CUENTA]],1,4)</f>
        <v>E-26</v>
      </c>
      <c r="I574" s="163" t="str">
        <f>INDEX(CATALOGO[Descripción],MATCH(EJECUTADO[[#This Row],[APLICACIÓN]]&amp;"-00-00-00",CATALOGO[Código],0))</f>
        <v>EVENTOS ACADEMICOS, CULTURALES  E INSTITUCIONALES</v>
      </c>
      <c r="J5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DIETAS</v>
      </c>
      <c r="K574" s="161" t="str">
        <f>IF((EJECUTADO[[#This Row],[MONTO DISPONIBLE ]]-EJECUTADO[[#This Row],[MONTO SOLICITADO]])&gt;=0,"PRESUPUESTO: SI","PRESUPUESTO: NO")</f>
        <v>PRESUPUESTO: SI</v>
      </c>
      <c r="L574" s="162">
        <f>SUMIF(PRESUPUESTO[CUENTA],EJECUTADO[[#This Row],[CUENTA]],PRESUPUESTO[MONTO])-SUMIF($F$1:F573,EJECUTADO[[#This Row],[CUENTA]],$M$1:M573)</f>
        <v>8333.33</v>
      </c>
      <c r="M574" s="2">
        <v>225</v>
      </c>
      <c r="N574" s="84">
        <v>29.25</v>
      </c>
      <c r="O574" s="84">
        <v>19.579999999999998</v>
      </c>
      <c r="P574" s="162">
        <f>+EJECUTADO[[#This Row],[MONTO SOLICITADO]]-EJECUTADO[[#This Row],[RETENCION IVA]]-EJECUTADO[[#This Row],[RETENCION ISR]]</f>
        <v>176.17000000000002</v>
      </c>
      <c r="Q574" s="84" t="s">
        <v>1800</v>
      </c>
      <c r="R574" s="84"/>
      <c r="S574" s="112">
        <v>3223</v>
      </c>
      <c r="T574" s="168" t="str">
        <f t="shared" si="16"/>
        <v>EVENTOS ACADEMICOS, CULTURALES  E INSTITUCIONALES - DIETAS Disponible $8333.33 Solicitado $225 PRESUPUESTO: SI</v>
      </c>
    </row>
    <row r="575" spans="1:20" ht="30" x14ac:dyDescent="0.25">
      <c r="A575" s="6">
        <f t="shared" si="17"/>
        <v>570</v>
      </c>
      <c r="B575" s="21">
        <v>45346</v>
      </c>
      <c r="C575" s="109" t="s">
        <v>1775</v>
      </c>
      <c r="D575" s="126" t="s">
        <v>1776</v>
      </c>
      <c r="E575" s="65"/>
      <c r="F575" t="s">
        <v>1055</v>
      </c>
      <c r="G575" s="161">
        <f>MONTH(EJECUTADO[[#This Row],[FECHA]])</f>
        <v>2</v>
      </c>
      <c r="H575" s="163" t="str">
        <f>MID(EJECUTADO[[#This Row],[CUENTA]],1,4)</f>
        <v>E-07</v>
      </c>
      <c r="I575" s="163" t="str">
        <f>INDEX(CATALOGO[Descripción],MATCH(EJECUTADO[[#This Row],[APLICACIÓN]]&amp;"-00-00-00",CATALOGO[Código],0))</f>
        <v>SERVICIOS TECNOLOGICOS</v>
      </c>
      <c r="J5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Enlace ComercialDigicel   Internet Alumnos $ 3,560.00 x 12 </v>
      </c>
      <c r="K575" s="161" t="str">
        <f>IF((EJECUTADO[[#This Row],[MONTO DISPONIBLE ]]-EJECUTADO[[#This Row],[MONTO SOLICITADO]])&gt;=0,"PRESUPUESTO: SI","PRESUPUESTO: NO")</f>
        <v>PRESUPUESTO: SI</v>
      </c>
      <c r="L575" s="162">
        <f>SUMIF(PRESUPUESTO[CUENTA],EJECUTADO[[#This Row],[CUENTA]],PRESUPUESTO[MONTO])-SUMIF($F$1:F574,EJECUTADO[[#This Row],[CUENTA]],$M$1:M574)</f>
        <v>36598</v>
      </c>
      <c r="M575" s="2">
        <v>3051</v>
      </c>
      <c r="N575" s="84">
        <v>27</v>
      </c>
      <c r="O575" s="84"/>
      <c r="P575" s="162">
        <f>+EJECUTADO[[#This Row],[MONTO SOLICITADO]]-EJECUTADO[[#This Row],[RETENCION IVA]]-EJECUTADO[[#This Row],[RETENCION ISR]]</f>
        <v>3024</v>
      </c>
      <c r="Q575" s="84" t="s">
        <v>1000</v>
      </c>
      <c r="R575" s="84"/>
      <c r="S575">
        <v>1560219</v>
      </c>
      <c r="T575" s="168" t="str">
        <f t="shared" si="16"/>
        <v>SERVICIOS TECNOLOGICOS - Enlace ComercialDigicel   Internet Alumnos $ 3,560.00 x 12  Disponible $36598 Solicitado $3051 PRESUPUESTO: SI</v>
      </c>
    </row>
    <row r="576" spans="1:20" ht="45" x14ac:dyDescent="0.25">
      <c r="A576" s="6">
        <f t="shared" si="17"/>
        <v>571</v>
      </c>
      <c r="B576" s="21">
        <v>45346</v>
      </c>
      <c r="C576" s="110" t="s">
        <v>1760</v>
      </c>
      <c r="D576" s="126" t="s">
        <v>1761</v>
      </c>
      <c r="E576" s="65"/>
      <c r="F576" t="s">
        <v>1321</v>
      </c>
      <c r="G576" s="161">
        <f>MONTH(EJECUTADO[[#This Row],[FECHA]])</f>
        <v>2</v>
      </c>
      <c r="H576" s="163" t="str">
        <f>MID(EJECUTADO[[#This Row],[CUENTA]],1,4)</f>
        <v>E-01</v>
      </c>
      <c r="I576" s="163" t="str">
        <f>INDEX(CATALOGO[Descripción],MATCH(EJECUTADO[[#This Row],[APLICACIÓN]]&amp;"-00-00-00",CATALOGO[Código],0))</f>
        <v>SERVICIOS PROFESIONALES</v>
      </c>
      <c r="J5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Prof.Lic Reynaldo Lopez G $ 1,000*12</v>
      </c>
      <c r="K576" s="161" t="str">
        <f>IF((EJECUTADO[[#This Row],[MONTO DISPONIBLE ]]-EJECUTADO[[#This Row],[MONTO SOLICITADO]])&gt;=0,"PRESUPUESTO: SI","PRESUPUESTO: NO")</f>
        <v>PRESUPUESTO: SI</v>
      </c>
      <c r="L576" s="162">
        <f>SUMIF(PRESUPUESTO[CUENTA],EJECUTADO[[#This Row],[CUENTA]],PRESUPUESTO[MONTO])-SUMIF($F$1:F575,EJECUTADO[[#This Row],[CUENTA]],$M$1:M575)</f>
        <v>11000</v>
      </c>
      <c r="M576" s="2">
        <v>1000</v>
      </c>
      <c r="N576" s="84"/>
      <c r="O576" s="84"/>
      <c r="P576" s="162">
        <f>+EJECUTADO[[#This Row],[MONTO SOLICITADO]]-EJECUTADO[[#This Row],[RETENCION IVA]]-EJECUTADO[[#This Row],[RETENCION ISR]]</f>
        <v>1000</v>
      </c>
      <c r="Q576" s="84" t="s">
        <v>1000</v>
      </c>
      <c r="R576" s="84"/>
      <c r="S576">
        <v>1</v>
      </c>
      <c r="T576" s="168" t="str">
        <f t="shared" si="16"/>
        <v>SERVICIOS PROFESIONALES - Servicios Prof.Lic Reynaldo Lopez G $ 1,000*12 Disponible $11000 Solicitado $1000 PRESUPUESTO: SI</v>
      </c>
    </row>
    <row r="577" spans="1:20" ht="30" x14ac:dyDescent="0.25">
      <c r="A577" s="6">
        <f t="shared" si="17"/>
        <v>572</v>
      </c>
      <c r="B577" s="21">
        <v>45346</v>
      </c>
      <c r="C577" s="109" t="s">
        <v>1155</v>
      </c>
      <c r="D577" s="126" t="s">
        <v>1758</v>
      </c>
      <c r="E577" s="65"/>
      <c r="F577" t="s">
        <v>1322</v>
      </c>
      <c r="G577" s="161">
        <f>MONTH(EJECUTADO[[#This Row],[FECHA]])</f>
        <v>2</v>
      </c>
      <c r="H577" s="163" t="str">
        <f>MID(EJECUTADO[[#This Row],[CUENTA]],1,4)</f>
        <v>E-09</v>
      </c>
      <c r="I577" s="163" t="str">
        <f>INDEX(CATALOGO[Descripción],MATCH(EJECUTADO[[#This Row],[APLICACIÓN]]&amp;"-00-00-00",CATALOGO[Código],0))</f>
        <v>PRESTACIONES AL PERSONAL</v>
      </c>
      <c r="J5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SALA CUNA</v>
      </c>
      <c r="K577" s="161" t="str">
        <f>IF((EJECUTADO[[#This Row],[MONTO DISPONIBLE ]]-EJECUTADO[[#This Row],[MONTO SOLICITADO]])&gt;=0,"PRESUPUESTO: SI","PRESUPUESTO: NO")</f>
        <v>PRESUPUESTO: NO</v>
      </c>
      <c r="L577" s="162">
        <f>SUMIF(PRESUPUESTO[CUENTA],EJECUTADO[[#This Row],[CUENTA]],PRESUPUESTO[MONTO])-SUMIF($F$1:F576,EJECUTADO[[#This Row],[CUENTA]],$M$1:M576)</f>
        <v>516.76999999999953</v>
      </c>
      <c r="M577" s="2">
        <v>1107.01</v>
      </c>
      <c r="N577" s="84"/>
      <c r="O577" s="84"/>
      <c r="P577" s="162">
        <f>+EJECUTADO[[#This Row],[MONTO SOLICITADO]]-EJECUTADO[[#This Row],[RETENCION IVA]]-EJECUTADO[[#This Row],[RETENCION ISR]]</f>
        <v>1107.01</v>
      </c>
      <c r="Q577" s="84" t="s">
        <v>1000</v>
      </c>
      <c r="R577" s="84"/>
      <c r="S577">
        <v>1</v>
      </c>
      <c r="T577" s="168" t="str">
        <f t="shared" si="16"/>
        <v>PRESTACIONES AL PERSONAL - SALA CUNA Disponible $516.77 Solicitado $1107.01 PRESUPUESTO: NO</v>
      </c>
    </row>
    <row r="578" spans="1:20" ht="60" x14ac:dyDescent="0.25">
      <c r="A578" s="6">
        <f t="shared" si="17"/>
        <v>573</v>
      </c>
      <c r="B578" s="21">
        <v>45346</v>
      </c>
      <c r="C578" s="110" t="s">
        <v>1079</v>
      </c>
      <c r="D578" s="126" t="s">
        <v>1759</v>
      </c>
      <c r="E578" s="65"/>
      <c r="F578" t="s">
        <v>1180</v>
      </c>
      <c r="G578" s="161">
        <f>MONTH(EJECUTADO[[#This Row],[FECHA]])</f>
        <v>2</v>
      </c>
      <c r="H578" s="163" t="str">
        <f>MID(EJECUTADO[[#This Row],[CUENTA]],1,4)</f>
        <v>E-08</v>
      </c>
      <c r="I578" s="163" t="str">
        <f>INDEX(CATALOGO[Descripción],MATCH(EJECUTADO[[#This Row],[APLICACIÓN]]&amp;"-00-00-00",CATALOGO[Código],0))</f>
        <v>INVERSIONES Y PROYECTOS ESPECIALES</v>
      </c>
      <c r="J5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578" s="161" t="str">
        <f>IF((EJECUTADO[[#This Row],[MONTO DISPONIBLE ]]-EJECUTADO[[#This Row],[MONTO SOLICITADO]])&gt;=0,"PRESUPUESTO: SI","PRESUPUESTO: NO")</f>
        <v>PRESUPUESTO: NO</v>
      </c>
      <c r="L578" s="162">
        <f>SUMIF(PRESUPUESTO[CUENTA],EJECUTADO[[#This Row],[CUENTA]],PRESUPUESTO[MONTO])-SUMIF($F$1:F577,EJECUTADO[[#This Row],[CUENTA]],$M$1:M577)</f>
        <v>-40516.340000000004</v>
      </c>
      <c r="M578" s="2">
        <v>39788.22</v>
      </c>
      <c r="N578" s="84"/>
      <c r="O578" s="84"/>
      <c r="P578" s="162">
        <f>+EJECUTADO[[#This Row],[MONTO SOLICITADO]]-EJECUTADO[[#This Row],[RETENCION IVA]]-EJECUTADO[[#This Row],[RETENCION ISR]]</f>
        <v>39788.22</v>
      </c>
      <c r="Q578" s="84" t="s">
        <v>1000</v>
      </c>
      <c r="R578" s="84"/>
      <c r="S578">
        <v>1</v>
      </c>
      <c r="T578" s="168" t="str">
        <f t="shared" si="16"/>
        <v>INVERSIONES Y PROYECTOS ESPECIALES - LA CUENTA SELECCIONADA NO PERMITE MOVIMIENTO Disponible $-40516.34 Solicitado $39788.22 PRESUPUESTO: NO</v>
      </c>
    </row>
    <row r="579" spans="1:20" ht="30" x14ac:dyDescent="0.25">
      <c r="A579" s="6">
        <f t="shared" si="17"/>
        <v>574</v>
      </c>
      <c r="B579" s="21">
        <v>45346</v>
      </c>
      <c r="C579" s="109" t="s">
        <v>1004</v>
      </c>
      <c r="D579" s="126" t="s">
        <v>1581</v>
      </c>
      <c r="E579" s="65"/>
      <c r="F579" t="s">
        <v>1582</v>
      </c>
      <c r="G579" s="161">
        <f>MONTH(EJECUTADO[[#This Row],[FECHA]])</f>
        <v>2</v>
      </c>
      <c r="H579" s="163" t="str">
        <f>MID(EJECUTADO[[#This Row],[CUENTA]],1,4)</f>
        <v>E-19</v>
      </c>
      <c r="I579" s="163" t="str">
        <f>INDEX(CATALOGO[Descripción],MATCH(EJECUTADO[[#This Row],[APLICACIÓN]]&amp;"-00-00-00",CATALOGO[Código],0))</f>
        <v>MANTENIMIENTO</v>
      </c>
      <c r="J5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579" s="161" t="str">
        <f>IF((EJECUTADO[[#This Row],[MONTO DISPONIBLE ]]-EJECUTADO[[#This Row],[MONTO SOLICITADO]])&gt;=0,"PRESUPUESTO: SI","PRESUPUESTO: NO")</f>
        <v>PRESUPUESTO: SI</v>
      </c>
      <c r="L579" s="162">
        <f>SUMIF(PRESUPUESTO[CUENTA],EJECUTADO[[#This Row],[CUENTA]],PRESUPUESTO[MONTO])-SUMIF($F$1:F578,EJECUTADO[[#This Row],[CUENTA]],$M$1:M578)</f>
        <v>5354.12</v>
      </c>
      <c r="M579" s="2">
        <v>5.88</v>
      </c>
      <c r="N579" s="84"/>
      <c r="O579" s="84"/>
      <c r="P579" s="162">
        <f>+EJECUTADO[[#This Row],[MONTO SOLICITADO]]-EJECUTADO[[#This Row],[RETENCION IVA]]-EJECUTADO[[#This Row],[RETENCION ISR]]</f>
        <v>5.88</v>
      </c>
      <c r="Q579" s="84" t="s">
        <v>1000</v>
      </c>
      <c r="R579" s="84"/>
      <c r="S579">
        <v>1</v>
      </c>
      <c r="T579" s="168" t="str">
        <f t="shared" si="16"/>
        <v>MANTENIMIENTO - Dir. Mantenimiento - Materiales Eléctricos  Disponible $5354.12 Solicitado $5.88 PRESUPUESTO: SI</v>
      </c>
    </row>
    <row r="580" spans="1:20" ht="30" x14ac:dyDescent="0.25">
      <c r="A580" s="6">
        <f t="shared" si="17"/>
        <v>575</v>
      </c>
      <c r="B580" s="21">
        <v>45346</v>
      </c>
      <c r="C580" s="110" t="s">
        <v>1004</v>
      </c>
      <c r="D580" s="126" t="s">
        <v>1767</v>
      </c>
      <c r="E580" s="65"/>
      <c r="F580" t="s">
        <v>1768</v>
      </c>
      <c r="G580" s="161">
        <f>MONTH(EJECUTADO[[#This Row],[FECHA]])</f>
        <v>2</v>
      </c>
      <c r="H580" s="163" t="str">
        <f>MID(EJECUTADO[[#This Row],[CUENTA]],1,4)</f>
        <v>E-19</v>
      </c>
      <c r="I580" s="163" t="str">
        <f>INDEX(CATALOGO[Descripción],MATCH(EJECUTADO[[#This Row],[APLICACIÓN]]&amp;"-00-00-00",CATALOGO[Código],0))</f>
        <v>MANTENIMIENTO</v>
      </c>
      <c r="J5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580" s="161" t="str">
        <f>IF((EJECUTADO[[#This Row],[MONTO DISPONIBLE ]]-EJECUTADO[[#This Row],[MONTO SOLICITADO]])&gt;=0,"PRESUPUESTO: SI","PRESUPUESTO: NO")</f>
        <v>PRESUPUESTO: SI</v>
      </c>
      <c r="L580" s="162">
        <f>SUMIF(PRESUPUESTO[CUENTA],EJECUTADO[[#This Row],[CUENTA]],PRESUPUESTO[MONTO])-SUMIF($F$1:F579,EJECUTADO[[#This Row],[CUENTA]],$M$1:M579)</f>
        <v>7056.89</v>
      </c>
      <c r="M580" s="2">
        <v>943.11</v>
      </c>
      <c r="N580" s="84"/>
      <c r="O580" s="84"/>
      <c r="P580" s="162">
        <f>+EJECUTADO[[#This Row],[MONTO SOLICITADO]]-EJECUTADO[[#This Row],[RETENCION IVA]]-EJECUTADO[[#This Row],[RETENCION ISR]]</f>
        <v>943.11</v>
      </c>
      <c r="Q580" s="84" t="s">
        <v>1000</v>
      </c>
      <c r="R580" s="84"/>
      <c r="S580">
        <v>1</v>
      </c>
      <c r="T580" s="168" t="str">
        <f t="shared" ref="T580:T643" si="18">_xlfn.CONCAT(I580," - ",J580," Disponible $",L580," Solicitado $",M580," ",K580,)</f>
        <v>MANTENIMIENTO - Dir. Mantenimiento - Materiales para Construcción  Disponible $7056.89 Solicitado $943.11 PRESUPUESTO: SI</v>
      </c>
    </row>
    <row r="581" spans="1:20" ht="30" x14ac:dyDescent="0.25">
      <c r="A581" s="6">
        <f t="shared" si="17"/>
        <v>576</v>
      </c>
      <c r="B581" s="21">
        <v>45346</v>
      </c>
      <c r="C581" s="109" t="s">
        <v>1004</v>
      </c>
      <c r="D581" s="126" t="s">
        <v>1769</v>
      </c>
      <c r="E581" s="65"/>
      <c r="F581" t="s">
        <v>1355</v>
      </c>
      <c r="G581" s="161">
        <f>MONTH(EJECUTADO[[#This Row],[FECHA]])</f>
        <v>2</v>
      </c>
      <c r="H581" s="163" t="str">
        <f>MID(EJECUTADO[[#This Row],[CUENTA]],1,4)</f>
        <v>E-19</v>
      </c>
      <c r="I581" s="163" t="str">
        <f>INDEX(CATALOGO[Descripción],MATCH(EJECUTADO[[#This Row],[APLICACIÓN]]&amp;"-00-00-00",CATALOGO[Código],0))</f>
        <v>MANTENIMIENTO</v>
      </c>
      <c r="J58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81" s="161" t="str">
        <f>IF((EJECUTADO[[#This Row],[MONTO DISPONIBLE ]]-EJECUTADO[[#This Row],[MONTO SOLICITADO]])&gt;=0,"PRESUPUESTO: SI","PRESUPUESTO: NO")</f>
        <v>PRESUPUESTO: NO</v>
      </c>
      <c r="L581" s="162">
        <f>SUMIF(PRESUPUESTO[CUENTA],EJECUTADO[[#This Row],[CUENTA]],PRESUPUESTO[MONTO])-SUMIF($F$1:F580,EJECUTADO[[#This Row],[CUENTA]],$M$1:M580)</f>
        <v>-6615.3099999999995</v>
      </c>
      <c r="M581" s="2">
        <v>63.58</v>
      </c>
      <c r="N581" s="84"/>
      <c r="O581" s="84"/>
      <c r="P581" s="162">
        <f>+EJECUTADO[[#This Row],[MONTO SOLICITADO]]-EJECUTADO[[#This Row],[RETENCION IVA]]-EJECUTADO[[#This Row],[RETENCION ISR]]</f>
        <v>63.58</v>
      </c>
      <c r="Q581" s="84" t="s">
        <v>1000</v>
      </c>
      <c r="R581" s="84"/>
      <c r="S581">
        <v>1</v>
      </c>
      <c r="T581" s="168" t="e">
        <f t="shared" si="18"/>
        <v>#N/A</v>
      </c>
    </row>
    <row r="582" spans="1:20" ht="30" x14ac:dyDescent="0.25">
      <c r="A582" s="6">
        <f t="shared" ref="A582:A645" si="19">+A581+1</f>
        <v>577</v>
      </c>
      <c r="B582" s="21">
        <v>45346</v>
      </c>
      <c r="C582" s="110" t="s">
        <v>1765</v>
      </c>
      <c r="D582" s="126" t="s">
        <v>1766</v>
      </c>
      <c r="E582" s="65"/>
      <c r="F582" t="s">
        <v>1040</v>
      </c>
      <c r="G582" s="161">
        <f>MONTH(EJECUTADO[[#This Row],[FECHA]])</f>
        <v>2</v>
      </c>
      <c r="H582" s="163" t="str">
        <f>MID(EJECUTADO[[#This Row],[CUENTA]],1,4)</f>
        <v>E-23</v>
      </c>
      <c r="I582" s="163" t="str">
        <f>INDEX(CATALOGO[Descripción],MATCH(EJECUTADO[[#This Row],[APLICACIÓN]]&amp;"-00-00-00",CATALOGO[Código],0))</f>
        <v>GASTOS DE VIAJE</v>
      </c>
      <c r="J5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BOLETOS Y VIATICOS A EJECUTIVOS</v>
      </c>
      <c r="K582" s="161" t="str">
        <f>IF((EJECUTADO[[#This Row],[MONTO DISPONIBLE ]]-EJECUTADO[[#This Row],[MONTO SOLICITADO]])&gt;=0,"PRESUPUESTO: SI","PRESUPUESTO: NO")</f>
        <v>PRESUPUESTO: SI</v>
      </c>
      <c r="L582" s="162">
        <f>SUMIF(PRESUPUESTO[CUENTA],EJECUTADO[[#This Row],[CUENTA]],PRESUPUESTO[MONTO])-SUMIF($F$1:F581,EJECUTADO[[#This Row],[CUENTA]],$M$1:M581)</f>
        <v>13571</v>
      </c>
      <c r="M582" s="2">
        <v>1254</v>
      </c>
      <c r="N582" s="84"/>
      <c r="O582" s="84"/>
      <c r="P582" s="162">
        <f>+EJECUTADO[[#This Row],[MONTO SOLICITADO]]-EJECUTADO[[#This Row],[RETENCION IVA]]-EJECUTADO[[#This Row],[RETENCION ISR]]</f>
        <v>1254</v>
      </c>
      <c r="Q582" s="84" t="s">
        <v>1000</v>
      </c>
      <c r="R582" s="84"/>
      <c r="S582">
        <v>1</v>
      </c>
      <c r="T582" s="168" t="str">
        <f t="shared" si="18"/>
        <v>GASTOS DE VIAJE - BOLETOS Y VIATICOS A EJECUTIVOS Disponible $13571 Solicitado $1254 PRESUPUESTO: SI</v>
      </c>
    </row>
    <row r="583" spans="1:20" ht="45" x14ac:dyDescent="0.25">
      <c r="A583" s="6">
        <f t="shared" si="19"/>
        <v>578</v>
      </c>
      <c r="B583" s="21">
        <v>45346</v>
      </c>
      <c r="C583" s="109" t="s">
        <v>1016</v>
      </c>
      <c r="D583" s="126" t="s">
        <v>1016</v>
      </c>
      <c r="E583" s="65"/>
      <c r="F583" t="s">
        <v>1017</v>
      </c>
      <c r="G583" s="161">
        <f>MONTH(EJECUTADO[[#This Row],[FECHA]])</f>
        <v>2</v>
      </c>
      <c r="H583" s="163" t="str">
        <f>MID(EJECUTADO[[#This Row],[CUENTA]],1,4)</f>
        <v>E-31</v>
      </c>
      <c r="I583" s="163" t="str">
        <f>INDEX(CATALOGO[Descripción],MATCH(EJECUTADO[[#This Row],[APLICACIÓN]]&amp;"-00-00-00",CATALOGO[Código],0))</f>
        <v>DONACIONES</v>
      </c>
      <c r="J5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583" s="161" t="str">
        <f>IF((EJECUTADO[[#This Row],[MONTO DISPONIBLE ]]-EJECUTADO[[#This Row],[MONTO SOLICITADO]])&gt;=0,"PRESUPUESTO: SI","PRESUPUESTO: NO")</f>
        <v>PRESUPUESTO: SI</v>
      </c>
      <c r="L583" s="162">
        <f>SUMIF(PRESUPUESTO[CUENTA],EJECUTADO[[#This Row],[CUENTA]],PRESUPUESTO[MONTO])-SUMIF($F$1:F582,EJECUTADO[[#This Row],[CUENTA]],$M$1:M582)</f>
        <v>4000</v>
      </c>
      <c r="M583" s="2">
        <v>500</v>
      </c>
      <c r="N583" s="84"/>
      <c r="O583" s="84"/>
      <c r="P583" s="162">
        <f>+EJECUTADO[[#This Row],[MONTO SOLICITADO]]-EJECUTADO[[#This Row],[RETENCION IVA]]-EJECUTADO[[#This Row],[RETENCION ISR]]</f>
        <v>500</v>
      </c>
      <c r="Q583" s="84" t="s">
        <v>1000</v>
      </c>
      <c r="R583" s="84"/>
      <c r="S583">
        <v>1</v>
      </c>
      <c r="T583" s="168" t="str">
        <f t="shared" si="18"/>
        <v>DONACIONES - Academia  Salvadoreña de la Lengua Disponible $4000 Solicitado $500 PRESUPUESTO: SI</v>
      </c>
    </row>
    <row r="584" spans="1:20" ht="30" x14ac:dyDescent="0.25">
      <c r="A584" s="6">
        <f t="shared" si="19"/>
        <v>579</v>
      </c>
      <c r="B584" s="21">
        <v>45348</v>
      </c>
      <c r="C584" s="110" t="s">
        <v>1149</v>
      </c>
      <c r="D584" s="126" t="s">
        <v>1150</v>
      </c>
      <c r="E584" s="65"/>
      <c r="F584" t="s">
        <v>1151</v>
      </c>
      <c r="G584" s="161">
        <f>MONTH(EJECUTADO[[#This Row],[FECHA]])</f>
        <v>2</v>
      </c>
      <c r="H584" s="163" t="str">
        <f>MID(EJECUTADO[[#This Row],[CUENTA]],1,4)</f>
        <v>E-20</v>
      </c>
      <c r="I584" s="163" t="str">
        <f>INDEX(CATALOGO[Descripción],MATCH(EJECUTADO[[#This Row],[APLICACIÓN]]&amp;"-00-00-00",CATALOGO[Código],0))</f>
        <v>SEGUROS</v>
      </c>
      <c r="J5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de Incendio- ACSA Aseguradora Agri 8 cuo</v>
      </c>
      <c r="K584" s="161" t="str">
        <f>IF((EJECUTADO[[#This Row],[MONTO DISPONIBLE ]]-EJECUTADO[[#This Row],[MONTO SOLICITADO]])&gt;=0,"PRESUPUESTO: SI","PRESUPUESTO: NO")</f>
        <v>PRESUPUESTO: SI</v>
      </c>
      <c r="L584" s="162">
        <f>SUMIF(PRESUPUESTO[CUENTA],EJECUTADO[[#This Row],[CUENTA]],PRESUPUESTO[MONTO])-SUMIF($F$1:F583,EJECUTADO[[#This Row],[CUENTA]],$M$1:M583)</f>
        <v>176629.86</v>
      </c>
      <c r="M584" s="2">
        <v>27566.93</v>
      </c>
      <c r="N584" s="84"/>
      <c r="O584" s="84"/>
      <c r="P584" s="162">
        <f>+EJECUTADO[[#This Row],[MONTO SOLICITADO]]-EJECUTADO[[#This Row],[RETENCION IVA]]-EJECUTADO[[#This Row],[RETENCION ISR]]</f>
        <v>27566.93</v>
      </c>
      <c r="Q584" s="84" t="s">
        <v>1000</v>
      </c>
      <c r="R584" s="84"/>
      <c r="S584">
        <v>1</v>
      </c>
      <c r="T584" s="168" t="str">
        <f t="shared" si="18"/>
        <v>SEGUROS - Seguro de Incendio- ACSA Aseguradora Agri 8 cuo Disponible $176629.86 Solicitado $27566.93 PRESUPUESTO: SI</v>
      </c>
    </row>
    <row r="585" spans="1:20" ht="30" x14ac:dyDescent="0.25">
      <c r="A585" s="6">
        <f t="shared" si="19"/>
        <v>580</v>
      </c>
      <c r="B585" s="21">
        <v>45348</v>
      </c>
      <c r="C585" s="109" t="s">
        <v>1149</v>
      </c>
      <c r="D585" s="126" t="s">
        <v>1801</v>
      </c>
      <c r="E585" s="65"/>
      <c r="F585" t="s">
        <v>1399</v>
      </c>
      <c r="G585" s="161">
        <f>MONTH(EJECUTADO[[#This Row],[FECHA]])</f>
        <v>2</v>
      </c>
      <c r="H585" s="163" t="str">
        <f>MID(EJECUTADO[[#This Row],[CUENTA]],1,4)</f>
        <v>E-20</v>
      </c>
      <c r="I585" s="163" t="str">
        <f>INDEX(CATALOGO[Descripción],MATCH(EJECUTADO[[#This Row],[APLICACIÓN]]&amp;"-00-00-00",CATALOGO[Código],0))</f>
        <v>SEGUROS</v>
      </c>
      <c r="J5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Lucro Cesante</v>
      </c>
      <c r="K585" s="161" t="str">
        <f>IF((EJECUTADO[[#This Row],[MONTO DISPONIBLE ]]-EJECUTADO[[#This Row],[MONTO SOLICITADO]])&gt;=0,"PRESUPUESTO: SI","PRESUPUESTO: NO")</f>
        <v>PRESUPUESTO: SI</v>
      </c>
      <c r="L585" s="162">
        <f>SUMIF(PRESUPUESTO[CUENTA],EJECUTADO[[#This Row],[CUENTA]],PRESUPUESTO[MONTO])-SUMIF($F$1:F584,EJECUTADO[[#This Row],[CUENTA]],$M$1:M584)</f>
        <v>1983.11</v>
      </c>
      <c r="M585" s="2">
        <v>1048.8900000000001</v>
      </c>
      <c r="N585" s="84"/>
      <c r="O585" s="84"/>
      <c r="P585" s="162">
        <f>+EJECUTADO[[#This Row],[MONTO SOLICITADO]]-EJECUTADO[[#This Row],[RETENCION IVA]]-EJECUTADO[[#This Row],[RETENCION ISR]]</f>
        <v>1048.8900000000001</v>
      </c>
      <c r="Q585" s="84" t="s">
        <v>1000</v>
      </c>
      <c r="R585" s="84"/>
      <c r="S585">
        <v>1</v>
      </c>
      <c r="T585" s="168" t="str">
        <f t="shared" si="18"/>
        <v>SEGUROS - Lucro Cesante Disponible $1983.11 Solicitado $1048.89 PRESUPUESTO: SI</v>
      </c>
    </row>
    <row r="586" spans="1:20" ht="30" x14ac:dyDescent="0.25">
      <c r="A586" s="6">
        <f t="shared" si="19"/>
        <v>581</v>
      </c>
      <c r="B586" s="21">
        <v>45348</v>
      </c>
      <c r="C586" s="110" t="s">
        <v>1149</v>
      </c>
      <c r="D586" s="126" t="s">
        <v>1802</v>
      </c>
      <c r="E586" s="65"/>
      <c r="F586" t="s">
        <v>1400</v>
      </c>
      <c r="G586" s="161">
        <f>MONTH(EJECUTADO[[#This Row],[FECHA]])</f>
        <v>2</v>
      </c>
      <c r="H586" s="163" t="str">
        <f>MID(EJECUTADO[[#This Row],[CUENTA]],1,4)</f>
        <v>E-20</v>
      </c>
      <c r="I586" s="163" t="str">
        <f>INDEX(CATALOGO[Descripción],MATCH(EJECUTADO[[#This Row],[APLICACIÓN]]&amp;"-00-00-00",CATALOGO[Código],0))</f>
        <v>SEGUROS</v>
      </c>
      <c r="J5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Vida Colectivo-  SISA 6 cuotas</v>
      </c>
      <c r="K586" s="161" t="str">
        <f>IF((EJECUTADO[[#This Row],[MONTO DISPONIBLE ]]-EJECUTADO[[#This Row],[MONTO SOLICITADO]])&gt;=0,"PRESUPUESTO: SI","PRESUPUESTO: NO")</f>
        <v>PRESUPUESTO: SI</v>
      </c>
      <c r="L586" s="162">
        <f>SUMIF(PRESUPUESTO[CUENTA],EJECUTADO[[#This Row],[CUENTA]],PRESUPUESTO[MONTO])-SUMIF($F$1:F585,EJECUTADO[[#This Row],[CUENTA]],$M$1:M585)</f>
        <v>50962.05</v>
      </c>
      <c r="M586" s="2">
        <v>4284.5600000000004</v>
      </c>
      <c r="N586" s="84"/>
      <c r="O586" s="84"/>
      <c r="P586" s="162">
        <f>+EJECUTADO[[#This Row],[MONTO SOLICITADO]]-EJECUTADO[[#This Row],[RETENCION IVA]]-EJECUTADO[[#This Row],[RETENCION ISR]]</f>
        <v>4284.5600000000004</v>
      </c>
      <c r="Q586" s="84" t="s">
        <v>1000</v>
      </c>
      <c r="R586" s="84"/>
      <c r="S586">
        <v>1</v>
      </c>
      <c r="T586" s="168" t="str">
        <f t="shared" si="18"/>
        <v>SEGUROS - Seguro Vida Colectivo-  SISA 6 cuotas Disponible $50962.05 Solicitado $4284.56 PRESUPUESTO: SI</v>
      </c>
    </row>
    <row r="587" spans="1:20" ht="45" x14ac:dyDescent="0.25">
      <c r="A587" s="6">
        <f t="shared" si="19"/>
        <v>582</v>
      </c>
      <c r="B587" s="21">
        <v>45348</v>
      </c>
      <c r="C587" s="109" t="s">
        <v>1401</v>
      </c>
      <c r="D587" s="126" t="s">
        <v>1803</v>
      </c>
      <c r="E587" s="65"/>
      <c r="F587" t="s">
        <v>1402</v>
      </c>
      <c r="G587" s="161">
        <f>MONTH(EJECUTADO[[#This Row],[FECHA]])</f>
        <v>2</v>
      </c>
      <c r="H587" s="163" t="str">
        <f>MID(EJECUTADO[[#This Row],[CUENTA]],1,4)</f>
        <v>E-20</v>
      </c>
      <c r="I587" s="163" t="str">
        <f>INDEX(CATALOGO[Descripción],MATCH(EJECUTADO[[#This Row],[APLICACIÓN]]&amp;"-00-00-00",CATALOGO[Código],0))</f>
        <v>SEGUROS</v>
      </c>
      <c r="J5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Valores ACSA 8 cuotas</v>
      </c>
      <c r="K587" s="161" t="str">
        <f>IF((EJECUTADO[[#This Row],[MONTO DISPONIBLE ]]-EJECUTADO[[#This Row],[MONTO SOLICITADO]])&gt;=0,"PRESUPUESTO: SI","PRESUPUESTO: NO")</f>
        <v>PRESUPUESTO: NO</v>
      </c>
      <c r="L587" s="162">
        <f>SUMIF(PRESUPUESTO[CUENTA],EJECUTADO[[#This Row],[CUENTA]],PRESUPUESTO[MONTO])-SUMIF($F$1:F586,EJECUTADO[[#This Row],[CUENTA]],$M$1:M586)</f>
        <v>-7183.5400000000009</v>
      </c>
      <c r="M587" s="2">
        <v>8479.7900000000009</v>
      </c>
      <c r="N587" s="84"/>
      <c r="O587" s="84"/>
      <c r="P587" s="162">
        <f>+EJECUTADO[[#This Row],[MONTO SOLICITADO]]-EJECUTADO[[#This Row],[RETENCION IVA]]-EJECUTADO[[#This Row],[RETENCION ISR]]</f>
        <v>8479.7900000000009</v>
      </c>
      <c r="Q587" s="84" t="s">
        <v>1000</v>
      </c>
      <c r="R587" s="84"/>
      <c r="S587">
        <v>1</v>
      </c>
      <c r="T587" s="168" t="str">
        <f t="shared" si="18"/>
        <v>SEGUROS - Seguro Valores ACSA 8 cuotas Disponible $-7183.54 Solicitado $8479.79 PRESUPUESTO: NO</v>
      </c>
    </row>
    <row r="588" spans="1:20" ht="45" x14ac:dyDescent="0.25">
      <c r="A588" s="6">
        <f t="shared" si="19"/>
        <v>583</v>
      </c>
      <c r="B588" s="21">
        <v>45348</v>
      </c>
      <c r="C588" s="110" t="s">
        <v>1401</v>
      </c>
      <c r="D588" s="126" t="s">
        <v>1804</v>
      </c>
      <c r="E588" s="65"/>
      <c r="F588" t="s">
        <v>1403</v>
      </c>
      <c r="G588" s="161">
        <f>MONTH(EJECUTADO[[#This Row],[FECHA]])</f>
        <v>2</v>
      </c>
      <c r="H588" s="163" t="str">
        <f>MID(EJECUTADO[[#This Row],[CUENTA]],1,4)</f>
        <v>E-20</v>
      </c>
      <c r="I588" s="163" t="str">
        <f>INDEX(CATALOGO[Descripción],MATCH(EJECUTADO[[#This Row],[APLICACIÓN]]&amp;"-00-00-00",CATALOGO[Código],0))</f>
        <v>SEGUROS</v>
      </c>
      <c r="J5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VehÍculos ACSA 8 cuotas</v>
      </c>
      <c r="K588" s="161" t="str">
        <f>IF((EJECUTADO[[#This Row],[MONTO DISPONIBLE ]]-EJECUTADO[[#This Row],[MONTO SOLICITADO]])&gt;=0,"PRESUPUESTO: SI","PRESUPUESTO: NO")</f>
        <v>PRESUPUESTO: NO</v>
      </c>
      <c r="L588" s="162">
        <f>SUMIF(PRESUPUESTO[CUENTA],EJECUTADO[[#This Row],[CUENTA]],PRESUPUESTO[MONTO])-SUMIF($F$1:F587,EJECUTADO[[#This Row],[CUENTA]],$M$1:M587)</f>
        <v>-3484.0899999999965</v>
      </c>
      <c r="M588" s="2">
        <v>17165.07</v>
      </c>
      <c r="N588" s="84"/>
      <c r="O588" s="84"/>
      <c r="P588" s="162">
        <f>+EJECUTADO[[#This Row],[MONTO SOLICITADO]]-EJECUTADO[[#This Row],[RETENCION IVA]]-EJECUTADO[[#This Row],[RETENCION ISR]]</f>
        <v>17165.07</v>
      </c>
      <c r="Q588" s="84" t="s">
        <v>1000</v>
      </c>
      <c r="R588" s="84"/>
      <c r="S588">
        <v>1</v>
      </c>
      <c r="T588" s="168" t="str">
        <f t="shared" si="18"/>
        <v>SEGUROS - Seguro VehÍculos ACSA 8 cuotas Disponible $-3484.09 Solicitado $17165.07 PRESUPUESTO: NO</v>
      </c>
    </row>
    <row r="589" spans="1:20" ht="45" x14ac:dyDescent="0.25">
      <c r="A589" s="6">
        <f t="shared" si="19"/>
        <v>584</v>
      </c>
      <c r="B589" s="21">
        <v>45348</v>
      </c>
      <c r="C589" s="109" t="s">
        <v>1412</v>
      </c>
      <c r="D589" s="126" t="s">
        <v>1080</v>
      </c>
      <c r="E589" s="65"/>
      <c r="F589" t="s">
        <v>1413</v>
      </c>
      <c r="G589" s="161">
        <f>MONTH(EJECUTADO[[#This Row],[FECHA]])</f>
        <v>2</v>
      </c>
      <c r="H589" s="163" t="str">
        <f>MID(EJECUTADO[[#This Row],[CUENTA]],1,4)</f>
        <v>E-24</v>
      </c>
      <c r="I589" s="163" t="str">
        <f>INDEX(CATALOGO[Descripción],MATCH(EJECUTADO[[#This Row],[APLICACIÓN]]&amp;"-00-00-00",CATALOGO[Código],0))</f>
        <v>NUEVO INGRESO</v>
      </c>
      <c r="J5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de agua $ 10.00</v>
      </c>
      <c r="K589" s="161" t="str">
        <f>IF((EJECUTADO[[#This Row],[MONTO DISPONIBLE ]]-EJECUTADO[[#This Row],[MONTO SOLICITADO]])&gt;=0,"PRESUPUESTO: SI","PRESUPUESTO: NO")</f>
        <v>PRESUPUESTO: NO</v>
      </c>
      <c r="L589" s="162">
        <f>SUMIF(PRESUPUESTO[CUENTA],EJECUTADO[[#This Row],[CUENTA]],PRESUPUESTO[MONTO])-SUMIF($F$1:F588,EJECUTADO[[#This Row],[CUENTA]],$M$1:M588)</f>
        <v>-183.44</v>
      </c>
      <c r="M589" s="2">
        <v>369.74</v>
      </c>
      <c r="N589" s="84"/>
      <c r="O589" s="84"/>
      <c r="P589" s="162">
        <f>+EJECUTADO[[#This Row],[MONTO SOLICITADO]]-EJECUTADO[[#This Row],[RETENCION IVA]]-EJECUTADO[[#This Row],[RETENCION ISR]]</f>
        <v>369.74</v>
      </c>
      <c r="Q589" s="84" t="s">
        <v>1000</v>
      </c>
      <c r="R589" s="84"/>
      <c r="S589">
        <v>1</v>
      </c>
      <c r="T589" s="168" t="str">
        <f t="shared" si="18"/>
        <v>NUEVO INGRESO - Plaza Mundo - Servicio de agua $ 10.00 Disponible $-183.44 Solicitado $369.74 PRESUPUESTO: NO</v>
      </c>
    </row>
    <row r="590" spans="1:20" ht="45" x14ac:dyDescent="0.25">
      <c r="A590" s="6">
        <f t="shared" si="19"/>
        <v>585</v>
      </c>
      <c r="B590" s="21">
        <v>45348</v>
      </c>
      <c r="C590" s="110" t="s">
        <v>1227</v>
      </c>
      <c r="D590" s="126" t="s">
        <v>1805</v>
      </c>
      <c r="E590" s="65"/>
      <c r="F590" t="s">
        <v>1229</v>
      </c>
      <c r="G590" s="161">
        <f>MONTH(EJECUTADO[[#This Row],[FECHA]])</f>
        <v>2</v>
      </c>
      <c r="H590" s="163" t="str">
        <f>MID(EJECUTADO[[#This Row],[CUENTA]],1,4)</f>
        <v>E-03</v>
      </c>
      <c r="I590" s="163" t="str">
        <f>INDEX(CATALOGO[Descripción],MATCH(EJECUTADO[[#This Row],[APLICACIÓN]]&amp;"-00-00-00",CATALOGO[Código],0))</f>
        <v>SUELDOS ADMINISTRATIVOS</v>
      </c>
      <c r="J5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590" s="161" t="str">
        <f>IF((EJECUTADO[[#This Row],[MONTO DISPONIBLE ]]-EJECUTADO[[#This Row],[MONTO SOLICITADO]])&gt;=0,"PRESUPUESTO: SI","PRESUPUESTO: NO")</f>
        <v>PRESUPUESTO: SI</v>
      </c>
      <c r="L590" s="162">
        <f>SUMIF(PRESUPUESTO[CUENTA],EJECUTADO[[#This Row],[CUENTA]],PRESUPUESTO[MONTO])-SUMIF($F$1:F589,EJECUTADO[[#This Row],[CUENTA]],$M$1:M589)</f>
        <v>124450</v>
      </c>
      <c r="M590" s="2">
        <v>350</v>
      </c>
      <c r="N590" s="84"/>
      <c r="O590" s="84">
        <v>35</v>
      </c>
      <c r="P590" s="162">
        <f>+EJECUTADO[[#This Row],[MONTO SOLICITADO]]-EJECUTADO[[#This Row],[RETENCION IVA]]-EJECUTADO[[#This Row],[RETENCION ISR]]</f>
        <v>315</v>
      </c>
      <c r="Q590" s="84" t="s">
        <v>1000</v>
      </c>
      <c r="R590" s="84"/>
      <c r="S590">
        <v>1</v>
      </c>
      <c r="T590" s="168" t="str">
        <f t="shared" si="18"/>
        <v>SUELDOS ADMINISTRATIVOS - SUELDOS Y SALARIOS DIRECCIÓN DE COMUNICACIONES Disponible $124450 Solicitado $350 PRESUPUESTO: SI</v>
      </c>
    </row>
    <row r="591" spans="1:20" ht="30" x14ac:dyDescent="0.25">
      <c r="A591" s="6">
        <f t="shared" si="19"/>
        <v>586</v>
      </c>
      <c r="B591" s="21">
        <v>45348</v>
      </c>
      <c r="C591" s="109" t="s">
        <v>1152</v>
      </c>
      <c r="D591" s="126" t="s">
        <v>1806</v>
      </c>
      <c r="E591" s="65"/>
      <c r="F591" t="s">
        <v>1699</v>
      </c>
      <c r="G591" s="161">
        <f>MONTH(EJECUTADO[[#This Row],[FECHA]])</f>
        <v>2</v>
      </c>
      <c r="H591" s="163" t="str">
        <f>MID(EJECUTADO[[#This Row],[CUENTA]],1,4)</f>
        <v>E-27</v>
      </c>
      <c r="I591" s="163" t="str">
        <f>INDEX(CATALOGO[Descripción],MATCH(EJECUTADO[[#This Row],[APLICACIÓN]]&amp;"-00-00-00",CATALOGO[Código],0))</f>
        <v>INSUMOS DE OFICINA</v>
      </c>
      <c r="J59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91" s="161" t="str">
        <f>IF((EJECUTADO[[#This Row],[MONTO DISPONIBLE ]]-EJECUTADO[[#This Row],[MONTO SOLICITADO]])&gt;=0,"PRESUPUESTO: SI","PRESUPUESTO: NO")</f>
        <v>PRESUPUESTO: NO</v>
      </c>
      <c r="L591" s="162">
        <f>SUMIF(PRESUPUESTO[CUENTA],EJECUTADO[[#This Row],[CUENTA]],PRESUPUESTO[MONTO])-SUMIF($F$1:F590,EJECUTADO[[#This Row],[CUENTA]],$M$1:M590)</f>
        <v>-1325.5</v>
      </c>
      <c r="M591" s="2">
        <v>29.9</v>
      </c>
      <c r="N591" s="84"/>
      <c r="O591" s="84"/>
      <c r="P591" s="162">
        <f>+EJECUTADO[[#This Row],[MONTO SOLICITADO]]-EJECUTADO[[#This Row],[RETENCION IVA]]-EJECUTADO[[#This Row],[RETENCION ISR]]</f>
        <v>29.9</v>
      </c>
      <c r="Q591" s="84" t="s">
        <v>1000</v>
      </c>
      <c r="R591" s="84"/>
      <c r="S591">
        <v>1</v>
      </c>
      <c r="T591" s="168" t="e">
        <f t="shared" si="18"/>
        <v>#N/A</v>
      </c>
    </row>
    <row r="592" spans="1:20" ht="30" x14ac:dyDescent="0.25">
      <c r="A592" s="6">
        <f t="shared" si="19"/>
        <v>587</v>
      </c>
      <c r="B592" s="21">
        <v>45348</v>
      </c>
      <c r="C592" s="110" t="s">
        <v>1152</v>
      </c>
      <c r="D592" s="126" t="s">
        <v>1080</v>
      </c>
      <c r="E592" s="65"/>
      <c r="F592" t="s">
        <v>1081</v>
      </c>
      <c r="G592" s="161">
        <f>MONTH(EJECUTADO[[#This Row],[FECHA]])</f>
        <v>2</v>
      </c>
      <c r="H592" s="163" t="str">
        <f>MID(EJECUTADO[[#This Row],[CUENTA]],1,4)</f>
        <v>E-10</v>
      </c>
      <c r="I592" s="163" t="str">
        <f>INDEX(CATALOGO[Descripción],MATCH(EJECUTADO[[#This Row],[APLICACIÓN]]&amp;"-00-00-00",CATALOGO[Código],0))</f>
        <v>SERVICIOS PUBLICOS</v>
      </c>
      <c r="J5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592" s="161" t="str">
        <f>IF((EJECUTADO[[#This Row],[MONTO DISPONIBLE ]]-EJECUTADO[[#This Row],[MONTO SOLICITADO]])&gt;=0,"PRESUPUESTO: SI","PRESUPUESTO: NO")</f>
        <v>PRESUPUESTO: SI</v>
      </c>
      <c r="L592" s="162">
        <f>SUMIF(PRESUPUESTO[CUENTA],EJECUTADO[[#This Row],[CUENTA]],PRESUPUESTO[MONTO])-SUMIF($F$1:F591,EJECUTADO[[#This Row],[CUENTA]],$M$1:M591)</f>
        <v>320255.43</v>
      </c>
      <c r="M592" s="2">
        <v>10.08</v>
      </c>
      <c r="N592" s="84"/>
      <c r="O592" s="84"/>
      <c r="P592" s="162">
        <f>+EJECUTADO[[#This Row],[MONTO SOLICITADO]]-EJECUTADO[[#This Row],[RETENCION IVA]]-EJECUTADO[[#This Row],[RETENCION ISR]]</f>
        <v>10.08</v>
      </c>
      <c r="Q592" s="84" t="s">
        <v>1000</v>
      </c>
      <c r="R592" s="84"/>
      <c r="S592">
        <v>1</v>
      </c>
      <c r="T592" s="168" t="str">
        <f t="shared" si="18"/>
        <v>SERVICIOS PUBLICOS - ENERGÍA ELÉCTRICA Disponible $320255.43 Solicitado $10.08 PRESUPUESTO: SI</v>
      </c>
    </row>
    <row r="593" spans="1:20" ht="30" x14ac:dyDescent="0.25">
      <c r="A593" s="6">
        <f t="shared" si="19"/>
        <v>588</v>
      </c>
      <c r="B593" s="21">
        <v>45348</v>
      </c>
      <c r="C593" s="109" t="s">
        <v>1152</v>
      </c>
      <c r="D593" s="126" t="s">
        <v>1807</v>
      </c>
      <c r="E593" s="65"/>
      <c r="F593" t="s">
        <v>1617</v>
      </c>
      <c r="G593" s="161">
        <f>MONTH(EJECUTADO[[#This Row],[FECHA]])</f>
        <v>2</v>
      </c>
      <c r="H593" s="163" t="str">
        <f>MID(EJECUTADO[[#This Row],[CUENTA]],1,4)</f>
        <v>E-10</v>
      </c>
      <c r="I593" s="163" t="str">
        <f>INDEX(CATALOGO[Descripción],MATCH(EJECUTADO[[#This Row],[APLICACIÓN]]&amp;"-00-00-00",CATALOGO[Código],0))</f>
        <v>SERVICIOS PUBLICOS</v>
      </c>
      <c r="J5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593" s="161" t="str">
        <f>IF((EJECUTADO[[#This Row],[MONTO DISPONIBLE ]]-EJECUTADO[[#This Row],[MONTO SOLICITADO]])&gt;=0,"PRESUPUESTO: SI","PRESUPUESTO: NO")</f>
        <v>PRESUPUESTO: SI</v>
      </c>
      <c r="L593" s="162">
        <f>SUMIF(PRESUPUESTO[CUENTA],EJECUTADO[[#This Row],[CUENTA]],PRESUPUESTO[MONTO])-SUMIF($F$1:F592,EJECUTADO[[#This Row],[CUENTA]],$M$1:M592)</f>
        <v>49976.1</v>
      </c>
      <c r="M593" s="2">
        <v>11.95</v>
      </c>
      <c r="N593" s="84"/>
      <c r="O593" s="84"/>
      <c r="P593" s="162">
        <f>+EJECUTADO[[#This Row],[MONTO SOLICITADO]]-EJECUTADO[[#This Row],[RETENCION IVA]]-EJECUTADO[[#This Row],[RETENCION ISR]]</f>
        <v>11.95</v>
      </c>
      <c r="Q593" s="84" t="s">
        <v>1000</v>
      </c>
      <c r="R593" s="84"/>
      <c r="S593">
        <v>1</v>
      </c>
      <c r="T593" s="168" t="str">
        <f t="shared" si="18"/>
        <v>SERVICIOS PUBLICOS - SERVICIO TELEFÓNICO Disponible $49976.1 Solicitado $11.95 PRESUPUESTO: SI</v>
      </c>
    </row>
    <row r="594" spans="1:20" ht="30" x14ac:dyDescent="0.25">
      <c r="A594" s="6">
        <f t="shared" si="19"/>
        <v>589</v>
      </c>
      <c r="B594" s="21">
        <v>45348</v>
      </c>
      <c r="C594" s="110" t="s">
        <v>1152</v>
      </c>
      <c r="D594" s="126" t="s">
        <v>1010</v>
      </c>
      <c r="E594" s="65"/>
      <c r="F594" t="s">
        <v>1808</v>
      </c>
      <c r="G594" s="161">
        <f>MONTH(EJECUTADO[[#This Row],[FECHA]])</f>
        <v>2</v>
      </c>
      <c r="H594" s="163" t="str">
        <f>MID(EJECUTADO[[#This Row],[CUENTA]],1,4)</f>
        <v>E-17</v>
      </c>
      <c r="I594" s="163" t="str">
        <f>INDEX(CATALOGO[Descripción],MATCH(EJECUTADO[[#This Row],[APLICACIÓN]]&amp;"-00-00-00",CATALOGO[Código],0))</f>
        <v>MEDIOS DE COMUNICACIÓN</v>
      </c>
      <c r="J5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Mantenimiento de vehículo - Estudio de TV</v>
      </c>
      <c r="K594" s="161" t="str">
        <f>IF((EJECUTADO[[#This Row],[MONTO DISPONIBLE ]]-EJECUTADO[[#This Row],[MONTO SOLICITADO]])&gt;=0,"PRESUPUESTO: SI","PRESUPUESTO: NO")</f>
        <v>PRESUPUESTO: SI</v>
      </c>
      <c r="L594" s="162">
        <f>SUMIF(PRESUPUESTO[CUENTA],EJECUTADO[[#This Row],[CUENTA]],PRESUPUESTO[MONTO])-SUMIF($F$1:F593,EJECUTADO[[#This Row],[CUENTA]],$M$1:M593)</f>
        <v>200</v>
      </c>
      <c r="M594" s="2">
        <v>30</v>
      </c>
      <c r="N594" s="84"/>
      <c r="O594" s="84"/>
      <c r="P594" s="162">
        <f>+EJECUTADO[[#This Row],[MONTO SOLICITADO]]-EJECUTADO[[#This Row],[RETENCION IVA]]-EJECUTADO[[#This Row],[RETENCION ISR]]</f>
        <v>30</v>
      </c>
      <c r="Q594" s="84" t="s">
        <v>1000</v>
      </c>
      <c r="R594" s="84"/>
      <c r="S594">
        <v>1</v>
      </c>
      <c r="T594" s="168" t="str">
        <f t="shared" si="18"/>
        <v>MEDIOS DE COMUNICACIÓN - Estudio de TV - Mantenimiento de vehículo - Estudio de TV Disponible $200 Solicitado $30 PRESUPUESTO: SI</v>
      </c>
    </row>
    <row r="595" spans="1:20" ht="30" x14ac:dyDescent="0.25">
      <c r="A595" s="6">
        <f t="shared" si="19"/>
        <v>590</v>
      </c>
      <c r="B595" s="21">
        <v>45348</v>
      </c>
      <c r="C595" s="109" t="s">
        <v>1152</v>
      </c>
      <c r="D595" s="126" t="s">
        <v>1583</v>
      </c>
      <c r="E595" s="65"/>
      <c r="F595" t="s">
        <v>1808</v>
      </c>
      <c r="G595" s="161">
        <f>MONTH(EJECUTADO[[#This Row],[FECHA]])</f>
        <v>2</v>
      </c>
      <c r="H595" s="163" t="str">
        <f>MID(EJECUTADO[[#This Row],[CUENTA]],1,4)</f>
        <v>E-17</v>
      </c>
      <c r="I595" s="163" t="str">
        <f>INDEX(CATALOGO[Descripción],MATCH(EJECUTADO[[#This Row],[APLICACIÓN]]&amp;"-00-00-00",CATALOGO[Código],0))</f>
        <v>MEDIOS DE COMUNICACIÓN</v>
      </c>
      <c r="J5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Mantenimiento de vehículo - Estudio de TV</v>
      </c>
      <c r="K595" s="161" t="str">
        <f>IF((EJECUTADO[[#This Row],[MONTO DISPONIBLE ]]-EJECUTADO[[#This Row],[MONTO SOLICITADO]])&gt;=0,"PRESUPUESTO: SI","PRESUPUESTO: NO")</f>
        <v>PRESUPUESTO: SI</v>
      </c>
      <c r="L595" s="162">
        <f>SUMIF(PRESUPUESTO[CUENTA],EJECUTADO[[#This Row],[CUENTA]],PRESUPUESTO[MONTO])-SUMIF($F$1:F594,EJECUTADO[[#This Row],[CUENTA]],$M$1:M594)</f>
        <v>170</v>
      </c>
      <c r="M595" s="2">
        <v>6</v>
      </c>
      <c r="N595" s="84"/>
      <c r="O595" s="84"/>
      <c r="P595" s="162">
        <f>+EJECUTADO[[#This Row],[MONTO SOLICITADO]]-EJECUTADO[[#This Row],[RETENCION IVA]]-EJECUTADO[[#This Row],[RETENCION ISR]]</f>
        <v>6</v>
      </c>
      <c r="Q595" s="84" t="s">
        <v>1000</v>
      </c>
      <c r="R595" s="84"/>
      <c r="S595">
        <v>1</v>
      </c>
      <c r="T595" s="168" t="str">
        <f t="shared" si="18"/>
        <v>MEDIOS DE COMUNICACIÓN - Estudio de TV - Mantenimiento de vehículo - Estudio de TV Disponible $170 Solicitado $6 PRESUPUESTO: SI</v>
      </c>
    </row>
    <row r="596" spans="1:20" ht="30" x14ac:dyDescent="0.25">
      <c r="A596" s="6">
        <f t="shared" si="19"/>
        <v>591</v>
      </c>
      <c r="B596" s="21">
        <v>45348</v>
      </c>
      <c r="C596" s="110" t="s">
        <v>1152</v>
      </c>
      <c r="D596" s="126" t="s">
        <v>1809</v>
      </c>
      <c r="E596" s="65"/>
      <c r="F596" t="s">
        <v>1810</v>
      </c>
      <c r="G596" s="161">
        <f>MONTH(EJECUTADO[[#This Row],[FECHA]])</f>
        <v>2</v>
      </c>
      <c r="H596" s="163" t="str">
        <f>MID(EJECUTADO[[#This Row],[CUENTA]],1,4)</f>
        <v>E-17</v>
      </c>
      <c r="I596" s="163" t="str">
        <f>INDEX(CATALOGO[Descripción],MATCH(EJECUTADO[[#This Row],[APLICACIÓN]]&amp;"-00-00-00",CATALOGO[Código],0))</f>
        <v>MEDIOS DE COMUNICACIÓN</v>
      </c>
      <c r="J5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Mantenimiento equipo - Estudio de TV</v>
      </c>
      <c r="K596" s="161" t="str">
        <f>IF((EJECUTADO[[#This Row],[MONTO DISPONIBLE ]]-EJECUTADO[[#This Row],[MONTO SOLICITADO]])&gt;=0,"PRESUPUESTO: SI","PRESUPUESTO: NO")</f>
        <v>PRESUPUESTO: SI</v>
      </c>
      <c r="L596" s="162">
        <f>SUMIF(PRESUPUESTO[CUENTA],EJECUTADO[[#This Row],[CUENTA]],PRESUPUESTO[MONTO])-SUMIF($F$1:F595,EJECUTADO[[#This Row],[CUENTA]],$M$1:M595)</f>
        <v>1000</v>
      </c>
      <c r="M596" s="2">
        <v>201.05</v>
      </c>
      <c r="N596" s="84"/>
      <c r="O596" s="84"/>
      <c r="P596" s="162">
        <f>+EJECUTADO[[#This Row],[MONTO SOLICITADO]]-EJECUTADO[[#This Row],[RETENCION IVA]]-EJECUTADO[[#This Row],[RETENCION ISR]]</f>
        <v>201.05</v>
      </c>
      <c r="Q596" s="84" t="s">
        <v>1000</v>
      </c>
      <c r="R596" s="84"/>
      <c r="S596">
        <v>1</v>
      </c>
      <c r="T596" s="168" t="str">
        <f t="shared" si="18"/>
        <v>MEDIOS DE COMUNICACIÓN - Estudio de TV - Mantenimiento equipo - Estudio de TV Disponible $1000 Solicitado $201.05 PRESUPUESTO: SI</v>
      </c>
    </row>
    <row r="597" spans="1:20" ht="30" x14ac:dyDescent="0.25">
      <c r="A597" s="6">
        <f t="shared" si="19"/>
        <v>592</v>
      </c>
      <c r="B597" s="21">
        <v>45348</v>
      </c>
      <c r="C597" s="109" t="s">
        <v>1152</v>
      </c>
      <c r="D597" s="126" t="s">
        <v>1811</v>
      </c>
      <c r="E597" s="65"/>
      <c r="F597" t="s">
        <v>1355</v>
      </c>
      <c r="G597" s="161">
        <f>MONTH(EJECUTADO[[#This Row],[FECHA]])</f>
        <v>2</v>
      </c>
      <c r="H597" s="163" t="str">
        <f>MID(EJECUTADO[[#This Row],[CUENTA]],1,4)</f>
        <v>E-19</v>
      </c>
      <c r="I597" s="163" t="str">
        <f>INDEX(CATALOGO[Descripción],MATCH(EJECUTADO[[#This Row],[APLICACIÓN]]&amp;"-00-00-00",CATALOGO[Código],0))</f>
        <v>MANTENIMIENTO</v>
      </c>
      <c r="J59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97" s="161" t="str">
        <f>IF((EJECUTADO[[#This Row],[MONTO DISPONIBLE ]]-EJECUTADO[[#This Row],[MONTO SOLICITADO]])&gt;=0,"PRESUPUESTO: SI","PRESUPUESTO: NO")</f>
        <v>PRESUPUESTO: NO</v>
      </c>
      <c r="L597" s="162">
        <f>SUMIF(PRESUPUESTO[CUENTA],EJECUTADO[[#This Row],[CUENTA]],PRESUPUESTO[MONTO])-SUMIF($F$1:F596,EJECUTADO[[#This Row],[CUENTA]],$M$1:M596)</f>
        <v>-6678.8899999999994</v>
      </c>
      <c r="M597" s="2">
        <v>14.12</v>
      </c>
      <c r="N597" s="84"/>
      <c r="O597" s="84"/>
      <c r="P597" s="162">
        <f>+EJECUTADO[[#This Row],[MONTO SOLICITADO]]-EJECUTADO[[#This Row],[RETENCION IVA]]-EJECUTADO[[#This Row],[RETENCION ISR]]</f>
        <v>14.12</v>
      </c>
      <c r="Q597" s="84" t="s">
        <v>1000</v>
      </c>
      <c r="R597" s="84"/>
      <c r="S597">
        <v>1</v>
      </c>
      <c r="T597" s="168" t="e">
        <f t="shared" si="18"/>
        <v>#N/A</v>
      </c>
    </row>
    <row r="598" spans="1:20" ht="30" x14ac:dyDescent="0.25">
      <c r="A598" s="6">
        <f t="shared" si="19"/>
        <v>593</v>
      </c>
      <c r="B598" s="21">
        <v>45348</v>
      </c>
      <c r="C598" s="110" t="s">
        <v>1152</v>
      </c>
      <c r="D598" s="126" t="s">
        <v>1812</v>
      </c>
      <c r="E598" s="65"/>
      <c r="F598" t="s">
        <v>1355</v>
      </c>
      <c r="G598" s="161">
        <f>MONTH(EJECUTADO[[#This Row],[FECHA]])</f>
        <v>2</v>
      </c>
      <c r="H598" s="163" t="str">
        <f>MID(EJECUTADO[[#This Row],[CUENTA]],1,4)</f>
        <v>E-19</v>
      </c>
      <c r="I598" s="163" t="str">
        <f>INDEX(CATALOGO[Descripción],MATCH(EJECUTADO[[#This Row],[APLICACIÓN]]&amp;"-00-00-00",CATALOGO[Código],0))</f>
        <v>MANTENIMIENTO</v>
      </c>
      <c r="J5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598" s="161" t="str">
        <f>IF((EJECUTADO[[#This Row],[MONTO DISPONIBLE ]]-EJECUTADO[[#This Row],[MONTO SOLICITADO]])&gt;=0,"PRESUPUESTO: SI","PRESUPUESTO: NO")</f>
        <v>PRESUPUESTO: NO</v>
      </c>
      <c r="L598" s="162">
        <f>SUMIF(PRESUPUESTO[CUENTA],EJECUTADO[[#This Row],[CUENTA]],PRESUPUESTO[MONTO])-SUMIF($F$1:F597,EJECUTADO[[#This Row],[CUENTA]],$M$1:M597)</f>
        <v>-6693.0099999999993</v>
      </c>
      <c r="M598" s="2">
        <v>5.25</v>
      </c>
      <c r="N598" s="84"/>
      <c r="O598" s="84"/>
      <c r="P598" s="162">
        <f>+EJECUTADO[[#This Row],[MONTO SOLICITADO]]-EJECUTADO[[#This Row],[RETENCION IVA]]-EJECUTADO[[#This Row],[RETENCION ISR]]</f>
        <v>5.25</v>
      </c>
      <c r="Q598" s="84" t="s">
        <v>1000</v>
      </c>
      <c r="R598" s="84"/>
      <c r="S598">
        <v>1</v>
      </c>
      <c r="T598" s="168" t="e">
        <f t="shared" si="18"/>
        <v>#N/A</v>
      </c>
    </row>
    <row r="599" spans="1:20" ht="30" x14ac:dyDescent="0.25">
      <c r="A599" s="6">
        <f t="shared" si="19"/>
        <v>594</v>
      </c>
      <c r="B599" s="21">
        <v>45348</v>
      </c>
      <c r="C599" s="109" t="s">
        <v>1152</v>
      </c>
      <c r="D599" s="126" t="s">
        <v>1813</v>
      </c>
      <c r="E599" s="65"/>
      <c r="F599" t="s">
        <v>1582</v>
      </c>
      <c r="G599" s="161">
        <f>MONTH(EJECUTADO[[#This Row],[FECHA]])</f>
        <v>2</v>
      </c>
      <c r="H599" s="163" t="str">
        <f>MID(EJECUTADO[[#This Row],[CUENTA]],1,4)</f>
        <v>E-19</v>
      </c>
      <c r="I599" s="163" t="str">
        <f>INDEX(CATALOGO[Descripción],MATCH(EJECUTADO[[#This Row],[APLICACIÓN]]&amp;"-00-00-00",CATALOGO[Código],0))</f>
        <v>MANTENIMIENTO</v>
      </c>
      <c r="J5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599" s="161" t="str">
        <f>IF((EJECUTADO[[#This Row],[MONTO DISPONIBLE ]]-EJECUTADO[[#This Row],[MONTO SOLICITADO]])&gt;=0,"PRESUPUESTO: SI","PRESUPUESTO: NO")</f>
        <v>PRESUPUESTO: SI</v>
      </c>
      <c r="L599" s="162">
        <f>SUMIF(PRESUPUESTO[CUENTA],EJECUTADO[[#This Row],[CUENTA]],PRESUPUESTO[MONTO])-SUMIF($F$1:F598,EJECUTADO[[#This Row],[CUENTA]],$M$1:M598)</f>
        <v>5348.24</v>
      </c>
      <c r="M599" s="2">
        <v>2.39</v>
      </c>
      <c r="N599" s="84"/>
      <c r="O599" s="84"/>
      <c r="P599" s="162">
        <f>+EJECUTADO[[#This Row],[MONTO SOLICITADO]]-EJECUTADO[[#This Row],[RETENCION IVA]]-EJECUTADO[[#This Row],[RETENCION ISR]]</f>
        <v>2.39</v>
      </c>
      <c r="Q599" s="84" t="s">
        <v>1000</v>
      </c>
      <c r="R599" s="84"/>
      <c r="S599">
        <v>1</v>
      </c>
      <c r="T599" s="168" t="str">
        <f t="shared" si="18"/>
        <v>MANTENIMIENTO - Dir. Mantenimiento - Materiales Eléctricos  Disponible $5348.24 Solicitado $2.39 PRESUPUESTO: SI</v>
      </c>
    </row>
    <row r="600" spans="1:20" ht="60" x14ac:dyDescent="0.25">
      <c r="A600" s="6">
        <f t="shared" si="19"/>
        <v>595</v>
      </c>
      <c r="B600" s="21">
        <v>45348</v>
      </c>
      <c r="C600" s="110" t="s">
        <v>1152</v>
      </c>
      <c r="D600" s="126" t="s">
        <v>1814</v>
      </c>
      <c r="E600" s="65"/>
      <c r="F600" t="s">
        <v>1355</v>
      </c>
      <c r="G600" s="161">
        <f>MONTH(EJECUTADO[[#This Row],[FECHA]])</f>
        <v>2</v>
      </c>
      <c r="H600" s="163" t="str">
        <f>MID(EJECUTADO[[#This Row],[CUENTA]],1,4)</f>
        <v>E-19</v>
      </c>
      <c r="I600" s="163" t="str">
        <f>INDEX(CATALOGO[Descripción],MATCH(EJECUTADO[[#This Row],[APLICACIÓN]]&amp;"-00-00-00",CATALOGO[Código],0))</f>
        <v>MANTENIMIENTO</v>
      </c>
      <c r="J60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600" s="161" t="str">
        <f>IF((EJECUTADO[[#This Row],[MONTO DISPONIBLE ]]-EJECUTADO[[#This Row],[MONTO SOLICITADO]])&gt;=0,"PRESUPUESTO: SI","PRESUPUESTO: NO")</f>
        <v>PRESUPUESTO: NO</v>
      </c>
      <c r="L600" s="162">
        <f>SUMIF(PRESUPUESTO[CUENTA],EJECUTADO[[#This Row],[CUENTA]],PRESUPUESTO[MONTO])-SUMIF($F$1:F599,EJECUTADO[[#This Row],[CUENTA]],$M$1:M599)</f>
        <v>-6698.2599999999993</v>
      </c>
      <c r="M600" s="2">
        <v>215</v>
      </c>
      <c r="N600" s="84"/>
      <c r="O600" s="84"/>
      <c r="P600" s="162">
        <f>+EJECUTADO[[#This Row],[MONTO SOLICITADO]]-EJECUTADO[[#This Row],[RETENCION IVA]]-EJECUTADO[[#This Row],[RETENCION ISR]]</f>
        <v>215</v>
      </c>
      <c r="Q600" s="84" t="s">
        <v>1000</v>
      </c>
      <c r="R600" s="84"/>
      <c r="S600">
        <v>1</v>
      </c>
      <c r="T600" s="168" t="e">
        <f t="shared" si="18"/>
        <v>#N/A</v>
      </c>
    </row>
    <row r="601" spans="1:20" ht="45" x14ac:dyDescent="0.25">
      <c r="A601" s="6">
        <f t="shared" si="19"/>
        <v>596</v>
      </c>
      <c r="B601" s="21">
        <v>45348</v>
      </c>
      <c r="C601" s="109" t="s">
        <v>1152</v>
      </c>
      <c r="D601" s="126" t="s">
        <v>1815</v>
      </c>
      <c r="E601" s="65"/>
      <c r="F601" t="s">
        <v>1355</v>
      </c>
      <c r="G601" s="161">
        <f>MONTH(EJECUTADO[[#This Row],[FECHA]])</f>
        <v>2</v>
      </c>
      <c r="H601" s="163" t="str">
        <f>MID(EJECUTADO[[#This Row],[CUENTA]],1,4)</f>
        <v>E-19</v>
      </c>
      <c r="I601" s="163" t="str">
        <f>INDEX(CATALOGO[Descripción],MATCH(EJECUTADO[[#This Row],[APLICACIÓN]]&amp;"-00-00-00",CATALOGO[Código],0))</f>
        <v>MANTENIMIENTO</v>
      </c>
      <c r="J60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601" s="161" t="str">
        <f>IF((EJECUTADO[[#This Row],[MONTO DISPONIBLE ]]-EJECUTADO[[#This Row],[MONTO SOLICITADO]])&gt;=0,"PRESUPUESTO: SI","PRESUPUESTO: NO")</f>
        <v>PRESUPUESTO: NO</v>
      </c>
      <c r="L601" s="162">
        <f>SUMIF(PRESUPUESTO[CUENTA],EJECUTADO[[#This Row],[CUENTA]],PRESUPUESTO[MONTO])-SUMIF($F$1:F600,EJECUTADO[[#This Row],[CUENTA]],$M$1:M600)</f>
        <v>-6913.2599999999993</v>
      </c>
      <c r="M601" s="2">
        <v>89</v>
      </c>
      <c r="N601" s="84"/>
      <c r="O601" s="84"/>
      <c r="P601" s="162">
        <f>+EJECUTADO[[#This Row],[MONTO SOLICITADO]]-EJECUTADO[[#This Row],[RETENCION IVA]]-EJECUTADO[[#This Row],[RETENCION ISR]]</f>
        <v>89</v>
      </c>
      <c r="Q601" s="84" t="s">
        <v>1000</v>
      </c>
      <c r="R601" s="84"/>
      <c r="S601">
        <v>1</v>
      </c>
      <c r="T601" s="168" t="e">
        <f t="shared" si="18"/>
        <v>#N/A</v>
      </c>
    </row>
    <row r="602" spans="1:20" ht="30" x14ac:dyDescent="0.25">
      <c r="A602" s="6">
        <f t="shared" si="19"/>
        <v>597</v>
      </c>
      <c r="B602" s="21">
        <v>45348</v>
      </c>
      <c r="C602" s="110" t="s">
        <v>1152</v>
      </c>
      <c r="D602" s="126" t="s">
        <v>1816</v>
      </c>
      <c r="E602" s="65"/>
      <c r="F602" t="s">
        <v>1768</v>
      </c>
      <c r="G602" s="161">
        <f>MONTH(EJECUTADO[[#This Row],[FECHA]])</f>
        <v>2</v>
      </c>
      <c r="H602" s="163" t="str">
        <f>MID(EJECUTADO[[#This Row],[CUENTA]],1,4)</f>
        <v>E-19</v>
      </c>
      <c r="I602" s="163" t="str">
        <f>INDEX(CATALOGO[Descripción],MATCH(EJECUTADO[[#This Row],[APLICACIÓN]]&amp;"-00-00-00",CATALOGO[Código],0))</f>
        <v>MANTENIMIENTO</v>
      </c>
      <c r="J6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602" s="161" t="str">
        <f>IF((EJECUTADO[[#This Row],[MONTO DISPONIBLE ]]-EJECUTADO[[#This Row],[MONTO SOLICITADO]])&gt;=0,"PRESUPUESTO: SI","PRESUPUESTO: NO")</f>
        <v>PRESUPUESTO: SI</v>
      </c>
      <c r="L602" s="162">
        <f>SUMIF(PRESUPUESTO[CUENTA],EJECUTADO[[#This Row],[CUENTA]],PRESUPUESTO[MONTO])-SUMIF($F$1:F601,EJECUTADO[[#This Row],[CUENTA]],$M$1:M601)</f>
        <v>6113.78</v>
      </c>
      <c r="M602" s="2">
        <v>84.45</v>
      </c>
      <c r="N602" s="84"/>
      <c r="O602" s="84"/>
      <c r="P602" s="162">
        <f>+EJECUTADO[[#This Row],[MONTO SOLICITADO]]-EJECUTADO[[#This Row],[RETENCION IVA]]-EJECUTADO[[#This Row],[RETENCION ISR]]</f>
        <v>84.45</v>
      </c>
      <c r="Q602" s="84" t="s">
        <v>1000</v>
      </c>
      <c r="R602" s="84"/>
      <c r="S602">
        <v>1</v>
      </c>
      <c r="T602" s="168" t="str">
        <f t="shared" si="18"/>
        <v>MANTENIMIENTO - Dir. Mantenimiento - Materiales para Construcción  Disponible $6113.78 Solicitado $84.45 PRESUPUESTO: SI</v>
      </c>
    </row>
    <row r="603" spans="1:20" ht="30" x14ac:dyDescent="0.25">
      <c r="A603" s="6">
        <f t="shared" si="19"/>
        <v>598</v>
      </c>
      <c r="B603" s="21">
        <v>45348</v>
      </c>
      <c r="C603" s="109" t="s">
        <v>1152</v>
      </c>
      <c r="D603" s="126" t="s">
        <v>1681</v>
      </c>
      <c r="E603" s="65"/>
      <c r="F603" t="s">
        <v>1008</v>
      </c>
      <c r="G603" s="161">
        <f>MONTH(EJECUTADO[[#This Row],[FECHA]])</f>
        <v>2</v>
      </c>
      <c r="H603" s="163" t="str">
        <f>MID(EJECUTADO[[#This Row],[CUENTA]],1,4)</f>
        <v>E-19</v>
      </c>
      <c r="I603" s="163" t="str">
        <f>INDEX(CATALOGO[Descripción],MATCH(EJECUTADO[[#This Row],[APLICACIÓN]]&amp;"-00-00-00",CATALOGO[Código],0))</f>
        <v>MANTENIMIENTO</v>
      </c>
      <c r="J6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603" s="161" t="str">
        <f>IF((EJECUTADO[[#This Row],[MONTO DISPONIBLE ]]-EJECUTADO[[#This Row],[MONTO SOLICITADO]])&gt;=0,"PRESUPUESTO: SI","PRESUPUESTO: NO")</f>
        <v>PRESUPUESTO: SI</v>
      </c>
      <c r="L603" s="162">
        <f>SUMIF(PRESUPUESTO[CUENTA],EJECUTADO[[#This Row],[CUENTA]],PRESUPUESTO[MONTO])-SUMIF($F$1:F602,EJECUTADO[[#This Row],[CUENTA]],$M$1:M602)</f>
        <v>8657.32</v>
      </c>
      <c r="M603" s="2">
        <v>13</v>
      </c>
      <c r="N603" s="84"/>
      <c r="O603" s="84"/>
      <c r="P603" s="162">
        <f>+EJECUTADO[[#This Row],[MONTO SOLICITADO]]-EJECUTADO[[#This Row],[RETENCION IVA]]-EJECUTADO[[#This Row],[RETENCION ISR]]</f>
        <v>13</v>
      </c>
      <c r="Q603" s="84" t="s">
        <v>1000</v>
      </c>
      <c r="R603" s="84"/>
      <c r="S603">
        <v>1</v>
      </c>
      <c r="T603" s="168" t="str">
        <f t="shared" si="18"/>
        <v>MANTENIMIENTO - Dir. Mantenimiento - Manto. Oficinas, Mobiliario y equipos Disponible $8657.32 Solicitado $13 PRESUPUESTO: SI</v>
      </c>
    </row>
    <row r="604" spans="1:20" ht="45" x14ac:dyDescent="0.25">
      <c r="A604" s="6">
        <f t="shared" si="19"/>
        <v>599</v>
      </c>
      <c r="B604" s="21">
        <v>45348</v>
      </c>
      <c r="C604" s="110" t="s">
        <v>1152</v>
      </c>
      <c r="D604" s="126" t="s">
        <v>1817</v>
      </c>
      <c r="E604" s="65"/>
      <c r="F604" t="s">
        <v>1635</v>
      </c>
      <c r="G604" s="161">
        <f>MONTH(EJECUTADO[[#This Row],[FECHA]])</f>
        <v>2</v>
      </c>
      <c r="H604" s="163" t="str">
        <f>MID(EJECUTADO[[#This Row],[CUENTA]],1,4)</f>
        <v>E-24</v>
      </c>
      <c r="I604" s="163" t="str">
        <f>INDEX(CATALOGO[Descripción],MATCH(EJECUTADO[[#This Row],[APLICACIÓN]]&amp;"-00-00-00",CATALOGO[Código],0))</f>
        <v>NUEVO INGRESO</v>
      </c>
      <c r="J6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Viaticos y atenciones a Personal proceso inscripción</v>
      </c>
      <c r="K604" s="161" t="str">
        <f>IF((EJECUTADO[[#This Row],[MONTO DISPONIBLE ]]-EJECUTADO[[#This Row],[MONTO SOLICITADO]])&gt;=0,"PRESUPUESTO: SI","PRESUPUESTO: NO")</f>
        <v>PRESUPUESTO: SI</v>
      </c>
      <c r="L604" s="162">
        <f>SUMIF(PRESUPUESTO[CUENTA],EJECUTADO[[#This Row],[CUENTA]],PRESUPUESTO[MONTO])-SUMIF($F$1:F603,EJECUTADO[[#This Row],[CUENTA]],$M$1:M603)</f>
        <v>9883.5</v>
      </c>
      <c r="M604" s="2">
        <v>62.33</v>
      </c>
      <c r="N604" s="84"/>
      <c r="O604" s="84"/>
      <c r="P604" s="162">
        <f>+EJECUTADO[[#This Row],[MONTO SOLICITADO]]-EJECUTADO[[#This Row],[RETENCION IVA]]-EJECUTADO[[#This Row],[RETENCION ISR]]</f>
        <v>62.33</v>
      </c>
      <c r="Q604" s="84" t="s">
        <v>1000</v>
      </c>
      <c r="R604" s="84"/>
      <c r="S604">
        <v>1</v>
      </c>
      <c r="T604" s="168" t="str">
        <f t="shared" si="18"/>
        <v>NUEVO INGRESO - Viaticos y atenciones a Personal proceso inscripción Disponible $9883.5 Solicitado $62.33 PRESUPUESTO: SI</v>
      </c>
    </row>
    <row r="605" spans="1:20" x14ac:dyDescent="0.25">
      <c r="A605" s="6">
        <f t="shared" si="19"/>
        <v>600</v>
      </c>
      <c r="B605" s="21">
        <v>45348</v>
      </c>
      <c r="C605" s="109" t="s">
        <v>1818</v>
      </c>
      <c r="D605" s="126" t="s">
        <v>1819</v>
      </c>
      <c r="E605" s="65"/>
      <c r="F605" t="s">
        <v>1708</v>
      </c>
      <c r="G605" s="161">
        <f>MONTH(EJECUTADO[[#This Row],[FECHA]])</f>
        <v>2</v>
      </c>
      <c r="H605" s="163" t="str">
        <f>MID(EJECUTADO[[#This Row],[CUENTA]],1,4)</f>
        <v>E-25</v>
      </c>
      <c r="I605" s="163" t="str">
        <f>INDEX(CATALOGO[Descripción],MATCH(EJECUTADO[[#This Row],[APLICACIÓN]]&amp;"-00-00-00",CATALOGO[Código],0))</f>
        <v>DECANATO DE ESTUDIANTES</v>
      </c>
      <c r="J6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Uniformes Deportivos</v>
      </c>
      <c r="K605" s="161" t="str">
        <f>IF((EJECUTADO[[#This Row],[MONTO DISPONIBLE ]]-EJECUTADO[[#This Row],[MONTO SOLICITADO]])&gt;=0,"PRESUPUESTO: SI","PRESUPUESTO: NO")</f>
        <v>PRESUPUESTO: SI</v>
      </c>
      <c r="L605" s="162">
        <f>SUMIF(PRESUPUESTO[CUENTA],EJECUTADO[[#This Row],[CUENTA]],PRESUPUESTO[MONTO])-SUMIF($F$1:F604,EJECUTADO[[#This Row],[CUENTA]],$M$1:M604)</f>
        <v>6053.19</v>
      </c>
      <c r="M605" s="2">
        <v>46.25</v>
      </c>
      <c r="N605" s="84"/>
      <c r="O605" s="84"/>
      <c r="P605" s="162">
        <f>+EJECUTADO[[#This Row],[MONTO SOLICITADO]]-EJECUTADO[[#This Row],[RETENCION IVA]]-EJECUTADO[[#This Row],[RETENCION ISR]]</f>
        <v>46.25</v>
      </c>
      <c r="Q605" s="84" t="s">
        <v>1000</v>
      </c>
      <c r="R605" s="84"/>
      <c r="S605">
        <v>1</v>
      </c>
      <c r="T605" s="168" t="str">
        <f t="shared" si="18"/>
        <v>DECANATO DE ESTUDIANTES - U. recreación y deportes - Uniformes Deportivos Disponible $6053.19 Solicitado $46.25 PRESUPUESTO: SI</v>
      </c>
    </row>
    <row r="606" spans="1:20" x14ac:dyDescent="0.25">
      <c r="A606" s="6">
        <f t="shared" si="19"/>
        <v>601</v>
      </c>
      <c r="B606" s="21">
        <v>45348</v>
      </c>
      <c r="C606" s="110" t="s">
        <v>1818</v>
      </c>
      <c r="D606" s="126" t="s">
        <v>1820</v>
      </c>
      <c r="E606" s="65"/>
      <c r="F606" t="s">
        <v>1708</v>
      </c>
      <c r="G606" s="161">
        <f>MONTH(EJECUTADO[[#This Row],[FECHA]])</f>
        <v>2</v>
      </c>
      <c r="H606" s="163" t="str">
        <f>MID(EJECUTADO[[#This Row],[CUENTA]],1,4)</f>
        <v>E-25</v>
      </c>
      <c r="I606" s="163" t="str">
        <f>INDEX(CATALOGO[Descripción],MATCH(EJECUTADO[[#This Row],[APLICACIÓN]]&amp;"-00-00-00",CATALOGO[Código],0))</f>
        <v>DECANATO DE ESTUDIANTES</v>
      </c>
      <c r="J6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Uniformes Deportivos</v>
      </c>
      <c r="K606" s="161" t="str">
        <f>IF((EJECUTADO[[#This Row],[MONTO DISPONIBLE ]]-EJECUTADO[[#This Row],[MONTO SOLICITADO]])&gt;=0,"PRESUPUESTO: SI","PRESUPUESTO: NO")</f>
        <v>PRESUPUESTO: SI</v>
      </c>
      <c r="L606" s="162">
        <f>SUMIF(PRESUPUESTO[CUENTA],EJECUTADO[[#This Row],[CUENTA]],PRESUPUESTO[MONTO])-SUMIF($F$1:F605,EJECUTADO[[#This Row],[CUENTA]],$M$1:M605)</f>
        <v>6006.94</v>
      </c>
      <c r="M606" s="2">
        <v>78.75</v>
      </c>
      <c r="N606" s="84"/>
      <c r="O606" s="84"/>
      <c r="P606" s="162">
        <f>+EJECUTADO[[#This Row],[MONTO SOLICITADO]]-EJECUTADO[[#This Row],[RETENCION IVA]]-EJECUTADO[[#This Row],[RETENCION ISR]]</f>
        <v>78.75</v>
      </c>
      <c r="Q606" s="84" t="s">
        <v>1000</v>
      </c>
      <c r="R606" s="84"/>
      <c r="S606">
        <v>1</v>
      </c>
      <c r="T606" s="168" t="str">
        <f t="shared" si="18"/>
        <v>DECANATO DE ESTUDIANTES - U. recreación y deportes - Uniformes Deportivos Disponible $6006.94 Solicitado $78.75 PRESUPUESTO: SI</v>
      </c>
    </row>
    <row r="607" spans="1:20" x14ac:dyDescent="0.25">
      <c r="A607" s="6">
        <f t="shared" si="19"/>
        <v>602</v>
      </c>
      <c r="B607" s="21">
        <v>45348</v>
      </c>
      <c r="C607" s="109" t="s">
        <v>1818</v>
      </c>
      <c r="D607" s="126" t="s">
        <v>1821</v>
      </c>
      <c r="E607" s="65"/>
      <c r="F607" t="s">
        <v>1708</v>
      </c>
      <c r="G607" s="161">
        <f>MONTH(EJECUTADO[[#This Row],[FECHA]])</f>
        <v>2</v>
      </c>
      <c r="H607" s="163" t="str">
        <f>MID(EJECUTADO[[#This Row],[CUENTA]],1,4)</f>
        <v>E-25</v>
      </c>
      <c r="I607" s="163" t="str">
        <f>INDEX(CATALOGO[Descripción],MATCH(EJECUTADO[[#This Row],[APLICACIÓN]]&amp;"-00-00-00",CATALOGO[Código],0))</f>
        <v>DECANATO DE ESTUDIANTES</v>
      </c>
      <c r="J6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Uniformes Deportivos</v>
      </c>
      <c r="K607" s="161" t="str">
        <f>IF((EJECUTADO[[#This Row],[MONTO DISPONIBLE ]]-EJECUTADO[[#This Row],[MONTO SOLICITADO]])&gt;=0,"PRESUPUESTO: SI","PRESUPUESTO: NO")</f>
        <v>PRESUPUESTO: SI</v>
      </c>
      <c r="L607" s="162">
        <f>SUMIF(PRESUPUESTO[CUENTA],EJECUTADO[[#This Row],[CUENTA]],PRESUPUESTO[MONTO])-SUMIF($F$1:F606,EJECUTADO[[#This Row],[CUENTA]],$M$1:M606)</f>
        <v>5928.19</v>
      </c>
      <c r="M607" s="2">
        <v>93.99</v>
      </c>
      <c r="N607" s="84"/>
      <c r="O607" s="84"/>
      <c r="P607" s="162">
        <f>+EJECUTADO[[#This Row],[MONTO SOLICITADO]]-EJECUTADO[[#This Row],[RETENCION IVA]]-EJECUTADO[[#This Row],[RETENCION ISR]]</f>
        <v>93.99</v>
      </c>
      <c r="Q607" s="84" t="s">
        <v>1000</v>
      </c>
      <c r="R607" s="84"/>
      <c r="S607">
        <v>1</v>
      </c>
      <c r="T607" s="168" t="str">
        <f t="shared" si="18"/>
        <v>DECANATO DE ESTUDIANTES - U. recreación y deportes - Uniformes Deportivos Disponible $5928.19 Solicitado $93.99 PRESUPUESTO: SI</v>
      </c>
    </row>
    <row r="608" spans="1:20" ht="60" x14ac:dyDescent="0.25">
      <c r="A608" s="6">
        <f t="shared" si="19"/>
        <v>603</v>
      </c>
      <c r="B608" s="21">
        <v>45350</v>
      </c>
      <c r="C608" s="110" t="s">
        <v>1389</v>
      </c>
      <c r="D608" s="126" t="s">
        <v>1822</v>
      </c>
      <c r="E608" s="65"/>
      <c r="F608" s="37" t="s">
        <v>1008</v>
      </c>
      <c r="G608" s="161">
        <f>MONTH(EJECUTADO[[#This Row],[FECHA]])</f>
        <v>2</v>
      </c>
      <c r="H608" s="163" t="str">
        <f>MID(EJECUTADO[[#This Row],[CUENTA]],1,4)</f>
        <v>E-19</v>
      </c>
      <c r="I608" s="163" t="str">
        <f>INDEX(CATALOGO[Descripción],MATCH(EJECUTADO[[#This Row],[APLICACIÓN]]&amp;"-00-00-00",CATALOGO[Código],0))</f>
        <v>MANTENIMIENTO</v>
      </c>
      <c r="J6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608" s="161" t="str">
        <f>IF((EJECUTADO[[#This Row],[MONTO DISPONIBLE ]]-EJECUTADO[[#This Row],[MONTO SOLICITADO]])&gt;=0,"PRESUPUESTO: SI","PRESUPUESTO: NO")</f>
        <v>PRESUPUESTO: SI</v>
      </c>
      <c r="L608" s="162">
        <f>SUMIF(PRESUPUESTO[CUENTA],EJECUTADO[[#This Row],[CUENTA]],PRESUPUESTO[MONTO])-SUMIF($F$1:F607,EJECUTADO[[#This Row],[CUENTA]],$M$1:M607)</f>
        <v>8644.32</v>
      </c>
      <c r="M608" s="2">
        <v>618.75</v>
      </c>
      <c r="N608" s="84"/>
      <c r="O608" s="84"/>
      <c r="P608" s="162">
        <f>+EJECUTADO[[#This Row],[MONTO SOLICITADO]]-EJECUTADO[[#This Row],[RETENCION IVA]]-EJECUTADO[[#This Row],[RETENCION ISR]]</f>
        <v>618.75</v>
      </c>
      <c r="Q608" s="84" t="s">
        <v>1000</v>
      </c>
      <c r="R608" s="84"/>
      <c r="S608">
        <v>1</v>
      </c>
      <c r="T608" s="168" t="str">
        <f t="shared" si="18"/>
        <v>MANTENIMIENTO - Dir. Mantenimiento - Manto. Oficinas, Mobiliario y equipos Disponible $8644.32 Solicitado $618.75 PRESUPUESTO: SI</v>
      </c>
    </row>
    <row r="609" spans="1:20" ht="60" x14ac:dyDescent="0.25">
      <c r="A609" s="6">
        <f t="shared" si="19"/>
        <v>604</v>
      </c>
      <c r="B609" s="21">
        <v>45350</v>
      </c>
      <c r="C609" s="109" t="s">
        <v>1389</v>
      </c>
      <c r="D609" s="126" t="s">
        <v>1823</v>
      </c>
      <c r="E609" s="65"/>
      <c r="F609" t="s">
        <v>1008</v>
      </c>
      <c r="G609" s="161">
        <f>MONTH(EJECUTADO[[#This Row],[FECHA]])</f>
        <v>2</v>
      </c>
      <c r="H609" s="163" t="str">
        <f>MID(EJECUTADO[[#This Row],[CUENTA]],1,4)</f>
        <v>E-19</v>
      </c>
      <c r="I609" s="163" t="str">
        <f>INDEX(CATALOGO[Descripción],MATCH(EJECUTADO[[#This Row],[APLICACIÓN]]&amp;"-00-00-00",CATALOGO[Código],0))</f>
        <v>MANTENIMIENTO</v>
      </c>
      <c r="J6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609" s="161" t="str">
        <f>IF((EJECUTADO[[#This Row],[MONTO DISPONIBLE ]]-EJECUTADO[[#This Row],[MONTO SOLICITADO]])&gt;=0,"PRESUPUESTO: SI","PRESUPUESTO: NO")</f>
        <v>PRESUPUESTO: SI</v>
      </c>
      <c r="L609" s="162">
        <f>SUMIF(PRESUPUESTO[CUENTA],EJECUTADO[[#This Row],[CUENTA]],PRESUPUESTO[MONTO])-SUMIF($F$1:F608,EJECUTADO[[#This Row],[CUENTA]],$M$1:M608)</f>
        <v>8025.57</v>
      </c>
      <c r="M609" s="2">
        <v>82.5</v>
      </c>
      <c r="N609" s="84"/>
      <c r="O609" s="84"/>
      <c r="P609" s="162">
        <f>+EJECUTADO[[#This Row],[MONTO SOLICITADO]]-EJECUTADO[[#This Row],[RETENCION IVA]]-EJECUTADO[[#This Row],[RETENCION ISR]]</f>
        <v>82.5</v>
      </c>
      <c r="Q609" s="84" t="s">
        <v>1000</v>
      </c>
      <c r="R609" s="84"/>
      <c r="S609">
        <v>1</v>
      </c>
      <c r="T609" s="168" t="str">
        <f t="shared" si="18"/>
        <v>MANTENIMIENTO - Dir. Mantenimiento - Manto. Oficinas, Mobiliario y equipos Disponible $8025.57 Solicitado $82.5 PRESUPUESTO: SI</v>
      </c>
    </row>
    <row r="610" spans="1:20" ht="30" x14ac:dyDescent="0.25">
      <c r="A610" s="6">
        <f t="shared" si="19"/>
        <v>605</v>
      </c>
      <c r="B610" s="21">
        <v>45350</v>
      </c>
      <c r="C610" s="110" t="s">
        <v>1824</v>
      </c>
      <c r="D610" s="126" t="s">
        <v>1825</v>
      </c>
      <c r="E610" s="65" t="s">
        <v>1826</v>
      </c>
      <c r="F610" t="s">
        <v>1827</v>
      </c>
      <c r="G610" s="161">
        <f>MONTH(EJECUTADO[[#This Row],[FECHA]])</f>
        <v>2</v>
      </c>
      <c r="H610" s="163" t="str">
        <f>MID(EJECUTADO[[#This Row],[CUENTA]],1,4)</f>
        <v>E-07</v>
      </c>
      <c r="I610" s="163" t="str">
        <f>INDEX(CATALOGO[Descripción],MATCH(EJECUTADO[[#This Row],[APLICACIÓN]]&amp;"-00-00-00",CATALOGO[Código],0))</f>
        <v>SERVICIOS TECNOLOGICOS</v>
      </c>
      <c r="J6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Campus Agreement - Microsoft- Open Value- incluye IT Academy, Microsoft - 1 PACK mos Microsof y MTA FICA- Autodesk FICA- GBM Ampliación A-3E-3 e inteligencia de negocios. Licencia Active Directory premium nube de Azure</v>
      </c>
      <c r="K610" s="161" t="str">
        <f>IF((EJECUTADO[[#This Row],[MONTO DISPONIBLE ]]-EJECUTADO[[#This Row],[MONTO SOLICITADO]])&gt;=0,"PRESUPUESTO: SI","PRESUPUESTO: NO")</f>
        <v>PRESUPUESTO: SI</v>
      </c>
      <c r="L610" s="162">
        <f>SUMIF(PRESUPUESTO[CUENTA],EJECUTADO[[#This Row],[CUENTA]],PRESUPUESTO[MONTO])-SUMIF($F$1:F609,EJECUTADO[[#This Row],[CUENTA]],$M$1:M609)</f>
        <v>106000</v>
      </c>
      <c r="M610" s="2">
        <v>5718.15</v>
      </c>
      <c r="N610" s="84">
        <v>657.84</v>
      </c>
      <c r="O610" s="84">
        <v>1012.06</v>
      </c>
      <c r="P610" s="162">
        <f>+EJECUTADO[[#This Row],[MONTO SOLICITADO]]-EJECUTADO[[#This Row],[RETENCION IVA]]-EJECUTADO[[#This Row],[RETENCION ISR]]</f>
        <v>4048.2499999999995</v>
      </c>
      <c r="Q610" s="84" t="s">
        <v>1000</v>
      </c>
      <c r="R610" s="84"/>
      <c r="S610">
        <v>1</v>
      </c>
      <c r="T610" s="168" t="str">
        <f t="shared" si="18"/>
        <v>SERVICIOS TECNOLOGICOS - Campus Agreement - Microsoft- Open Value- incluye IT Academy, Microsoft - 1 PACK mos Microsof y MTA FICA- Autodesk FICA- GBM Ampliación A-3E-3 e inteligencia de negocios. Licencia Active Directory premium nube de Azure Disponible $106000 Solicitado $5718.15 PRESUPUESTO: SI</v>
      </c>
    </row>
    <row r="611" spans="1:20" ht="30" x14ac:dyDescent="0.25">
      <c r="A611" s="6">
        <f t="shared" si="19"/>
        <v>606</v>
      </c>
      <c r="B611" s="21">
        <v>45350</v>
      </c>
      <c r="C611" s="109" t="s">
        <v>1266</v>
      </c>
      <c r="D611" s="126" t="s">
        <v>250</v>
      </c>
      <c r="E611" s="65"/>
      <c r="F611" t="s">
        <v>1617</v>
      </c>
      <c r="G611" s="161">
        <f>MONTH(EJECUTADO[[#This Row],[FECHA]])</f>
        <v>2</v>
      </c>
      <c r="H611" s="163" t="str">
        <f>MID(EJECUTADO[[#This Row],[CUENTA]],1,4)</f>
        <v>E-10</v>
      </c>
      <c r="I611" s="163" t="str">
        <f>INDEX(CATALOGO[Descripción],MATCH(EJECUTADO[[#This Row],[APLICACIÓN]]&amp;"-00-00-00",CATALOGO[Código],0))</f>
        <v>SERVICIOS PUBLICOS</v>
      </c>
      <c r="J6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611" s="161" t="str">
        <f>IF((EJECUTADO[[#This Row],[MONTO DISPONIBLE ]]-EJECUTADO[[#This Row],[MONTO SOLICITADO]])&gt;=0,"PRESUPUESTO: SI","PRESUPUESTO: NO")</f>
        <v>PRESUPUESTO: SI</v>
      </c>
      <c r="L611" s="162">
        <f>SUMIF(PRESUPUESTO[CUENTA],EJECUTADO[[#This Row],[CUENTA]],PRESUPUESTO[MONTO])-SUMIF($F$1:F610,EJECUTADO[[#This Row],[CUENTA]],$M$1:M610)</f>
        <v>49964.15</v>
      </c>
      <c r="M611" s="2">
        <v>338.99</v>
      </c>
      <c r="N611" s="84"/>
      <c r="O611" s="84"/>
      <c r="P611" s="162">
        <f>+EJECUTADO[[#This Row],[MONTO SOLICITADO]]-EJECUTADO[[#This Row],[RETENCION IVA]]-EJECUTADO[[#This Row],[RETENCION ISR]]</f>
        <v>338.99</v>
      </c>
      <c r="Q611" s="84" t="s">
        <v>1000</v>
      </c>
      <c r="R611" s="84"/>
      <c r="S611">
        <v>1</v>
      </c>
      <c r="T611" s="168" t="str">
        <f t="shared" si="18"/>
        <v>SERVICIOS PUBLICOS - SERVICIO TELEFÓNICO Disponible $49964.15 Solicitado $338.99 PRESUPUESTO: SI</v>
      </c>
    </row>
    <row r="612" spans="1:20" ht="30" x14ac:dyDescent="0.25">
      <c r="A612" s="6">
        <f t="shared" si="19"/>
        <v>607</v>
      </c>
      <c r="B612" s="21">
        <v>45350</v>
      </c>
      <c r="C612" s="110" t="s">
        <v>1266</v>
      </c>
      <c r="D612" s="126" t="s">
        <v>250</v>
      </c>
      <c r="E612" s="65"/>
      <c r="F612" t="s">
        <v>1268</v>
      </c>
      <c r="G612" s="161">
        <f>MONTH(EJECUTADO[[#This Row],[FECHA]])</f>
        <v>2</v>
      </c>
      <c r="H612" s="163" t="str">
        <f>MID(EJECUTADO[[#This Row],[CUENTA]],1,4)</f>
        <v>E-13</v>
      </c>
      <c r="I612" s="163" t="str">
        <f>INDEX(CATALOGO[Descripción],MATCH(EJECUTADO[[#This Row],[APLICACIÓN]]&amp;"-00-00-00",CATALOGO[Código],0))</f>
        <v>MAESTRIAS Y POSTGRADOS</v>
      </c>
      <c r="J6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TELEFONO </v>
      </c>
      <c r="K612" s="161" t="str">
        <f>IF((EJECUTADO[[#This Row],[MONTO DISPONIBLE ]]-EJECUTADO[[#This Row],[MONTO SOLICITADO]])&gt;=0,"PRESUPUESTO: SI","PRESUPUESTO: NO")</f>
        <v>PRESUPUESTO: SI</v>
      </c>
      <c r="L612" s="162">
        <f>SUMIF(PRESUPUESTO[CUENTA],EJECUTADO[[#This Row],[CUENTA]],PRESUPUESTO[MONTO])-SUMIF($F$1:F611,EJECUTADO[[#This Row],[CUENTA]],$M$1:M611)</f>
        <v>3390.02</v>
      </c>
      <c r="M612" s="2">
        <v>338.99</v>
      </c>
      <c r="N612" s="84"/>
      <c r="O612" s="84"/>
      <c r="P612" s="162">
        <f>+EJECUTADO[[#This Row],[MONTO SOLICITADO]]-EJECUTADO[[#This Row],[RETENCION IVA]]-EJECUTADO[[#This Row],[RETENCION ISR]]</f>
        <v>338.99</v>
      </c>
      <c r="Q612" s="84" t="s">
        <v>1000</v>
      </c>
      <c r="R612" s="84"/>
      <c r="S612">
        <v>1</v>
      </c>
      <c r="T612" s="168" t="str">
        <f t="shared" si="18"/>
        <v>MAESTRIAS Y POSTGRADOS - SERVICIO DE TELEFONO  Disponible $3390.02 Solicitado $338.99 PRESUPUESTO: SI</v>
      </c>
    </row>
    <row r="613" spans="1:20" ht="30" x14ac:dyDescent="0.25">
      <c r="A613" s="6">
        <f t="shared" si="19"/>
        <v>608</v>
      </c>
      <c r="B613" s="21">
        <v>45350</v>
      </c>
      <c r="C613" s="109" t="s">
        <v>1266</v>
      </c>
      <c r="D613" s="126" t="s">
        <v>173</v>
      </c>
      <c r="E613" s="65"/>
      <c r="F613" t="s">
        <v>1271</v>
      </c>
      <c r="G613" s="161">
        <f>MONTH(EJECUTADO[[#This Row],[FECHA]])</f>
        <v>2</v>
      </c>
      <c r="H613" s="163" t="str">
        <f>MID(EJECUTADO[[#This Row],[CUENTA]],1,4)</f>
        <v>E-24</v>
      </c>
      <c r="I613" s="163" t="str">
        <f>INDEX(CATALOGO[Descripción],MATCH(EJECUTADO[[#This Row],[APLICACIÓN]]&amp;"-00-00-00",CATALOGO[Código],0))</f>
        <v>NUEVO INGRESO</v>
      </c>
      <c r="J6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Internet $ 203.*12</v>
      </c>
      <c r="K613" s="161" t="str">
        <f>IF((EJECUTADO[[#This Row],[MONTO DISPONIBLE ]]-EJECUTADO[[#This Row],[MONTO SOLICITADO]])&gt;=0,"PRESUPUESTO: SI","PRESUPUESTO: NO")</f>
        <v>PRESUPUESTO: SI</v>
      </c>
      <c r="L613" s="162">
        <f>SUMIF(PRESUPUESTO[CUENTA],EJECUTADO[[#This Row],[CUENTA]],PRESUPUESTO[MONTO])-SUMIF($F$1:F612,EJECUTADO[[#This Row],[CUENTA]],$M$1:M612)</f>
        <v>2232.6</v>
      </c>
      <c r="M613" s="2">
        <v>203.4</v>
      </c>
      <c r="N613" s="84"/>
      <c r="O613" s="84"/>
      <c r="P613" s="162">
        <f>+EJECUTADO[[#This Row],[MONTO SOLICITADO]]-EJECUTADO[[#This Row],[RETENCION IVA]]-EJECUTADO[[#This Row],[RETENCION ISR]]</f>
        <v>203.4</v>
      </c>
      <c r="Q613" s="84" t="s">
        <v>1000</v>
      </c>
      <c r="R613" s="84"/>
      <c r="S613">
        <v>1</v>
      </c>
      <c r="T613" s="168" t="str">
        <f t="shared" si="18"/>
        <v>NUEVO INGRESO - Metrocentro - Servicio Internet $ 203.*12 Disponible $2232.6 Solicitado $203.4 PRESUPUESTO: SI</v>
      </c>
    </row>
    <row r="614" spans="1:20" ht="30" x14ac:dyDescent="0.25">
      <c r="A614" s="6">
        <f t="shared" si="19"/>
        <v>609</v>
      </c>
      <c r="B614" s="21">
        <v>45350</v>
      </c>
      <c r="C614" s="110" t="s">
        <v>1266</v>
      </c>
      <c r="D614" s="126" t="s">
        <v>250</v>
      </c>
      <c r="E614" s="65"/>
      <c r="F614" t="s">
        <v>1269</v>
      </c>
      <c r="G614" s="161">
        <f>MONTH(EJECUTADO[[#This Row],[FECHA]])</f>
        <v>2</v>
      </c>
      <c r="H614" s="163" t="str">
        <f>MID(EJECUTADO[[#This Row],[CUENTA]],1,4)</f>
        <v>E-24</v>
      </c>
      <c r="I614" s="163" t="str">
        <f>INDEX(CATALOGO[Descripción],MATCH(EJECUTADO[[#This Row],[APLICACIÓN]]&amp;"-00-00-00",CATALOGO[Código],0))</f>
        <v>NUEVO INGRESO</v>
      </c>
      <c r="J6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telefónico  $ 20 X 12</v>
      </c>
      <c r="K614" s="161" t="str">
        <f>IF((EJECUTADO[[#This Row],[MONTO DISPONIBLE ]]-EJECUTADO[[#This Row],[MONTO SOLICITADO]])&gt;=0,"PRESUPUESTO: SI","PRESUPUESTO: NO")</f>
        <v>PRESUPUESTO: SI</v>
      </c>
      <c r="L614" s="162">
        <f>SUMIF(PRESUPUESTO[CUENTA],EJECUTADO[[#This Row],[CUENTA]],PRESUPUESTO[MONTO])-SUMIF($F$1:F613,EJECUTADO[[#This Row],[CUENTA]],$M$1:M613)</f>
        <v>282.11</v>
      </c>
      <c r="M614" s="2">
        <v>40.909999999999997</v>
      </c>
      <c r="N614" s="84"/>
      <c r="O614" s="84"/>
      <c r="P614" s="162">
        <f>+EJECUTADO[[#This Row],[MONTO SOLICITADO]]-EJECUTADO[[#This Row],[RETENCION IVA]]-EJECUTADO[[#This Row],[RETENCION ISR]]</f>
        <v>40.909999999999997</v>
      </c>
      <c r="Q614" s="84" t="s">
        <v>1000</v>
      </c>
      <c r="R614" s="84"/>
      <c r="S614">
        <v>1</v>
      </c>
      <c r="T614" s="168" t="str">
        <f t="shared" si="18"/>
        <v>NUEVO INGRESO - Plaza Mundo - Servicio telefónico  $ 20 X 12 Disponible $282.11 Solicitado $40.91 PRESUPUESTO: SI</v>
      </c>
    </row>
    <row r="615" spans="1:20" ht="30" x14ac:dyDescent="0.25">
      <c r="A615" s="6">
        <f t="shared" si="19"/>
        <v>610</v>
      </c>
      <c r="B615" s="21">
        <v>45350</v>
      </c>
      <c r="C615" s="109" t="s">
        <v>1266</v>
      </c>
      <c r="D615" s="126" t="s">
        <v>173</v>
      </c>
      <c r="E615" s="65"/>
      <c r="F615" t="s">
        <v>1273</v>
      </c>
      <c r="G615" s="161">
        <f>MONTH(EJECUTADO[[#This Row],[FECHA]])</f>
        <v>2</v>
      </c>
      <c r="H615" s="163" t="str">
        <f>MID(EJECUTADO[[#This Row],[CUENTA]],1,4)</f>
        <v>E-24</v>
      </c>
      <c r="I615" s="163" t="str">
        <f>INDEX(CATALOGO[Descripción],MATCH(EJECUTADO[[#This Row],[APLICACIÓN]]&amp;"-00-00-00",CATALOGO[Código],0))</f>
        <v>NUEVO INGRESO</v>
      </c>
      <c r="J6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internet $ 203 x 12</v>
      </c>
      <c r="K615" s="161" t="str">
        <f>IF((EJECUTADO[[#This Row],[MONTO DISPONIBLE ]]-EJECUTADO[[#This Row],[MONTO SOLICITADO]])&gt;=0,"PRESUPUESTO: SI","PRESUPUESTO: NO")</f>
        <v>PRESUPUESTO: SI</v>
      </c>
      <c r="L615" s="162">
        <f>SUMIF(PRESUPUESTO[CUENTA],EJECUTADO[[#This Row],[CUENTA]],PRESUPUESTO[MONTO])-SUMIF($F$1:F614,EJECUTADO[[#This Row],[CUENTA]],$M$1:M614)</f>
        <v>2232.6</v>
      </c>
      <c r="M615" s="2">
        <v>203.4</v>
      </c>
      <c r="N615" s="84"/>
      <c r="O615" s="84"/>
      <c r="P615" s="162">
        <f>+EJECUTADO[[#This Row],[MONTO SOLICITADO]]-EJECUTADO[[#This Row],[RETENCION IVA]]-EJECUTADO[[#This Row],[RETENCION ISR]]</f>
        <v>203.4</v>
      </c>
      <c r="Q615" s="84" t="s">
        <v>1000</v>
      </c>
      <c r="R615" s="84"/>
      <c r="S615">
        <v>1</v>
      </c>
      <c r="T615" s="168" t="str">
        <f t="shared" si="18"/>
        <v>NUEVO INGRESO - Plaza Mundo - Servicio internet $ 203 x 12 Disponible $2232.6 Solicitado $203.4 PRESUPUESTO: SI</v>
      </c>
    </row>
    <row r="616" spans="1:20" ht="30" x14ac:dyDescent="0.25">
      <c r="A616" s="6">
        <f t="shared" si="19"/>
        <v>611</v>
      </c>
      <c r="B616" s="21">
        <v>45350</v>
      </c>
      <c r="C616" s="110" t="s">
        <v>1266</v>
      </c>
      <c r="D616" s="126" t="s">
        <v>173</v>
      </c>
      <c r="E616" s="65"/>
      <c r="F616" t="s">
        <v>1272</v>
      </c>
      <c r="G616" s="161">
        <f>MONTH(EJECUTADO[[#This Row],[FECHA]])</f>
        <v>2</v>
      </c>
      <c r="H616" s="163" t="str">
        <f>MID(EJECUTADO[[#This Row],[CUENTA]],1,4)</f>
        <v>E-24</v>
      </c>
      <c r="I616" s="163" t="str">
        <f>INDEX(CATALOGO[Descripción],MATCH(EJECUTADO[[#This Row],[APLICACIÓN]]&amp;"-00-00-00",CATALOGO[Código],0))</f>
        <v>NUEVO INGRESO</v>
      </c>
      <c r="J6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Centro de soluciones - Servicio telefónico Telefonica $ 419 x 12</v>
      </c>
      <c r="K616" s="161" t="str">
        <f>IF((EJECUTADO[[#This Row],[MONTO DISPONIBLE ]]-EJECUTADO[[#This Row],[MONTO SOLICITADO]])&gt;=0,"PRESUPUESTO: SI","PRESUPUESTO: NO")</f>
        <v>PRESUPUESTO: SI</v>
      </c>
      <c r="L616" s="162">
        <f>SUMIF(PRESUPUESTO[CUENTA],EJECUTADO[[#This Row],[CUENTA]],PRESUPUESTO[MONTO])-SUMIF($F$1:F615,EJECUTADO[[#This Row],[CUENTA]],$M$1:M615)</f>
        <v>4609</v>
      </c>
      <c r="M616" s="2">
        <v>419.23</v>
      </c>
      <c r="N616" s="84"/>
      <c r="O616" s="84"/>
      <c r="P616" s="162">
        <f>+EJECUTADO[[#This Row],[MONTO SOLICITADO]]-EJECUTADO[[#This Row],[RETENCION IVA]]-EJECUTADO[[#This Row],[RETENCION ISR]]</f>
        <v>419.23</v>
      </c>
      <c r="Q616" s="84" t="s">
        <v>1000</v>
      </c>
      <c r="R616" s="84"/>
      <c r="S616">
        <v>1</v>
      </c>
      <c r="T616" s="168" t="str">
        <f t="shared" si="18"/>
        <v>NUEVO INGRESO - Centro de soluciones - Servicio telefónico Telefonica $ 419 x 12 Disponible $4609 Solicitado $419.23 PRESUPUESTO: SI</v>
      </c>
    </row>
    <row r="617" spans="1:20" x14ac:dyDescent="0.25">
      <c r="A617" s="6">
        <f t="shared" si="19"/>
        <v>612</v>
      </c>
      <c r="B617" s="21">
        <v>45350</v>
      </c>
      <c r="C617" s="109" t="s">
        <v>1641</v>
      </c>
      <c r="D617" s="126" t="s">
        <v>1080</v>
      </c>
      <c r="E617" s="65"/>
      <c r="F617" t="s">
        <v>1081</v>
      </c>
      <c r="G617" s="161">
        <f>MONTH(EJECUTADO[[#This Row],[FECHA]])</f>
        <v>2</v>
      </c>
      <c r="H617" s="163" t="str">
        <f>MID(EJECUTADO[[#This Row],[CUENTA]],1,4)</f>
        <v>E-10</v>
      </c>
      <c r="I617" s="163" t="str">
        <f>INDEX(CATALOGO[Descripción],MATCH(EJECUTADO[[#This Row],[APLICACIÓN]]&amp;"-00-00-00",CATALOGO[Código],0))</f>
        <v>SERVICIOS PUBLICOS</v>
      </c>
      <c r="J6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617" s="161" t="str">
        <f>IF((EJECUTADO[[#This Row],[MONTO DISPONIBLE ]]-EJECUTADO[[#This Row],[MONTO SOLICITADO]])&gt;=0,"PRESUPUESTO: SI","PRESUPUESTO: NO")</f>
        <v>PRESUPUESTO: SI</v>
      </c>
      <c r="L617" s="162">
        <f>SUMIF(PRESUPUESTO[CUENTA],EJECUTADO[[#This Row],[CUENTA]],PRESUPUESTO[MONTO])-SUMIF($F$1:F616,EJECUTADO[[#This Row],[CUENTA]],$M$1:M616)</f>
        <v>320245.34999999998</v>
      </c>
      <c r="M617" s="2">
        <v>543.12</v>
      </c>
      <c r="N617" s="84"/>
      <c r="O617" s="84"/>
      <c r="P617" s="162">
        <f>+EJECUTADO[[#This Row],[MONTO SOLICITADO]]-EJECUTADO[[#This Row],[RETENCION IVA]]-EJECUTADO[[#This Row],[RETENCION ISR]]</f>
        <v>543.12</v>
      </c>
      <c r="Q617" s="84" t="s">
        <v>1000</v>
      </c>
      <c r="R617" s="84"/>
      <c r="S617">
        <v>1</v>
      </c>
      <c r="T617" s="168" t="str">
        <f t="shared" si="18"/>
        <v>SERVICIOS PUBLICOS - ENERGÍA ELÉCTRICA Disponible $320245.35 Solicitado $543.12 PRESUPUESTO: SI</v>
      </c>
    </row>
    <row r="618" spans="1:20" x14ac:dyDescent="0.25">
      <c r="A618" s="6">
        <f t="shared" si="19"/>
        <v>613</v>
      </c>
      <c r="B618" s="21">
        <v>45350</v>
      </c>
      <c r="C618" s="110" t="s">
        <v>1641</v>
      </c>
      <c r="D618" s="126" t="s">
        <v>249</v>
      </c>
      <c r="E618" s="65"/>
      <c r="F618" t="s">
        <v>1084</v>
      </c>
      <c r="G618" s="161">
        <f>MONTH(EJECUTADO[[#This Row],[FECHA]])</f>
        <v>2</v>
      </c>
      <c r="H618" s="163" t="str">
        <f>MID(EJECUTADO[[#This Row],[CUENTA]],1,4)</f>
        <v>E-10</v>
      </c>
      <c r="I618" s="163" t="str">
        <f>INDEX(CATALOGO[Descripción],MATCH(EJECUTADO[[#This Row],[APLICACIÓN]]&amp;"-00-00-00",CATALOGO[Código],0))</f>
        <v>SERVICIOS PUBLICOS</v>
      </c>
      <c r="J6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618" s="161" t="str">
        <f>IF((EJECUTADO[[#This Row],[MONTO DISPONIBLE ]]-EJECUTADO[[#This Row],[MONTO SOLICITADO]])&gt;=0,"PRESUPUESTO: SI","PRESUPUESTO: NO")</f>
        <v>PRESUPUESTO: SI</v>
      </c>
      <c r="L618" s="162">
        <f>SUMIF(PRESUPUESTO[CUENTA],EJECUTADO[[#This Row],[CUENTA]],PRESUPUESTO[MONTO])-SUMIF($F$1:F617,EJECUTADO[[#This Row],[CUENTA]],$M$1:M617)</f>
        <v>77872.19</v>
      </c>
      <c r="M618" s="2">
        <v>336.33</v>
      </c>
      <c r="N618" s="84"/>
      <c r="O618" s="84"/>
      <c r="P618" s="162">
        <f>+EJECUTADO[[#This Row],[MONTO SOLICITADO]]-EJECUTADO[[#This Row],[RETENCION IVA]]-EJECUTADO[[#This Row],[RETENCION ISR]]</f>
        <v>336.33</v>
      </c>
      <c r="Q618" s="84" t="s">
        <v>1000</v>
      </c>
      <c r="R618" s="84"/>
      <c r="S618">
        <v>1</v>
      </c>
      <c r="T618" s="168" t="str">
        <f t="shared" si="18"/>
        <v>SERVICIOS PUBLICOS - SERVICIO DE AGUA Disponible $77872.19 Solicitado $336.33 PRESUPUESTO: SI</v>
      </c>
    </row>
    <row r="619" spans="1:20" ht="30" x14ac:dyDescent="0.25">
      <c r="A619" s="6">
        <f t="shared" si="19"/>
        <v>614</v>
      </c>
      <c r="B619" s="21">
        <v>45350</v>
      </c>
      <c r="C619" s="109" t="s">
        <v>1641</v>
      </c>
      <c r="D619" s="126" t="s">
        <v>250</v>
      </c>
      <c r="E619" s="65"/>
      <c r="F619" t="s">
        <v>1617</v>
      </c>
      <c r="G619" s="161">
        <f>MONTH(EJECUTADO[[#This Row],[FECHA]])</f>
        <v>2</v>
      </c>
      <c r="H619" s="163" t="str">
        <f>MID(EJECUTADO[[#This Row],[CUENTA]],1,4)</f>
        <v>E-10</v>
      </c>
      <c r="I619" s="163" t="str">
        <f>INDEX(CATALOGO[Descripción],MATCH(EJECUTADO[[#This Row],[APLICACIÓN]]&amp;"-00-00-00",CATALOGO[Código],0))</f>
        <v>SERVICIOS PUBLICOS</v>
      </c>
      <c r="J6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619" s="161" t="str">
        <f>IF((EJECUTADO[[#This Row],[MONTO DISPONIBLE ]]-EJECUTADO[[#This Row],[MONTO SOLICITADO]])&gt;=0,"PRESUPUESTO: SI","PRESUPUESTO: NO")</f>
        <v>PRESUPUESTO: SI</v>
      </c>
      <c r="L619" s="162">
        <f>SUMIF(PRESUPUESTO[CUENTA],EJECUTADO[[#This Row],[CUENTA]],PRESUPUESTO[MONTO])-SUMIF($F$1:F618,EJECUTADO[[#This Row],[CUENTA]],$M$1:M618)</f>
        <v>49625.16</v>
      </c>
      <c r="M619" s="2">
        <v>4582.3599999999997</v>
      </c>
      <c r="N619" s="84"/>
      <c r="O619" s="84"/>
      <c r="P619" s="162">
        <f>+EJECUTADO[[#This Row],[MONTO SOLICITADO]]-EJECUTADO[[#This Row],[RETENCION IVA]]-EJECUTADO[[#This Row],[RETENCION ISR]]</f>
        <v>4582.3599999999997</v>
      </c>
      <c r="Q619" s="84" t="s">
        <v>1000</v>
      </c>
      <c r="R619" s="84"/>
      <c r="S619">
        <v>1</v>
      </c>
      <c r="T619" s="168" t="str">
        <f t="shared" si="18"/>
        <v>SERVICIOS PUBLICOS - SERVICIO TELEFÓNICO Disponible $49625.16 Solicitado $4582.36 PRESUPUESTO: SI</v>
      </c>
    </row>
    <row r="620" spans="1:20" x14ac:dyDescent="0.25">
      <c r="A620" s="6">
        <f t="shared" si="19"/>
        <v>615</v>
      </c>
      <c r="B620" s="21">
        <v>45350</v>
      </c>
      <c r="C620" s="110" t="s">
        <v>1641</v>
      </c>
      <c r="D620" s="126" t="s">
        <v>1828</v>
      </c>
      <c r="E620" s="65"/>
      <c r="F620" t="s">
        <v>1829</v>
      </c>
      <c r="G620" s="161">
        <f>MONTH(EJECUTADO[[#This Row],[FECHA]])</f>
        <v>2</v>
      </c>
      <c r="H620" s="163" t="str">
        <f>MID(EJECUTADO[[#This Row],[CUENTA]],1,4)</f>
        <v>E-10</v>
      </c>
      <c r="I620" s="163" t="str">
        <f>INDEX(CATALOGO[Descripción],MATCH(EJECUTADO[[#This Row],[APLICACIÓN]]&amp;"-00-00-00",CATALOGO[Código],0))</f>
        <v>SERVICIOS PUBLICOS</v>
      </c>
      <c r="J6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CABLES</v>
      </c>
      <c r="K620" s="161" t="str">
        <f>IF((EJECUTADO[[#This Row],[MONTO DISPONIBLE ]]-EJECUTADO[[#This Row],[MONTO SOLICITADO]])&gt;=0,"PRESUPUESTO: SI","PRESUPUESTO: NO")</f>
        <v>PRESUPUESTO: NO</v>
      </c>
      <c r="L620" s="162">
        <f>SUMIF(PRESUPUESTO[CUENTA],EJECUTADO[[#This Row],[CUENTA]],PRESUPUESTO[MONTO])-SUMIF($F$1:F619,EJECUTADO[[#This Row],[CUENTA]],$M$1:M619)</f>
        <v>0</v>
      </c>
      <c r="M620" s="2">
        <v>180.22</v>
      </c>
      <c r="N620" s="84"/>
      <c r="O620" s="84"/>
      <c r="P620" s="162">
        <f>+EJECUTADO[[#This Row],[MONTO SOLICITADO]]-EJECUTADO[[#This Row],[RETENCION IVA]]-EJECUTADO[[#This Row],[RETENCION ISR]]</f>
        <v>180.22</v>
      </c>
      <c r="Q620" s="84" t="s">
        <v>1000</v>
      </c>
      <c r="R620" s="84"/>
      <c r="S620">
        <v>1</v>
      </c>
      <c r="T620" s="168" t="str">
        <f t="shared" si="18"/>
        <v>SERVICIOS PUBLICOS - SERVICIO DE CABLES Disponible $0 Solicitado $180.22 PRESUPUESTO: NO</v>
      </c>
    </row>
    <row r="621" spans="1:20" ht="30" x14ac:dyDescent="0.25">
      <c r="A621" s="6">
        <f t="shared" si="19"/>
        <v>616</v>
      </c>
      <c r="B621" s="21">
        <v>45350</v>
      </c>
      <c r="C621" s="109" t="s">
        <v>1641</v>
      </c>
      <c r="D621" s="126" t="s">
        <v>1830</v>
      </c>
      <c r="E621" s="65"/>
      <c r="F621" t="s">
        <v>1777</v>
      </c>
      <c r="G621" s="161">
        <f>MONTH(EJECUTADO[[#This Row],[FECHA]])</f>
        <v>2</v>
      </c>
      <c r="H621" s="163" t="str">
        <f>MID(EJECUTADO[[#This Row],[CUENTA]],1,4)</f>
        <v>E-07</v>
      </c>
      <c r="I621" s="163" t="str">
        <f>INDEX(CATALOGO[Descripción],MATCH(EJECUTADO[[#This Row],[APLICACIÓN]]&amp;"-00-00-00",CATALOGO[Código],0))</f>
        <v>SERVICIOS TECNOLOGICOS</v>
      </c>
      <c r="J6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621" s="161" t="str">
        <f>IF((EJECUTADO[[#This Row],[MONTO DISPONIBLE ]]-EJECUTADO[[#This Row],[MONTO SOLICITADO]])&gt;=0,"PRESUPUESTO: SI","PRESUPUESTO: NO")</f>
        <v>PRESUPUESTO: NO</v>
      </c>
      <c r="L621" s="162">
        <f>SUMIF(PRESUPUESTO[CUENTA],EJECUTADO[[#This Row],[CUENTA]],PRESUPUESTO[MONTO])-SUMIF($F$1:F620,EJECUTADO[[#This Row],[CUENTA]],$M$1:M620)</f>
        <v>-3051</v>
      </c>
      <c r="M621" s="2">
        <v>127.85</v>
      </c>
      <c r="N621" s="84"/>
      <c r="O621" s="84"/>
      <c r="P621" s="162">
        <f>+EJECUTADO[[#This Row],[MONTO SOLICITADO]]-EJECUTADO[[#This Row],[RETENCION IVA]]-EJECUTADO[[#This Row],[RETENCION ISR]]</f>
        <v>127.85</v>
      </c>
      <c r="Q621" s="84" t="s">
        <v>1000</v>
      </c>
      <c r="R621" s="84"/>
      <c r="S621">
        <v>1</v>
      </c>
      <c r="T621" s="168" t="str">
        <f t="shared" si="18"/>
        <v>SERVICIOS TECNOLOGICOS - LA CUENTA SELECCIONADA NO PERMITE MOVIMIENTO Disponible $-3051 Solicitado $127.85 PRESUPUESTO: NO</v>
      </c>
    </row>
    <row r="622" spans="1:20" x14ac:dyDescent="0.25">
      <c r="A622" s="6">
        <f t="shared" si="19"/>
        <v>617</v>
      </c>
      <c r="B622" s="21">
        <v>45350</v>
      </c>
      <c r="C622" s="110" t="s">
        <v>1641</v>
      </c>
      <c r="D622" s="126" t="s">
        <v>1831</v>
      </c>
      <c r="E622" s="65"/>
      <c r="F622" t="s">
        <v>1777</v>
      </c>
      <c r="G622" s="161">
        <f>MONTH(EJECUTADO[[#This Row],[FECHA]])</f>
        <v>2</v>
      </c>
      <c r="H622" s="163" t="str">
        <f>MID(EJECUTADO[[#This Row],[CUENTA]],1,4)</f>
        <v>E-07</v>
      </c>
      <c r="I622" s="163" t="str">
        <f>INDEX(CATALOGO[Descripción],MATCH(EJECUTADO[[#This Row],[APLICACIÓN]]&amp;"-00-00-00",CATALOGO[Código],0))</f>
        <v>SERVICIOS TECNOLOGICOS</v>
      </c>
      <c r="J6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622" s="161" t="str">
        <f>IF((EJECUTADO[[#This Row],[MONTO DISPONIBLE ]]-EJECUTADO[[#This Row],[MONTO SOLICITADO]])&gt;=0,"PRESUPUESTO: SI","PRESUPUESTO: NO")</f>
        <v>PRESUPUESTO: NO</v>
      </c>
      <c r="L622" s="162">
        <f>SUMIF(PRESUPUESTO[CUENTA],EJECUTADO[[#This Row],[CUENTA]],PRESUPUESTO[MONTO])-SUMIF($F$1:F621,EJECUTADO[[#This Row],[CUENTA]],$M$1:M621)</f>
        <v>-3178.85</v>
      </c>
      <c r="M622" s="2">
        <v>24.98</v>
      </c>
      <c r="N622" s="84"/>
      <c r="O622" s="84"/>
      <c r="P622" s="162">
        <f>+EJECUTADO[[#This Row],[MONTO SOLICITADO]]-EJECUTADO[[#This Row],[RETENCION IVA]]-EJECUTADO[[#This Row],[RETENCION ISR]]</f>
        <v>24.98</v>
      </c>
      <c r="Q622" s="84" t="s">
        <v>1000</v>
      </c>
      <c r="R622" s="84"/>
      <c r="S622">
        <v>1</v>
      </c>
      <c r="T622" s="168" t="str">
        <f t="shared" si="18"/>
        <v>SERVICIOS TECNOLOGICOS - LA CUENTA SELECCIONADA NO PERMITE MOVIMIENTO Disponible $-3178.85 Solicitado $24.98 PRESUPUESTO: NO</v>
      </c>
    </row>
    <row r="623" spans="1:20" ht="30" x14ac:dyDescent="0.25">
      <c r="A623" s="6">
        <f t="shared" si="19"/>
        <v>618</v>
      </c>
      <c r="B623" s="21">
        <v>45350</v>
      </c>
      <c r="C623" s="109" t="s">
        <v>1641</v>
      </c>
      <c r="D623" s="126" t="s">
        <v>1832</v>
      </c>
      <c r="E623" s="65"/>
      <c r="F623" s="37" t="s">
        <v>1600</v>
      </c>
      <c r="G623" s="161">
        <f>MONTH(EJECUTADO[[#This Row],[FECHA]])</f>
        <v>2</v>
      </c>
      <c r="H623" s="163" t="str">
        <f>MID(EJECUTADO[[#This Row],[CUENTA]],1,4)</f>
        <v>E-09</v>
      </c>
      <c r="I623" s="163" t="str">
        <f>INDEX(CATALOGO[Descripción],MATCH(EJECUTADO[[#This Row],[APLICACIÓN]]&amp;"-00-00-00",CATALOGO[Código],0))</f>
        <v>PRESTACIONES AL PERSONAL</v>
      </c>
      <c r="J6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Café, Agua, azucar y otros</v>
      </c>
      <c r="K623" s="161" t="str">
        <f>IF((EJECUTADO[[#This Row],[MONTO DISPONIBLE ]]-EJECUTADO[[#This Row],[MONTO SOLICITADO]])&gt;=0,"PRESUPUESTO: SI","PRESUPUESTO: NO")</f>
        <v>PRESUPUESTO: SI</v>
      </c>
      <c r="L623" s="162">
        <f>SUMIF(PRESUPUESTO[CUENTA],EJECUTADO[[#This Row],[CUENTA]],PRESUPUESTO[MONTO])-SUMIF($F$1:F622,EJECUTADO[[#This Row],[CUENTA]],$M$1:M622)</f>
        <v>18578.2</v>
      </c>
      <c r="M623" s="2">
        <v>134.41</v>
      </c>
      <c r="N623" s="84"/>
      <c r="O623" s="84"/>
      <c r="P623" s="162">
        <f>+EJECUTADO[[#This Row],[MONTO SOLICITADO]]-EJECUTADO[[#This Row],[RETENCION IVA]]-EJECUTADO[[#This Row],[RETENCION ISR]]</f>
        <v>134.41</v>
      </c>
      <c r="Q623" s="84" t="s">
        <v>1000</v>
      </c>
      <c r="R623" s="84"/>
      <c r="S623">
        <v>1</v>
      </c>
      <c r="T623" s="168" t="str">
        <f t="shared" si="18"/>
        <v>PRESTACIONES AL PERSONAL - Café, Agua, azucar y otros Disponible $18578.2 Solicitado $134.41 PRESUPUESTO: SI</v>
      </c>
    </row>
    <row r="624" spans="1:20" x14ac:dyDescent="0.25">
      <c r="A624" s="6">
        <f t="shared" si="19"/>
        <v>619</v>
      </c>
      <c r="B624" s="21">
        <v>45350</v>
      </c>
      <c r="C624" s="110" t="s">
        <v>1641</v>
      </c>
      <c r="D624" s="126" t="s">
        <v>1833</v>
      </c>
      <c r="E624" s="65"/>
      <c r="F624" t="s">
        <v>1834</v>
      </c>
      <c r="G624" s="161">
        <f>MONTH(EJECUTADO[[#This Row],[FECHA]])</f>
        <v>2</v>
      </c>
      <c r="H624" s="163" t="str">
        <f>MID(EJECUTADO[[#This Row],[CUENTA]],1,4)</f>
        <v>E-13</v>
      </c>
      <c r="I624" s="163" t="str">
        <f>INDEX(CATALOGO[Descripción],MATCH(EJECUTADO[[#This Row],[APLICACIÓN]]&amp;"-00-00-00",CATALOGO[Código],0))</f>
        <v>MAESTRIAS Y POSTGRADOS</v>
      </c>
      <c r="J6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Redes Sociales (Facebook Promoción Maestrías)</v>
      </c>
      <c r="K624" s="161" t="str">
        <f>IF((EJECUTADO[[#This Row],[MONTO DISPONIBLE ]]-EJECUTADO[[#This Row],[MONTO SOLICITADO]])&gt;=0,"PRESUPUESTO: SI","PRESUPUESTO: NO")</f>
        <v>PRESUPUESTO: SI</v>
      </c>
      <c r="L624" s="162">
        <f>SUMIF(PRESUPUESTO[CUENTA],EJECUTADO[[#This Row],[CUENTA]],PRESUPUESTO[MONTO])-SUMIF($F$1:F623,EJECUTADO[[#This Row],[CUENTA]],$M$1:M623)</f>
        <v>17200</v>
      </c>
      <c r="M624" s="2">
        <v>327.33</v>
      </c>
      <c r="N624" s="84"/>
      <c r="O624" s="84"/>
      <c r="P624" s="162">
        <f>+EJECUTADO[[#This Row],[MONTO SOLICITADO]]-EJECUTADO[[#This Row],[RETENCION IVA]]-EJECUTADO[[#This Row],[RETENCION ISR]]</f>
        <v>327.33</v>
      </c>
      <c r="Q624" s="84" t="s">
        <v>1000</v>
      </c>
      <c r="R624" s="84"/>
      <c r="S624">
        <v>1</v>
      </c>
      <c r="T624" s="168" t="str">
        <f t="shared" si="18"/>
        <v>MAESTRIAS Y POSTGRADOS - Redes Sociales (Facebook Promoción Maestrías) Disponible $17200 Solicitado $327.33 PRESUPUESTO: SI</v>
      </c>
    </row>
    <row r="625" spans="1:20" ht="30" x14ac:dyDescent="0.25">
      <c r="A625" s="6">
        <f t="shared" si="19"/>
        <v>620</v>
      </c>
      <c r="B625" s="21">
        <v>45350</v>
      </c>
      <c r="C625" s="109" t="s">
        <v>1641</v>
      </c>
      <c r="D625" s="126" t="s">
        <v>1835</v>
      </c>
      <c r="E625" s="65"/>
      <c r="F625" t="s">
        <v>1214</v>
      </c>
      <c r="G625" s="161">
        <f>MONTH(EJECUTADO[[#This Row],[FECHA]])</f>
        <v>2</v>
      </c>
      <c r="H625" s="163" t="str">
        <f>MID(EJECUTADO[[#This Row],[CUENTA]],1,4)</f>
        <v>E-19</v>
      </c>
      <c r="I625" s="163" t="str">
        <f>INDEX(CATALOGO[Descripción],MATCH(EJECUTADO[[#This Row],[APLICACIÓN]]&amp;"-00-00-00",CATALOGO[Código],0))</f>
        <v>MANTENIMIENTO</v>
      </c>
      <c r="J6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625" s="161" t="str">
        <f>IF((EJECUTADO[[#This Row],[MONTO DISPONIBLE ]]-EJECUTADO[[#This Row],[MONTO SOLICITADO]])&gt;=0,"PRESUPUESTO: SI","PRESUPUESTO: NO")</f>
        <v>PRESUPUESTO: SI</v>
      </c>
      <c r="L625" s="162">
        <f>SUMIF(PRESUPUESTO[CUENTA],EJECUTADO[[#This Row],[CUENTA]],PRESUPUESTO[MONTO])-SUMIF($F$1:F624,EJECUTADO[[#This Row],[CUENTA]],$M$1:M624)</f>
        <v>36558.959999999999</v>
      </c>
      <c r="M625" s="2">
        <v>1997.14</v>
      </c>
      <c r="N625" s="84"/>
      <c r="O625" s="84"/>
      <c r="P625" s="162">
        <f>+EJECUTADO[[#This Row],[MONTO SOLICITADO]]-EJECUTADO[[#This Row],[RETENCION IVA]]-EJECUTADO[[#This Row],[RETENCION ISR]]</f>
        <v>1997.14</v>
      </c>
      <c r="Q625" s="84" t="s">
        <v>1000</v>
      </c>
      <c r="R625" s="84"/>
      <c r="S625">
        <v>1</v>
      </c>
      <c r="T625" s="168" t="str">
        <f t="shared" si="18"/>
        <v>MANTENIMIENTO - Mantenimiento en talleres (Vehiculos) Disponible $36558.96 Solicitado $1997.14 PRESUPUESTO: SI</v>
      </c>
    </row>
    <row r="626" spans="1:20" x14ac:dyDescent="0.25">
      <c r="A626" s="6">
        <f t="shared" si="19"/>
        <v>621</v>
      </c>
      <c r="B626" s="21">
        <v>45350</v>
      </c>
      <c r="C626" s="110" t="s">
        <v>1641</v>
      </c>
      <c r="D626" s="126" t="s">
        <v>1836</v>
      </c>
      <c r="E626" s="65"/>
      <c r="F626" t="s">
        <v>1837</v>
      </c>
      <c r="G626" s="161">
        <f>MONTH(EJECUTADO[[#This Row],[FECHA]])</f>
        <v>2</v>
      </c>
      <c r="H626" s="163" t="str">
        <f>MID(EJECUTADO[[#This Row],[CUENTA]],1,4)</f>
        <v>E-22</v>
      </c>
      <c r="I626" s="163" t="str">
        <f>INDEX(CATALOGO[Descripción],MATCH(EJECUTADO[[#This Row],[APLICACIÓN]]&amp;"-00-00-00",CATALOGO[Código],0))</f>
        <v>CAPACITACIÓN AL PERSONAL</v>
      </c>
      <c r="J62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626" s="161" t="str">
        <f>IF((EJECUTADO[[#This Row],[MONTO DISPONIBLE ]]-EJECUTADO[[#This Row],[MONTO SOLICITADO]])&gt;=0,"PRESUPUESTO: SI","PRESUPUESTO: NO")</f>
        <v>PRESUPUESTO: NO</v>
      </c>
      <c r="L626" s="162">
        <f>SUMIF(PRESUPUESTO[CUENTA],EJECUTADO[[#This Row],[CUENTA]],PRESUPUESTO[MONTO])-SUMIF($F$1:F625,EJECUTADO[[#This Row],[CUENTA]],$M$1:M625)</f>
        <v>0</v>
      </c>
      <c r="M626" s="2">
        <v>420</v>
      </c>
      <c r="N626" s="84"/>
      <c r="O626" s="84"/>
      <c r="P626" s="162">
        <f>+EJECUTADO[[#This Row],[MONTO SOLICITADO]]-EJECUTADO[[#This Row],[RETENCION IVA]]-EJECUTADO[[#This Row],[RETENCION ISR]]</f>
        <v>420</v>
      </c>
      <c r="Q626" s="84" t="s">
        <v>1000</v>
      </c>
      <c r="R626" s="84"/>
      <c r="S626">
        <v>1</v>
      </c>
      <c r="T626" s="168" t="e">
        <f t="shared" si="18"/>
        <v>#N/A</v>
      </c>
    </row>
    <row r="627" spans="1:20" ht="30" x14ac:dyDescent="0.25">
      <c r="A627" s="6">
        <f t="shared" si="19"/>
        <v>622</v>
      </c>
      <c r="B627" s="21">
        <v>45350</v>
      </c>
      <c r="C627" s="109" t="s">
        <v>1641</v>
      </c>
      <c r="D627" s="126" t="s">
        <v>1838</v>
      </c>
      <c r="E627" s="65"/>
      <c r="F627" t="s">
        <v>1629</v>
      </c>
      <c r="G627" s="161">
        <f>MONTH(EJECUTADO[[#This Row],[FECHA]])</f>
        <v>2</v>
      </c>
      <c r="H627" s="163" t="str">
        <f>MID(EJECUTADO[[#This Row],[CUENTA]],1,4)</f>
        <v>E-22</v>
      </c>
      <c r="I627" s="163" t="str">
        <f>INDEX(CATALOGO[Descripción],MATCH(EJECUTADO[[#This Row],[APLICACIÓN]]&amp;"-00-00-00",CATALOGO[Código],0))</f>
        <v>CAPACITACIÓN AL PERSONAL</v>
      </c>
      <c r="J6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627" s="161" t="str">
        <f>IF((EJECUTADO[[#This Row],[MONTO DISPONIBLE ]]-EJECUTADO[[#This Row],[MONTO SOLICITADO]])&gt;=0,"PRESUPUESTO: SI","PRESUPUESTO: NO")</f>
        <v>PRESUPUESTO: NO</v>
      </c>
      <c r="L627" s="162">
        <f>SUMIF(PRESUPUESTO[CUENTA],EJECUTADO[[#This Row],[CUENTA]],PRESUPUESTO[MONTO])-SUMIF($F$1:F626,EJECUTADO[[#This Row],[CUENTA]],$M$1:M626)</f>
        <v>-101.7</v>
      </c>
      <c r="M627" s="2">
        <v>1250.31</v>
      </c>
      <c r="N627" s="84"/>
      <c r="O627" s="84"/>
      <c r="P627" s="162">
        <f>+EJECUTADO[[#This Row],[MONTO SOLICITADO]]-EJECUTADO[[#This Row],[RETENCION IVA]]-EJECUTADO[[#This Row],[RETENCION ISR]]</f>
        <v>1250.31</v>
      </c>
      <c r="Q627" s="84" t="s">
        <v>1000</v>
      </c>
      <c r="R627" s="84"/>
      <c r="S627">
        <v>1</v>
      </c>
      <c r="T627" s="168" t="str">
        <f t="shared" si="18"/>
        <v>CAPACITACIÓN AL PERSONAL - LA CUENTA SELECCIONADA NO PERMITE MOVIMIENTO Disponible $-101.7 Solicitado $1250.31 PRESUPUESTO: NO</v>
      </c>
    </row>
    <row r="628" spans="1:20" x14ac:dyDescent="0.25">
      <c r="A628" s="6">
        <f t="shared" si="19"/>
        <v>623</v>
      </c>
      <c r="B628" s="21">
        <v>45350</v>
      </c>
      <c r="C628" s="110" t="s">
        <v>1641</v>
      </c>
      <c r="D628" s="126" t="s">
        <v>1833</v>
      </c>
      <c r="E628" s="65"/>
      <c r="F628" t="s">
        <v>1839</v>
      </c>
      <c r="G628" s="161">
        <f>MONTH(EJECUTADO[[#This Row],[FECHA]])</f>
        <v>2</v>
      </c>
      <c r="H628" s="163" t="str">
        <f>MID(EJECUTADO[[#This Row],[CUENTA]],1,4)</f>
        <v>E-24</v>
      </c>
      <c r="I628" s="163" t="str">
        <f>INDEX(CATALOGO[Descripción],MATCH(EJECUTADO[[#This Row],[APLICACIÓN]]&amp;"-00-00-00",CATALOGO[Código],0))</f>
        <v>NUEVO INGRESO</v>
      </c>
      <c r="J6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EN FACEBOOK</v>
      </c>
      <c r="K628" s="161" t="str">
        <f>IF((EJECUTADO[[#This Row],[MONTO DISPONIBLE ]]-EJECUTADO[[#This Row],[MONTO SOLICITADO]])&gt;=0,"PRESUPUESTO: SI","PRESUPUESTO: NO")</f>
        <v>PRESUPUESTO: SI</v>
      </c>
      <c r="L628" s="162">
        <f>SUMIF(PRESUPUESTO[CUENTA],EJECUTADO[[#This Row],[CUENTA]],PRESUPUESTO[MONTO])-SUMIF($F$1:F627,EJECUTADO[[#This Row],[CUENTA]],$M$1:M627)</f>
        <v>23000</v>
      </c>
      <c r="M628" s="2">
        <v>3350.55</v>
      </c>
      <c r="N628" s="84"/>
      <c r="O628" s="84"/>
      <c r="P628" s="162">
        <f>+EJECUTADO[[#This Row],[MONTO SOLICITADO]]-EJECUTADO[[#This Row],[RETENCION IVA]]-EJECUTADO[[#This Row],[RETENCION ISR]]</f>
        <v>3350.55</v>
      </c>
      <c r="Q628" s="84" t="s">
        <v>1000</v>
      </c>
      <c r="R628" s="84"/>
      <c r="S628">
        <v>1</v>
      </c>
      <c r="T628" s="168" t="str">
        <f t="shared" si="18"/>
        <v>NUEVO INGRESO - PUBLICIDAD EN FACEBOOK Disponible $23000 Solicitado $3350.55 PRESUPUESTO: SI</v>
      </c>
    </row>
    <row r="629" spans="1:20" x14ac:dyDescent="0.25">
      <c r="A629" s="6">
        <f t="shared" si="19"/>
        <v>624</v>
      </c>
      <c r="B629" s="21">
        <v>45350</v>
      </c>
      <c r="C629" s="109" t="s">
        <v>1641</v>
      </c>
      <c r="D629" s="126" t="s">
        <v>1840</v>
      </c>
      <c r="E629" s="65"/>
      <c r="F629" t="s">
        <v>1841</v>
      </c>
      <c r="G629" s="161">
        <f>MONTH(EJECUTADO[[#This Row],[FECHA]])</f>
        <v>2</v>
      </c>
      <c r="H629" s="163" t="str">
        <f>MID(EJECUTADO[[#This Row],[CUENTA]],1,4)</f>
        <v>E-24</v>
      </c>
      <c r="I629" s="163" t="str">
        <f>INDEX(CATALOGO[Descripción],MATCH(EJECUTADO[[#This Row],[APLICACIÓN]]&amp;"-00-00-00",CATALOGO[Código],0))</f>
        <v>NUEVO INGRESO</v>
      </c>
      <c r="J6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PUBLICIDAD EN LINKEDIN</v>
      </c>
      <c r="K629" s="161" t="str">
        <f>IF((EJECUTADO[[#This Row],[MONTO DISPONIBLE ]]-EJECUTADO[[#This Row],[MONTO SOLICITADO]])&gt;=0,"PRESUPUESTO: SI","PRESUPUESTO: NO")</f>
        <v>PRESUPUESTO: SI</v>
      </c>
      <c r="L629" s="162">
        <f>SUMIF(PRESUPUESTO[CUENTA],EJECUTADO[[#This Row],[CUENTA]],PRESUPUESTO[MONTO])-SUMIF($F$1:F628,EJECUTADO[[#This Row],[CUENTA]],$M$1:M628)</f>
        <v>3000</v>
      </c>
      <c r="M629" s="2">
        <v>750</v>
      </c>
      <c r="N629" s="84"/>
      <c r="O629" s="84"/>
      <c r="P629" s="162">
        <f>+EJECUTADO[[#This Row],[MONTO SOLICITADO]]-EJECUTADO[[#This Row],[RETENCION IVA]]-EJECUTADO[[#This Row],[RETENCION ISR]]</f>
        <v>750</v>
      </c>
      <c r="Q629" s="84" t="s">
        <v>1000</v>
      </c>
      <c r="R629" s="84"/>
      <c r="S629">
        <v>1</v>
      </c>
      <c r="T629" s="168" t="str">
        <f t="shared" si="18"/>
        <v>NUEVO INGRESO - PUBLICIDAD EN LINKEDIN Disponible $3000 Solicitado $750 PRESUPUESTO: SI</v>
      </c>
    </row>
    <row r="630" spans="1:20" ht="30" x14ac:dyDescent="0.25">
      <c r="A630" s="6">
        <f t="shared" si="19"/>
        <v>625</v>
      </c>
      <c r="B630" s="21">
        <v>45350</v>
      </c>
      <c r="C630" s="110" t="s">
        <v>1641</v>
      </c>
      <c r="D630" s="126" t="s">
        <v>1842</v>
      </c>
      <c r="E630" s="65"/>
      <c r="F630" t="s">
        <v>1843</v>
      </c>
      <c r="G630" s="161">
        <f>MONTH(EJECUTADO[[#This Row],[FECHA]])</f>
        <v>2</v>
      </c>
      <c r="H630" s="163" t="str">
        <f>MID(EJECUTADO[[#This Row],[CUENTA]],1,4)</f>
        <v>E-24</v>
      </c>
      <c r="I630" s="163" t="str">
        <f>INDEX(CATALOGO[Descripción],MATCH(EJECUTADO[[#This Row],[APLICACIÓN]]&amp;"-00-00-00",CATALOGO[Código],0))</f>
        <v>NUEVO INGRESO</v>
      </c>
      <c r="J6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telefónico $ 25 X 12</v>
      </c>
      <c r="K630" s="161" t="str">
        <f>IF((EJECUTADO[[#This Row],[MONTO DISPONIBLE ]]-EJECUTADO[[#This Row],[MONTO SOLICITADO]])&gt;=0,"PRESUPUESTO: SI","PRESUPUESTO: NO")</f>
        <v>PRESUPUESTO: SI</v>
      </c>
      <c r="L630" s="162">
        <f>SUMIF(PRESUPUESTO[CUENTA],EJECUTADO[[#This Row],[CUENTA]],PRESUPUESTO[MONTO])-SUMIF($F$1:F629,EJECUTADO[[#This Row],[CUENTA]],$M$1:M629)</f>
        <v>300</v>
      </c>
      <c r="M630" s="2">
        <v>51.7</v>
      </c>
      <c r="N630" s="84"/>
      <c r="O630" s="84"/>
      <c r="P630" s="162">
        <f>+EJECUTADO[[#This Row],[MONTO SOLICITADO]]-EJECUTADO[[#This Row],[RETENCION IVA]]-EJECUTADO[[#This Row],[RETENCION ISR]]</f>
        <v>51.7</v>
      </c>
      <c r="Q630" s="84" t="s">
        <v>1000</v>
      </c>
      <c r="R630" s="84"/>
      <c r="S630">
        <v>1</v>
      </c>
      <c r="T630" s="168" t="str">
        <f t="shared" si="18"/>
        <v>NUEVO INGRESO - Metrocentro - Servicio telefónico $ 25 X 12 Disponible $300 Solicitado $51.7 PRESUPUESTO: SI</v>
      </c>
    </row>
    <row r="631" spans="1:20" x14ac:dyDescent="0.25">
      <c r="A631" s="6">
        <f t="shared" si="19"/>
        <v>626</v>
      </c>
      <c r="B631" s="21">
        <v>45350</v>
      </c>
      <c r="C631" s="109" t="s">
        <v>1641</v>
      </c>
      <c r="D631" s="126" t="s">
        <v>1509</v>
      </c>
      <c r="E631" s="65"/>
      <c r="F631" t="s">
        <v>1275</v>
      </c>
      <c r="G631" s="161">
        <f>MONTH(EJECUTADO[[#This Row],[FECHA]])</f>
        <v>2</v>
      </c>
      <c r="H631" s="163" t="str">
        <f>MID(EJECUTADO[[#This Row],[CUENTA]],1,4)</f>
        <v>E-27</v>
      </c>
      <c r="I631" s="163" t="str">
        <f>INDEX(CATALOGO[Descripción],MATCH(EJECUTADO[[#This Row],[APLICACIÓN]]&amp;"-00-00-00",CATALOGO[Código],0))</f>
        <v>INSUMOS DE OFICINA</v>
      </c>
      <c r="J6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631" s="161" t="str">
        <f>IF((EJECUTADO[[#This Row],[MONTO DISPONIBLE ]]-EJECUTADO[[#This Row],[MONTO SOLICITADO]])&gt;=0,"PRESUPUESTO: SI","PRESUPUESTO: NO")</f>
        <v>PRESUPUESTO: SI</v>
      </c>
      <c r="L631" s="162">
        <f>SUMIF(PRESUPUESTO[CUENTA],EJECUTADO[[#This Row],[CUENTA]],PRESUPUESTO[MONTO])-SUMIF($F$1:F630,EJECUTADO[[#This Row],[CUENTA]],$M$1:M630)</f>
        <v>44527.25</v>
      </c>
      <c r="M631" s="2">
        <v>10.99</v>
      </c>
      <c r="N631" s="84"/>
      <c r="O631" s="84"/>
      <c r="P631" s="162">
        <f>+EJECUTADO[[#This Row],[MONTO SOLICITADO]]-EJECUTADO[[#This Row],[RETENCION IVA]]-EJECUTADO[[#This Row],[RETENCION ISR]]</f>
        <v>10.99</v>
      </c>
      <c r="Q631" s="84" t="s">
        <v>1000</v>
      </c>
      <c r="R631" s="84"/>
      <c r="S631">
        <v>1</v>
      </c>
      <c r="T631" s="168" t="str">
        <f t="shared" si="18"/>
        <v>INSUMOS DE OFICINA - PAPELERIA Y UTILES Disponible $44527.25 Solicitado $10.99 PRESUPUESTO: SI</v>
      </c>
    </row>
    <row r="632" spans="1:20" x14ac:dyDescent="0.25">
      <c r="A632" s="6">
        <f t="shared" si="19"/>
        <v>627</v>
      </c>
      <c r="B632" s="21">
        <v>45350</v>
      </c>
      <c r="C632" s="110" t="s">
        <v>1641</v>
      </c>
      <c r="D632" s="126" t="s">
        <v>1844</v>
      </c>
      <c r="E632" s="65"/>
      <c r="F632" t="s">
        <v>1699</v>
      </c>
      <c r="G632" s="161">
        <f>MONTH(EJECUTADO[[#This Row],[FECHA]])</f>
        <v>2</v>
      </c>
      <c r="H632" s="163" t="str">
        <f>MID(EJECUTADO[[#This Row],[CUENTA]],1,4)</f>
        <v>E-27</v>
      </c>
      <c r="I632" s="163" t="str">
        <f>INDEX(CATALOGO[Descripción],MATCH(EJECUTADO[[#This Row],[APLICACIÓN]]&amp;"-00-00-00",CATALOGO[Código],0))</f>
        <v>INSUMOS DE OFICINA</v>
      </c>
      <c r="J63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632" s="161" t="str">
        <f>IF((EJECUTADO[[#This Row],[MONTO DISPONIBLE ]]-EJECUTADO[[#This Row],[MONTO SOLICITADO]])&gt;=0,"PRESUPUESTO: SI","PRESUPUESTO: NO")</f>
        <v>PRESUPUESTO: NO</v>
      </c>
      <c r="L632" s="162">
        <f>SUMIF(PRESUPUESTO[CUENTA],EJECUTADO[[#This Row],[CUENTA]],PRESUPUESTO[MONTO])-SUMIF($F$1:F631,EJECUTADO[[#This Row],[CUENTA]],$M$1:M631)</f>
        <v>-1355.4</v>
      </c>
      <c r="M632" s="2">
        <v>60.8</v>
      </c>
      <c r="N632" s="84"/>
      <c r="O632" s="84"/>
      <c r="P632" s="162">
        <f>+EJECUTADO[[#This Row],[MONTO SOLICITADO]]-EJECUTADO[[#This Row],[RETENCION IVA]]-EJECUTADO[[#This Row],[RETENCION ISR]]</f>
        <v>60.8</v>
      </c>
      <c r="Q632" s="84" t="s">
        <v>1000</v>
      </c>
      <c r="R632" s="84"/>
      <c r="S632">
        <v>1</v>
      </c>
      <c r="T632" s="168" t="e">
        <f t="shared" si="18"/>
        <v>#N/A</v>
      </c>
    </row>
    <row r="633" spans="1:20" x14ac:dyDescent="0.25">
      <c r="A633" s="6">
        <f t="shared" si="19"/>
        <v>628</v>
      </c>
      <c r="B633" s="21">
        <v>45350</v>
      </c>
      <c r="C633" s="109" t="s">
        <v>1641</v>
      </c>
      <c r="D633" s="126" t="s">
        <v>1845</v>
      </c>
      <c r="E633" s="65"/>
      <c r="F633" t="s">
        <v>1187</v>
      </c>
      <c r="G633" s="161">
        <f>MONTH(EJECUTADO[[#This Row],[FECHA]])</f>
        <v>2</v>
      </c>
      <c r="H633" s="163" t="str">
        <f>MID(EJECUTADO[[#This Row],[CUENTA]],1,4)</f>
        <v>E-26</v>
      </c>
      <c r="I633" s="163" t="str">
        <f>INDEX(CATALOGO[Descripción],MATCH(EJECUTADO[[#This Row],[APLICACIÓN]]&amp;"-00-00-00",CATALOGO[Código],0))</f>
        <v>EVENTOS ACADEMICOS, CULTURALES  E INSTITUCIONALES</v>
      </c>
      <c r="J6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ATENCION FLORAL  Y ESQUELAS POR DEFUNSIONES</v>
      </c>
      <c r="K633" s="161" t="str">
        <f>IF((EJECUTADO[[#This Row],[MONTO DISPONIBLE ]]-EJECUTADO[[#This Row],[MONTO SOLICITADO]])&gt;=0,"PRESUPUESTO: SI","PRESUPUESTO: NO")</f>
        <v>PRESUPUESTO: SI</v>
      </c>
      <c r="L633" s="162">
        <f>SUMIF(PRESUPUESTO[CUENTA],EJECUTADO[[#This Row],[CUENTA]],PRESUPUESTO[MONTO])-SUMIF($F$1:F632,EJECUTADO[[#This Row],[CUENTA]],$M$1:M632)</f>
        <v>7983.35</v>
      </c>
      <c r="M633" s="2">
        <v>276</v>
      </c>
      <c r="N633" s="84"/>
      <c r="O633" s="84"/>
      <c r="P633" s="162">
        <f>+EJECUTADO[[#This Row],[MONTO SOLICITADO]]-EJECUTADO[[#This Row],[RETENCION IVA]]-EJECUTADO[[#This Row],[RETENCION ISR]]</f>
        <v>276</v>
      </c>
      <c r="Q633" s="84" t="s">
        <v>1000</v>
      </c>
      <c r="R633" s="84"/>
      <c r="S633">
        <v>1</v>
      </c>
      <c r="T633" s="168" t="str">
        <f t="shared" si="18"/>
        <v>EVENTOS ACADEMICOS, CULTURALES  E INSTITUCIONALES - ATENCION FLORAL  Y ESQUELAS POR DEFUNSIONES Disponible $7983.35 Solicitado $276 PRESUPUESTO: SI</v>
      </c>
    </row>
    <row r="634" spans="1:20" x14ac:dyDescent="0.25">
      <c r="A634" s="6">
        <f t="shared" si="19"/>
        <v>629</v>
      </c>
      <c r="B634" s="21">
        <v>45350</v>
      </c>
      <c r="C634" s="110" t="s">
        <v>1641</v>
      </c>
      <c r="D634" s="126" t="s">
        <v>1846</v>
      </c>
      <c r="E634" s="65"/>
      <c r="F634" t="s">
        <v>1847</v>
      </c>
      <c r="G634" s="161">
        <f>MONTH(EJECUTADO[[#This Row],[FECHA]])</f>
        <v>2</v>
      </c>
      <c r="H634" s="163" t="str">
        <f>MID(EJECUTADO[[#This Row],[CUENTA]],1,4)</f>
        <v>E-32</v>
      </c>
      <c r="I634" s="163" t="str">
        <f>INDEX(CATALOGO[Descripción],MATCH(EJECUTADO[[#This Row],[APLICACIÓN]]&amp;"-00-00-00",CATALOGO[Código],0))</f>
        <v>RELACIONES INTERNACIONALES</v>
      </c>
      <c r="J6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634" s="161" t="str">
        <f>IF((EJECUTADO[[#This Row],[MONTO DISPONIBLE ]]-EJECUTADO[[#This Row],[MONTO SOLICITADO]])&gt;=0,"PRESUPUESTO: SI","PRESUPUESTO: NO")</f>
        <v>PRESUPUESTO: NO</v>
      </c>
      <c r="L634" s="162">
        <f>SUMIF(PRESUPUESTO[CUENTA],EJECUTADO[[#This Row],[CUENTA]],PRESUPUESTO[MONTO])-SUMIF($F$1:F633,EJECUTADO[[#This Row],[CUENTA]],$M$1:M633)</f>
        <v>0</v>
      </c>
      <c r="M634" s="2">
        <v>149.9</v>
      </c>
      <c r="N634" s="84"/>
      <c r="O634" s="84"/>
      <c r="P634" s="162">
        <f>+EJECUTADO[[#This Row],[MONTO SOLICITADO]]-EJECUTADO[[#This Row],[RETENCION IVA]]-EJECUTADO[[#This Row],[RETENCION ISR]]</f>
        <v>149.9</v>
      </c>
      <c r="Q634" s="84" t="s">
        <v>1000</v>
      </c>
      <c r="R634" s="84"/>
      <c r="S634">
        <v>1</v>
      </c>
      <c r="T634" s="168" t="str">
        <f t="shared" si="18"/>
        <v>RELACIONES INTERNACIONALES - LA CUENTA SELECCIONADA NO PERMITE MOVIMIENTO Disponible $0 Solicitado $149.9 PRESUPUESTO: NO</v>
      </c>
    </row>
    <row r="635" spans="1:20" x14ac:dyDescent="0.25">
      <c r="A635" s="6">
        <f t="shared" si="19"/>
        <v>630</v>
      </c>
      <c r="B635" s="21">
        <v>45350</v>
      </c>
      <c r="C635" s="109" t="s">
        <v>1641</v>
      </c>
      <c r="D635" s="126" t="s">
        <v>1848</v>
      </c>
      <c r="E635" s="65"/>
      <c r="F635" t="s">
        <v>1849</v>
      </c>
      <c r="G635" s="161">
        <f>MONTH(EJECUTADO[[#This Row],[FECHA]])</f>
        <v>2</v>
      </c>
      <c r="H635" s="163" t="str">
        <f>MID(EJECUTADO[[#This Row],[CUENTA]],1,4)</f>
        <v>E-32</v>
      </c>
      <c r="I635" s="163" t="str">
        <f>INDEX(CATALOGO[Descripción],MATCH(EJECUTADO[[#This Row],[APLICACIÓN]]&amp;"-00-00-00",CATALOGO[Código],0))</f>
        <v>RELACIONES INTERNACIONALES</v>
      </c>
      <c r="J6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Herramienta Dropbok</v>
      </c>
      <c r="K635" s="161" t="str">
        <f>IF((EJECUTADO[[#This Row],[MONTO DISPONIBLE ]]-EJECUTADO[[#This Row],[MONTO SOLICITADO]])&gt;=0,"PRESUPUESTO: SI","PRESUPUESTO: NO")</f>
        <v>PRESUPUESTO: SI</v>
      </c>
      <c r="L635" s="162">
        <f>SUMIF(PRESUPUESTO[CUENTA],EJECUTADO[[#This Row],[CUENTA]],PRESUPUESTO[MONTO])-SUMIF($F$1:F634,EJECUTADO[[#This Row],[CUENTA]],$M$1:M634)</f>
        <v>150</v>
      </c>
      <c r="M635" s="2">
        <v>11.99</v>
      </c>
      <c r="N635" s="84"/>
      <c r="O635" s="84"/>
      <c r="P635" s="162">
        <f>+EJECUTADO[[#This Row],[MONTO SOLICITADO]]-EJECUTADO[[#This Row],[RETENCION IVA]]-EJECUTADO[[#This Row],[RETENCION ISR]]</f>
        <v>11.99</v>
      </c>
      <c r="Q635" s="84" t="s">
        <v>1000</v>
      </c>
      <c r="R635" s="84"/>
      <c r="S635">
        <v>1</v>
      </c>
      <c r="T635" s="168" t="str">
        <f t="shared" si="18"/>
        <v>RELACIONES INTERNACIONALES - Herramienta Dropbok Disponible $150 Solicitado $11.99 PRESUPUESTO: SI</v>
      </c>
    </row>
    <row r="636" spans="1:20" x14ac:dyDescent="0.25">
      <c r="A636" s="6">
        <f t="shared" si="19"/>
        <v>631</v>
      </c>
      <c r="B636" s="21">
        <v>45351</v>
      </c>
      <c r="C636" s="110" t="s">
        <v>1418</v>
      </c>
      <c r="D636" s="126" t="s">
        <v>1419</v>
      </c>
      <c r="E636" s="65"/>
      <c r="F636" t="s">
        <v>1420</v>
      </c>
      <c r="G636" s="161">
        <f>MONTH(EJECUTADO[[#This Row],[FECHA]])</f>
        <v>2</v>
      </c>
      <c r="H636" s="163" t="str">
        <f>MID(EJECUTADO[[#This Row],[CUENTA]],1,4)</f>
        <v>E-03</v>
      </c>
      <c r="I636" s="163" t="str">
        <f>INDEX(CATALOGO[Descripción],MATCH(EJECUTADO[[#This Row],[APLICACIÓN]]&amp;"-00-00-00",CATALOGO[Código],0))</f>
        <v>SUELDOS ADMINISTRATIVOS</v>
      </c>
      <c r="J6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636" s="161" t="str">
        <f>IF((EJECUTADO[[#This Row],[MONTO DISPONIBLE ]]-EJECUTADO[[#This Row],[MONTO SOLICITADO]])&gt;=0,"PRESUPUESTO: SI","PRESUPUESTO: NO")</f>
        <v>PRESUPUESTO: SI</v>
      </c>
      <c r="L636" s="162">
        <f>SUMIF(PRESUPUESTO[CUENTA],EJECUTADO[[#This Row],[CUENTA]],PRESUPUESTO[MONTO])-SUMIF($F$1:F635,EJECUTADO[[#This Row],[CUENTA]],$M$1:M635)</f>
        <v>967250</v>
      </c>
      <c r="M636" s="2">
        <v>17750</v>
      </c>
      <c r="N636" s="84"/>
      <c r="O636" s="84"/>
      <c r="P636" s="162">
        <f>+EJECUTADO[[#This Row],[MONTO SOLICITADO]]-EJECUTADO[[#This Row],[RETENCION IVA]]-EJECUTADO[[#This Row],[RETENCION ISR]]</f>
        <v>17750</v>
      </c>
      <c r="Q636" s="84" t="s">
        <v>1000</v>
      </c>
      <c r="R636" s="84"/>
      <c r="S636">
        <v>1</v>
      </c>
      <c r="T636" s="168" t="str">
        <f t="shared" si="18"/>
        <v>SUELDOS ADMINISTRATIVOS - SUELDOS Y SALARIOS PRESIDENCIA JUNTA GU Disponible $967250 Solicitado $17750 PRESUPUESTO: SI</v>
      </c>
    </row>
    <row r="637" spans="1:20" x14ac:dyDescent="0.25">
      <c r="A637" s="6">
        <f t="shared" si="19"/>
        <v>632</v>
      </c>
      <c r="B637" s="21">
        <v>45351</v>
      </c>
      <c r="C637" s="109" t="s">
        <v>1418</v>
      </c>
      <c r="D637" s="126" t="s">
        <v>1421</v>
      </c>
      <c r="E637" s="65"/>
      <c r="F637" t="s">
        <v>1422</v>
      </c>
      <c r="G637" s="161">
        <f>MONTH(EJECUTADO[[#This Row],[FECHA]])</f>
        <v>2</v>
      </c>
      <c r="H637" s="163" t="str">
        <f>MID(EJECUTADO[[#This Row],[CUENTA]],1,4)</f>
        <v>E-03</v>
      </c>
      <c r="I637" s="163" t="str">
        <f>INDEX(CATALOGO[Descripción],MATCH(EJECUTADO[[#This Row],[APLICACIÓN]]&amp;"-00-00-00",CATALOGO[Código],0))</f>
        <v>SUELDOS ADMINISTRATIVOS</v>
      </c>
      <c r="J6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</v>
      </c>
      <c r="K637" s="161" t="str">
        <f>IF((EJECUTADO[[#This Row],[MONTO DISPONIBLE ]]-EJECUTADO[[#This Row],[MONTO SOLICITADO]])&gt;=0,"PRESUPUESTO: SI","PRESUPUESTO: NO")</f>
        <v>PRESUPUESTO: SI</v>
      </c>
      <c r="L637" s="162">
        <f>SUMIF(PRESUPUESTO[CUENTA],EJECUTADO[[#This Row],[CUENTA]],PRESUPUESTO[MONTO])-SUMIF($F$1:F636,EJECUTADO[[#This Row],[CUENTA]],$M$1:M636)</f>
        <v>152310.44</v>
      </c>
      <c r="M637" s="2">
        <v>73689.56</v>
      </c>
      <c r="N637" s="84"/>
      <c r="O637" s="84"/>
      <c r="P637" s="162">
        <f>+EJECUTADO[[#This Row],[MONTO SOLICITADO]]-EJECUTADO[[#This Row],[RETENCION IVA]]-EJECUTADO[[#This Row],[RETENCION ISR]]</f>
        <v>73689.56</v>
      </c>
      <c r="Q637" s="84" t="s">
        <v>1000</v>
      </c>
      <c r="R637" s="84"/>
      <c r="S637">
        <v>1</v>
      </c>
      <c r="T637" s="168" t="str">
        <f t="shared" si="18"/>
        <v>SUELDOS ADMINISTRATIVOS - SUELDOS Y SALARIOS PRESIDENCIA Disponible $152310.44 Solicitado $73689.56 PRESUPUESTO: SI</v>
      </c>
    </row>
    <row r="638" spans="1:20" ht="30" x14ac:dyDescent="0.25">
      <c r="A638" s="6">
        <f t="shared" si="19"/>
        <v>633</v>
      </c>
      <c r="B638" s="21">
        <v>45351</v>
      </c>
      <c r="C638" s="110" t="s">
        <v>1418</v>
      </c>
      <c r="D638" s="126" t="s">
        <v>1423</v>
      </c>
      <c r="E638" s="65"/>
      <c r="F638" t="s">
        <v>1424</v>
      </c>
      <c r="G638" s="161">
        <f>MONTH(EJECUTADO[[#This Row],[FECHA]])</f>
        <v>2</v>
      </c>
      <c r="H638" s="163" t="str">
        <f>MID(EJECUTADO[[#This Row],[CUENTA]],1,4)</f>
        <v>E-03</v>
      </c>
      <c r="I638" s="163" t="str">
        <f>INDEX(CATALOGO[Descripción],MATCH(EJECUTADO[[#This Row],[APLICACIÓN]]&amp;"-00-00-00",CATALOGO[Código],0))</f>
        <v>SUELDOS ADMINISTRATIVOS</v>
      </c>
      <c r="J6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SECRETARIA GENERAL</v>
      </c>
      <c r="K638" s="161" t="str">
        <f>IF((EJECUTADO[[#This Row],[MONTO DISPONIBLE ]]-EJECUTADO[[#This Row],[MONTO SOLICITADO]])&gt;=0,"PRESUPUESTO: SI","PRESUPUESTO: NO")</f>
        <v>PRESUPUESTO: SI</v>
      </c>
      <c r="L638" s="162">
        <f>SUMIF(PRESUPUESTO[CUENTA],EJECUTADO[[#This Row],[CUENTA]],PRESUPUESTO[MONTO])-SUMIF($F$1:F637,EJECUTADO[[#This Row],[CUENTA]],$M$1:M637)</f>
        <v>77550</v>
      </c>
      <c r="M638" s="2">
        <v>5700</v>
      </c>
      <c r="N638" s="84"/>
      <c r="O638" s="84"/>
      <c r="P638" s="162">
        <f>+EJECUTADO[[#This Row],[MONTO SOLICITADO]]-EJECUTADO[[#This Row],[RETENCION IVA]]-EJECUTADO[[#This Row],[RETENCION ISR]]</f>
        <v>5700</v>
      </c>
      <c r="Q638" s="84" t="s">
        <v>1000</v>
      </c>
      <c r="R638" s="84"/>
      <c r="S638">
        <v>1</v>
      </c>
      <c r="T638" s="168" t="str">
        <f t="shared" si="18"/>
        <v>SUELDOS ADMINISTRATIVOS - SUELDOS Y SALARIOS SECRETARIA GENERAL Disponible $77550 Solicitado $5700 PRESUPUESTO: SI</v>
      </c>
    </row>
    <row r="639" spans="1:20" x14ac:dyDescent="0.25">
      <c r="A639" s="6">
        <f t="shared" si="19"/>
        <v>634</v>
      </c>
      <c r="B639" s="21">
        <v>45351</v>
      </c>
      <c r="C639" s="109" t="s">
        <v>1418</v>
      </c>
      <c r="D639" s="126" t="s">
        <v>1425</v>
      </c>
      <c r="E639" s="65"/>
      <c r="F639" t="s">
        <v>1281</v>
      </c>
      <c r="G639" s="161">
        <f>MONTH(EJECUTADO[[#This Row],[FECHA]])</f>
        <v>2</v>
      </c>
      <c r="H639" s="163" t="str">
        <f>MID(EJECUTADO[[#This Row],[CUENTA]],1,4)</f>
        <v>E-03</v>
      </c>
      <c r="I639" s="163" t="str">
        <f>INDEX(CATALOGO[Descripción],MATCH(EJECUTADO[[#This Row],[APLICACIÓN]]&amp;"-00-00-00",CATALOGO[Código],0))</f>
        <v>SUELDOS ADMINISTRATIVOS</v>
      </c>
      <c r="J6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39" s="161" t="str">
        <f>IF((EJECUTADO[[#This Row],[MONTO DISPONIBLE ]]-EJECUTADO[[#This Row],[MONTO SOLICITADO]])&gt;=0,"PRESUPUESTO: SI","PRESUPUESTO: NO")</f>
        <v>PRESUPUESTO: SI</v>
      </c>
      <c r="L639" s="162">
        <f>SUMIF(PRESUPUESTO[CUENTA],EJECUTADO[[#This Row],[CUENTA]],PRESUPUESTO[MONTO])-SUMIF($F$1:F638,EJECUTADO[[#This Row],[CUENTA]],$M$1:M638)</f>
        <v>290898.51</v>
      </c>
      <c r="M639" s="2">
        <v>3650</v>
      </c>
      <c r="N639" s="84"/>
      <c r="O639" s="84"/>
      <c r="P639" s="162">
        <f>+EJECUTADO[[#This Row],[MONTO SOLICITADO]]-EJECUTADO[[#This Row],[RETENCION IVA]]-EJECUTADO[[#This Row],[RETENCION ISR]]</f>
        <v>3650</v>
      </c>
      <c r="Q639" s="84" t="s">
        <v>1000</v>
      </c>
      <c r="R639" s="84"/>
      <c r="S639">
        <v>1</v>
      </c>
      <c r="T639" s="168" t="str">
        <f t="shared" si="18"/>
        <v>SUELDOS ADMINISTRATIVOS - SUELDOS Y SALARIOS VICERRECTORÍA FINANCIERA  Disponible $290898.51 Solicitado $3650 PRESUPUESTO: SI</v>
      </c>
    </row>
    <row r="640" spans="1:20" x14ac:dyDescent="0.25">
      <c r="A640" s="6">
        <f t="shared" si="19"/>
        <v>635</v>
      </c>
      <c r="B640" s="21">
        <v>45351</v>
      </c>
      <c r="C640" s="110" t="s">
        <v>1418</v>
      </c>
      <c r="D640" s="126" t="s">
        <v>1426</v>
      </c>
      <c r="E640" s="65"/>
      <c r="F640" t="s">
        <v>1281</v>
      </c>
      <c r="G640" s="161">
        <f>MONTH(EJECUTADO[[#This Row],[FECHA]])</f>
        <v>2</v>
      </c>
      <c r="H640" s="163" t="str">
        <f>MID(EJECUTADO[[#This Row],[CUENTA]],1,4)</f>
        <v>E-03</v>
      </c>
      <c r="I640" s="163" t="str">
        <f>INDEX(CATALOGO[Descripción],MATCH(EJECUTADO[[#This Row],[APLICACIÓN]]&amp;"-00-00-00",CATALOGO[Código],0))</f>
        <v>SUELDOS ADMINISTRATIVOS</v>
      </c>
      <c r="J6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0" s="161" t="str">
        <f>IF((EJECUTADO[[#This Row],[MONTO DISPONIBLE ]]-EJECUTADO[[#This Row],[MONTO SOLICITADO]])&gt;=0,"PRESUPUESTO: SI","PRESUPUESTO: NO")</f>
        <v>PRESUPUESTO: SI</v>
      </c>
      <c r="L640" s="162">
        <f>SUMIF(PRESUPUESTO[CUENTA],EJECUTADO[[#This Row],[CUENTA]],PRESUPUESTO[MONTO])-SUMIF($F$1:F639,EJECUTADO[[#This Row],[CUENTA]],$M$1:M639)</f>
        <v>287248.51</v>
      </c>
      <c r="M640" s="2">
        <v>900</v>
      </c>
      <c r="N640" s="84"/>
      <c r="O640" s="84"/>
      <c r="P640" s="162">
        <f>+EJECUTADO[[#This Row],[MONTO SOLICITADO]]-EJECUTADO[[#This Row],[RETENCION IVA]]-EJECUTADO[[#This Row],[RETENCION ISR]]</f>
        <v>900</v>
      </c>
      <c r="Q640" s="84" t="s">
        <v>1000</v>
      </c>
      <c r="R640" s="84"/>
      <c r="S640">
        <v>1</v>
      </c>
      <c r="T640" s="168" t="str">
        <f t="shared" si="18"/>
        <v>SUELDOS ADMINISTRATIVOS - SUELDOS Y SALARIOS VICERRECTORÍA FINANCIERA  Disponible $287248.51 Solicitado $900 PRESUPUESTO: SI</v>
      </c>
    </row>
    <row r="641" spans="1:20" x14ac:dyDescent="0.25">
      <c r="A641" s="6">
        <f t="shared" si="19"/>
        <v>636</v>
      </c>
      <c r="B641" s="21">
        <v>45351</v>
      </c>
      <c r="C641" s="109" t="s">
        <v>1418</v>
      </c>
      <c r="D641" s="126" t="s">
        <v>1427</v>
      </c>
      <c r="E641" s="65"/>
      <c r="F641" t="s">
        <v>1281</v>
      </c>
      <c r="G641" s="161">
        <f>MONTH(EJECUTADO[[#This Row],[FECHA]])</f>
        <v>2</v>
      </c>
      <c r="H641" s="163" t="str">
        <f>MID(EJECUTADO[[#This Row],[CUENTA]],1,4)</f>
        <v>E-03</v>
      </c>
      <c r="I641" s="163" t="str">
        <f>INDEX(CATALOGO[Descripción],MATCH(EJECUTADO[[#This Row],[APLICACIÓN]]&amp;"-00-00-00",CATALOGO[Código],0))</f>
        <v>SUELDOS ADMINISTRATIVOS</v>
      </c>
      <c r="J6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1" s="161" t="str">
        <f>IF((EJECUTADO[[#This Row],[MONTO DISPONIBLE ]]-EJECUTADO[[#This Row],[MONTO SOLICITADO]])&gt;=0,"PRESUPUESTO: SI","PRESUPUESTO: NO")</f>
        <v>PRESUPUESTO: SI</v>
      </c>
      <c r="L641" s="162">
        <f>SUMIF(PRESUPUESTO[CUENTA],EJECUTADO[[#This Row],[CUENTA]],PRESUPUESTO[MONTO])-SUMIF($F$1:F640,EJECUTADO[[#This Row],[CUENTA]],$M$1:M640)</f>
        <v>286348.51</v>
      </c>
      <c r="M641" s="2">
        <v>8080.18</v>
      </c>
      <c r="N641" s="84"/>
      <c r="O641" s="84"/>
      <c r="P641" s="162">
        <f>+EJECUTADO[[#This Row],[MONTO SOLICITADO]]-EJECUTADO[[#This Row],[RETENCION IVA]]-EJECUTADO[[#This Row],[RETENCION ISR]]</f>
        <v>8080.18</v>
      </c>
      <c r="Q641" s="84" t="s">
        <v>1000</v>
      </c>
      <c r="R641" s="84"/>
      <c r="S641">
        <v>1</v>
      </c>
      <c r="T641" s="168" t="str">
        <f t="shared" si="18"/>
        <v>SUELDOS ADMINISTRATIVOS - SUELDOS Y SALARIOS VICERRECTORÍA FINANCIERA  Disponible $286348.51 Solicitado $8080.18 PRESUPUESTO: SI</v>
      </c>
    </row>
    <row r="642" spans="1:20" x14ac:dyDescent="0.25">
      <c r="A642" s="6">
        <f t="shared" si="19"/>
        <v>637</v>
      </c>
      <c r="B642" s="21">
        <v>45351</v>
      </c>
      <c r="C642" s="110" t="s">
        <v>1418</v>
      </c>
      <c r="D642" s="126" t="s">
        <v>1428</v>
      </c>
      <c r="E642" s="65"/>
      <c r="F642" t="s">
        <v>1281</v>
      </c>
      <c r="G642" s="161">
        <f>MONTH(EJECUTADO[[#This Row],[FECHA]])</f>
        <v>2</v>
      </c>
      <c r="H642" s="163" t="str">
        <f>MID(EJECUTADO[[#This Row],[CUENTA]],1,4)</f>
        <v>E-03</v>
      </c>
      <c r="I642" s="163" t="str">
        <f>INDEX(CATALOGO[Descripción],MATCH(EJECUTADO[[#This Row],[APLICACIÓN]]&amp;"-00-00-00",CATALOGO[Código],0))</f>
        <v>SUELDOS ADMINISTRATIVOS</v>
      </c>
      <c r="J6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2" s="161" t="str">
        <f>IF((EJECUTADO[[#This Row],[MONTO DISPONIBLE ]]-EJECUTADO[[#This Row],[MONTO SOLICITADO]])&gt;=0,"PRESUPUESTO: SI","PRESUPUESTO: NO")</f>
        <v>PRESUPUESTO: SI</v>
      </c>
      <c r="L642" s="162">
        <f>SUMIF(PRESUPUESTO[CUENTA],EJECUTADO[[#This Row],[CUENTA]],PRESUPUESTO[MONTO])-SUMIF($F$1:F641,EJECUTADO[[#This Row],[CUENTA]],$M$1:M641)</f>
        <v>278268.33</v>
      </c>
      <c r="M642" s="2">
        <v>2075</v>
      </c>
      <c r="N642" s="84"/>
      <c r="O642" s="84"/>
      <c r="P642" s="162">
        <f>+EJECUTADO[[#This Row],[MONTO SOLICITADO]]-EJECUTADO[[#This Row],[RETENCION IVA]]-EJECUTADO[[#This Row],[RETENCION ISR]]</f>
        <v>2075</v>
      </c>
      <c r="Q642" s="84" t="s">
        <v>1000</v>
      </c>
      <c r="R642" s="84"/>
      <c r="S642">
        <v>1</v>
      </c>
      <c r="T642" s="168" t="str">
        <f t="shared" si="18"/>
        <v>SUELDOS ADMINISTRATIVOS - SUELDOS Y SALARIOS VICERRECTORÍA FINANCIERA  Disponible $278268.33 Solicitado $2075 PRESUPUESTO: SI</v>
      </c>
    </row>
    <row r="643" spans="1:20" x14ac:dyDescent="0.25">
      <c r="A643" s="6">
        <f t="shared" si="19"/>
        <v>638</v>
      </c>
      <c r="B643" s="21">
        <v>45351</v>
      </c>
      <c r="C643" s="109" t="s">
        <v>1418</v>
      </c>
      <c r="D643" s="126" t="s">
        <v>1429</v>
      </c>
      <c r="E643" s="65"/>
      <c r="F643" t="s">
        <v>1281</v>
      </c>
      <c r="G643" s="161">
        <f>MONTH(EJECUTADO[[#This Row],[FECHA]])</f>
        <v>2</v>
      </c>
      <c r="H643" s="163" t="str">
        <f>MID(EJECUTADO[[#This Row],[CUENTA]],1,4)</f>
        <v>E-03</v>
      </c>
      <c r="I643" s="163" t="str">
        <f>INDEX(CATALOGO[Descripción],MATCH(EJECUTADO[[#This Row],[APLICACIÓN]]&amp;"-00-00-00",CATALOGO[Código],0))</f>
        <v>SUELDOS ADMINISTRATIVOS</v>
      </c>
      <c r="J6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3" s="161" t="str">
        <f>IF((EJECUTADO[[#This Row],[MONTO DISPONIBLE ]]-EJECUTADO[[#This Row],[MONTO SOLICITADO]])&gt;=0,"PRESUPUESTO: SI","PRESUPUESTO: NO")</f>
        <v>PRESUPUESTO: SI</v>
      </c>
      <c r="L643" s="162">
        <f>SUMIF(PRESUPUESTO[CUENTA],EJECUTADO[[#This Row],[CUENTA]],PRESUPUESTO[MONTO])-SUMIF($F$1:F642,EJECUTADO[[#This Row],[CUENTA]],$M$1:M642)</f>
        <v>276193.33</v>
      </c>
      <c r="M643" s="2">
        <v>3970.84</v>
      </c>
      <c r="N643" s="84"/>
      <c r="O643" s="84"/>
      <c r="P643" s="162">
        <f>+EJECUTADO[[#This Row],[MONTO SOLICITADO]]-EJECUTADO[[#This Row],[RETENCION IVA]]-EJECUTADO[[#This Row],[RETENCION ISR]]</f>
        <v>3970.84</v>
      </c>
      <c r="Q643" s="84" t="s">
        <v>1000</v>
      </c>
      <c r="R643" s="84"/>
      <c r="S643">
        <v>1</v>
      </c>
      <c r="T643" s="168" t="str">
        <f t="shared" si="18"/>
        <v>SUELDOS ADMINISTRATIVOS - SUELDOS Y SALARIOS VICERRECTORÍA FINANCIERA  Disponible $276193.33 Solicitado $3970.84 PRESUPUESTO: SI</v>
      </c>
    </row>
    <row r="644" spans="1:20" x14ac:dyDescent="0.25">
      <c r="A644" s="6">
        <f t="shared" si="19"/>
        <v>639</v>
      </c>
      <c r="B644" s="21">
        <v>45351</v>
      </c>
      <c r="C644" s="110" t="s">
        <v>1418</v>
      </c>
      <c r="D644" s="126" t="s">
        <v>1430</v>
      </c>
      <c r="E644" s="65"/>
      <c r="F644" t="s">
        <v>1281</v>
      </c>
      <c r="G644" s="161">
        <f>MONTH(EJECUTADO[[#This Row],[FECHA]])</f>
        <v>2</v>
      </c>
      <c r="H644" s="163" t="str">
        <f>MID(EJECUTADO[[#This Row],[CUENTA]],1,4)</f>
        <v>E-03</v>
      </c>
      <c r="I644" s="163" t="str">
        <f>INDEX(CATALOGO[Descripción],MATCH(EJECUTADO[[#This Row],[APLICACIÓN]]&amp;"-00-00-00",CATALOGO[Código],0))</f>
        <v>SUELDOS ADMINISTRATIVOS</v>
      </c>
      <c r="J6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4" s="161" t="str">
        <f>IF((EJECUTADO[[#This Row],[MONTO DISPONIBLE ]]-EJECUTADO[[#This Row],[MONTO SOLICITADO]])&gt;=0,"PRESUPUESTO: SI","PRESUPUESTO: NO")</f>
        <v>PRESUPUESTO: SI</v>
      </c>
      <c r="L644" s="162">
        <f>SUMIF(PRESUPUESTO[CUENTA],EJECUTADO[[#This Row],[CUENTA]],PRESUPUESTO[MONTO])-SUMIF($F$1:F643,EJECUTADO[[#This Row],[CUENTA]],$M$1:M643)</f>
        <v>272222.49</v>
      </c>
      <c r="M644" s="2">
        <v>2500</v>
      </c>
      <c r="N644" s="84"/>
      <c r="O644" s="84"/>
      <c r="P644" s="162">
        <f>+EJECUTADO[[#This Row],[MONTO SOLICITADO]]-EJECUTADO[[#This Row],[RETENCION IVA]]-EJECUTADO[[#This Row],[RETENCION ISR]]</f>
        <v>2500</v>
      </c>
      <c r="Q644" s="84" t="s">
        <v>1000</v>
      </c>
      <c r="R644" s="84"/>
      <c r="S644">
        <v>1</v>
      </c>
      <c r="T644" s="168" t="str">
        <f t="shared" ref="T644:T707" si="20">_xlfn.CONCAT(I644," - ",J644," Disponible $",L644," Solicitado $",M644," ",K644,)</f>
        <v>SUELDOS ADMINISTRATIVOS - SUELDOS Y SALARIOS VICERRECTORÍA FINANCIERA  Disponible $272222.49 Solicitado $2500 PRESUPUESTO: SI</v>
      </c>
    </row>
    <row r="645" spans="1:20" x14ac:dyDescent="0.25">
      <c r="A645" s="6">
        <f t="shared" si="19"/>
        <v>640</v>
      </c>
      <c r="B645" s="21">
        <v>45351</v>
      </c>
      <c r="C645" s="109" t="s">
        <v>1418</v>
      </c>
      <c r="D645" s="126" t="s">
        <v>1431</v>
      </c>
      <c r="E645" s="65"/>
      <c r="F645" t="s">
        <v>1281</v>
      </c>
      <c r="G645" s="161">
        <f>MONTH(EJECUTADO[[#This Row],[FECHA]])</f>
        <v>2</v>
      </c>
      <c r="H645" s="163" t="str">
        <f>MID(EJECUTADO[[#This Row],[CUENTA]],1,4)</f>
        <v>E-03</v>
      </c>
      <c r="I645" s="163" t="str">
        <f>INDEX(CATALOGO[Descripción],MATCH(EJECUTADO[[#This Row],[APLICACIÓN]]&amp;"-00-00-00",CATALOGO[Código],0))</f>
        <v>SUELDOS ADMINISTRATIVOS</v>
      </c>
      <c r="J6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5" s="161" t="str">
        <f>IF((EJECUTADO[[#This Row],[MONTO DISPONIBLE ]]-EJECUTADO[[#This Row],[MONTO SOLICITADO]])&gt;=0,"PRESUPUESTO: SI","PRESUPUESTO: NO")</f>
        <v>PRESUPUESTO: SI</v>
      </c>
      <c r="L645" s="162">
        <f>SUMIF(PRESUPUESTO[CUENTA],EJECUTADO[[#This Row],[CUENTA]],PRESUPUESTO[MONTO])-SUMIF($F$1:F644,EJECUTADO[[#This Row],[CUENTA]],$M$1:M644)</f>
        <v>269722.49</v>
      </c>
      <c r="M645" s="2">
        <v>1400</v>
      </c>
      <c r="N645" s="84"/>
      <c r="O645" s="84"/>
      <c r="P645" s="162">
        <f>+EJECUTADO[[#This Row],[MONTO SOLICITADO]]-EJECUTADO[[#This Row],[RETENCION IVA]]-EJECUTADO[[#This Row],[RETENCION ISR]]</f>
        <v>1400</v>
      </c>
      <c r="Q645" s="84" t="s">
        <v>1000</v>
      </c>
      <c r="R645" s="84"/>
      <c r="S645">
        <v>1</v>
      </c>
      <c r="T645" s="168" t="str">
        <f t="shared" si="20"/>
        <v>SUELDOS ADMINISTRATIVOS - SUELDOS Y SALARIOS VICERRECTORÍA FINANCIERA  Disponible $269722.49 Solicitado $1400 PRESUPUESTO: SI</v>
      </c>
    </row>
    <row r="646" spans="1:20" x14ac:dyDescent="0.25">
      <c r="A646" s="6">
        <f t="shared" ref="A646:A709" si="21">+A645+1</f>
        <v>641</v>
      </c>
      <c r="B646" s="21">
        <v>45351</v>
      </c>
      <c r="C646" s="110" t="s">
        <v>1418</v>
      </c>
      <c r="D646" s="126" t="s">
        <v>1432</v>
      </c>
      <c r="E646" s="65"/>
      <c r="F646" t="s">
        <v>1281</v>
      </c>
      <c r="G646" s="161">
        <f>MONTH(EJECUTADO[[#This Row],[FECHA]])</f>
        <v>2</v>
      </c>
      <c r="H646" s="163" t="str">
        <f>MID(EJECUTADO[[#This Row],[CUENTA]],1,4)</f>
        <v>E-03</v>
      </c>
      <c r="I646" s="163" t="str">
        <f>INDEX(CATALOGO[Descripción],MATCH(EJECUTADO[[#This Row],[APLICACIÓN]]&amp;"-00-00-00",CATALOGO[Código],0))</f>
        <v>SUELDOS ADMINISTRATIVOS</v>
      </c>
      <c r="J6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46" s="161" t="str">
        <f>IF((EJECUTADO[[#This Row],[MONTO DISPONIBLE ]]-EJECUTADO[[#This Row],[MONTO SOLICITADO]])&gt;=0,"PRESUPUESTO: SI","PRESUPUESTO: NO")</f>
        <v>PRESUPUESTO: SI</v>
      </c>
      <c r="L646" s="162">
        <f>SUMIF(PRESUPUESTO[CUENTA],EJECUTADO[[#This Row],[CUENTA]],PRESUPUESTO[MONTO])-SUMIF($F$1:F645,EJECUTADO[[#This Row],[CUENTA]],$M$1:M645)</f>
        <v>268322.49</v>
      </c>
      <c r="M646" s="2">
        <v>1150</v>
      </c>
      <c r="N646" s="84"/>
      <c r="O646" s="84"/>
      <c r="P646" s="162">
        <f>+EJECUTADO[[#This Row],[MONTO SOLICITADO]]-EJECUTADO[[#This Row],[RETENCION IVA]]-EJECUTADO[[#This Row],[RETENCION ISR]]</f>
        <v>1150</v>
      </c>
      <c r="Q646" s="84" t="s">
        <v>1000</v>
      </c>
      <c r="R646" s="84"/>
      <c r="S646">
        <v>1</v>
      </c>
      <c r="T646" s="168" t="str">
        <f t="shared" si="20"/>
        <v>SUELDOS ADMINISTRATIVOS - SUELDOS Y SALARIOS VICERRECTORÍA FINANCIERA  Disponible $268322.49 Solicitado $1150 PRESUPUESTO: SI</v>
      </c>
    </row>
    <row r="647" spans="1:20" ht="45" x14ac:dyDescent="0.25">
      <c r="A647" s="6">
        <f t="shared" si="21"/>
        <v>642</v>
      </c>
      <c r="B647" s="21">
        <v>45351</v>
      </c>
      <c r="C647" s="109" t="s">
        <v>1418</v>
      </c>
      <c r="D647" s="126" t="s">
        <v>1433</v>
      </c>
      <c r="E647" s="65"/>
      <c r="F647" t="s">
        <v>1434</v>
      </c>
      <c r="G647" s="161">
        <f>MONTH(EJECUTADO[[#This Row],[FECHA]])</f>
        <v>2</v>
      </c>
      <c r="H647" s="163" t="str">
        <f>MID(EJECUTADO[[#This Row],[CUENTA]],1,4)</f>
        <v>E-03</v>
      </c>
      <c r="I647" s="163" t="str">
        <f>INDEX(CATALOGO[Descripción],MATCH(EJECUTADO[[#This Row],[APLICACIÓN]]&amp;"-00-00-00",CATALOGO[Código],0))</f>
        <v>SUELDOS ADMINISTRATIVOS</v>
      </c>
      <c r="J6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RECURSOS HUMANOS</v>
      </c>
      <c r="K647" s="161" t="str">
        <f>IF((EJECUTADO[[#This Row],[MONTO DISPONIBLE ]]-EJECUTADO[[#This Row],[MONTO SOLICITADO]])&gt;=0,"PRESUPUESTO: SI","PRESUPUESTO: NO")</f>
        <v>PRESUPUESTO: SI</v>
      </c>
      <c r="L647" s="162">
        <f>SUMIF(PRESUPUESTO[CUENTA],EJECUTADO[[#This Row],[CUENTA]],PRESUPUESTO[MONTO])-SUMIF($F$1:F646,EJECUTADO[[#This Row],[CUENTA]],$M$1:M646)</f>
        <v>127050</v>
      </c>
      <c r="M647" s="2">
        <v>6050</v>
      </c>
      <c r="N647" s="84"/>
      <c r="O647" s="84"/>
      <c r="P647" s="162">
        <f>+EJECUTADO[[#This Row],[MONTO SOLICITADO]]-EJECUTADO[[#This Row],[RETENCION IVA]]-EJECUTADO[[#This Row],[RETENCION ISR]]</f>
        <v>6050</v>
      </c>
      <c r="Q647" s="84" t="s">
        <v>1000</v>
      </c>
      <c r="R647" s="84"/>
      <c r="S647">
        <v>1</v>
      </c>
      <c r="T647" s="168" t="str">
        <f t="shared" si="20"/>
        <v>SUELDOS ADMINISTRATIVOS - SUELDOS Y SALARIOS DIRECCIÓN DE RECURSOS HUMANOS Disponible $127050 Solicitado $6050 PRESUPUESTO: SI</v>
      </c>
    </row>
    <row r="648" spans="1:20" ht="30" x14ac:dyDescent="0.25">
      <c r="A648" s="6">
        <f t="shared" si="21"/>
        <v>643</v>
      </c>
      <c r="B648" s="21">
        <v>45351</v>
      </c>
      <c r="C648" s="110" t="s">
        <v>1418</v>
      </c>
      <c r="D648" s="126" t="s">
        <v>1435</v>
      </c>
      <c r="E648" s="65"/>
      <c r="F648" t="s">
        <v>1229</v>
      </c>
      <c r="G648" s="161">
        <f>MONTH(EJECUTADO[[#This Row],[FECHA]])</f>
        <v>2</v>
      </c>
      <c r="H648" s="163" t="str">
        <f>MID(EJECUTADO[[#This Row],[CUENTA]],1,4)</f>
        <v>E-03</v>
      </c>
      <c r="I648" s="163" t="str">
        <f>INDEX(CATALOGO[Descripción],MATCH(EJECUTADO[[#This Row],[APLICACIÓN]]&amp;"-00-00-00",CATALOGO[Código],0))</f>
        <v>SUELDOS ADMINISTRATIVOS</v>
      </c>
      <c r="J6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648" s="161" t="str">
        <f>IF((EJECUTADO[[#This Row],[MONTO DISPONIBLE ]]-EJECUTADO[[#This Row],[MONTO SOLICITADO]])&gt;=0,"PRESUPUESTO: SI","PRESUPUESTO: NO")</f>
        <v>PRESUPUESTO: SI</v>
      </c>
      <c r="L648" s="162">
        <f>SUMIF(PRESUPUESTO[CUENTA],EJECUTADO[[#This Row],[CUENTA]],PRESUPUESTO[MONTO])-SUMIF($F$1:F647,EJECUTADO[[#This Row],[CUENTA]],$M$1:M647)</f>
        <v>124100</v>
      </c>
      <c r="M648" s="2">
        <v>9700</v>
      </c>
      <c r="N648" s="84"/>
      <c r="O648" s="84"/>
      <c r="P648" s="162">
        <f>+EJECUTADO[[#This Row],[MONTO SOLICITADO]]-EJECUTADO[[#This Row],[RETENCION IVA]]-EJECUTADO[[#This Row],[RETENCION ISR]]</f>
        <v>9700</v>
      </c>
      <c r="Q648" s="84" t="s">
        <v>1000</v>
      </c>
      <c r="R648" s="84"/>
      <c r="S648">
        <v>1</v>
      </c>
      <c r="T648" s="168" t="str">
        <f t="shared" si="20"/>
        <v>SUELDOS ADMINISTRATIVOS - SUELDOS Y SALARIOS DIRECCIÓN DE COMUNICACIONES Disponible $124100 Solicitado $9700 PRESUPUESTO: SI</v>
      </c>
    </row>
    <row r="649" spans="1:20" ht="30" x14ac:dyDescent="0.25">
      <c r="A649" s="6">
        <f t="shared" si="21"/>
        <v>644</v>
      </c>
      <c r="B649" s="21">
        <v>45351</v>
      </c>
      <c r="C649" s="109" t="s">
        <v>1418</v>
      </c>
      <c r="D649" s="126" t="s">
        <v>881</v>
      </c>
      <c r="E649" s="65"/>
      <c r="F649" t="s">
        <v>1436</v>
      </c>
      <c r="G649" s="161">
        <f>MONTH(EJECUTADO[[#This Row],[FECHA]])</f>
        <v>2</v>
      </c>
      <c r="H649" s="163" t="str">
        <f>MID(EJECUTADO[[#This Row],[CUENTA]],1,4)</f>
        <v>E-28</v>
      </c>
      <c r="I649" s="163" t="str">
        <f>INDEX(CATALOGO[Descripción],MATCH(EJECUTADO[[#This Row],[APLICACIÓN]]&amp;"-00-00-00",CATALOGO[Código],0))</f>
        <v>INSTITUTO DE GRADUADOS</v>
      </c>
      <c r="J6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49" s="161" t="str">
        <f>IF((EJECUTADO[[#This Row],[MONTO DISPONIBLE ]]-EJECUTADO[[#This Row],[MONTO SOLICITADO]])&gt;=0,"PRESUPUESTO: SI","PRESUPUESTO: NO")</f>
        <v>PRESUPUESTO: SI</v>
      </c>
      <c r="L649" s="162">
        <f>SUMIF(PRESUPUESTO[CUENTA],EJECUTADO[[#This Row],[CUENTA]],PRESUPUESTO[MONTO])-SUMIF($F$1:F648,EJECUTADO[[#This Row],[CUENTA]],$M$1:M648)</f>
        <v>42600</v>
      </c>
      <c r="M649" s="2">
        <v>3550</v>
      </c>
      <c r="N649" s="84"/>
      <c r="O649" s="84"/>
      <c r="P649" s="162">
        <f>+EJECUTADO[[#This Row],[MONTO SOLICITADO]]-EJECUTADO[[#This Row],[RETENCION IVA]]-EJECUTADO[[#This Row],[RETENCION ISR]]</f>
        <v>3550</v>
      </c>
      <c r="Q649" s="84" t="s">
        <v>1000</v>
      </c>
      <c r="R649" s="84"/>
      <c r="S649">
        <v>1</v>
      </c>
      <c r="T649" s="168" t="str">
        <f t="shared" si="20"/>
        <v>INSTITUTO DE GRADUADOS - SUELDOS Y SALARIOS Disponible $42600 Solicitado $3550 PRESUPUESTO: SI</v>
      </c>
    </row>
    <row r="650" spans="1:20" ht="30" x14ac:dyDescent="0.25">
      <c r="A650" s="6">
        <f t="shared" si="21"/>
        <v>645</v>
      </c>
      <c r="B650" s="21">
        <v>45351</v>
      </c>
      <c r="C650" s="110" t="s">
        <v>1418</v>
      </c>
      <c r="D650" s="126" t="s">
        <v>1437</v>
      </c>
      <c r="E650" s="65"/>
      <c r="F650" t="s">
        <v>1281</v>
      </c>
      <c r="G650" s="161">
        <f>MONTH(EJECUTADO[[#This Row],[FECHA]])</f>
        <v>2</v>
      </c>
      <c r="H650" s="163" t="str">
        <f>MID(EJECUTADO[[#This Row],[CUENTA]],1,4)</f>
        <v>E-03</v>
      </c>
      <c r="I650" s="163" t="str">
        <f>INDEX(CATALOGO[Descripción],MATCH(EJECUTADO[[#This Row],[APLICACIÓN]]&amp;"-00-00-00",CATALOGO[Código],0))</f>
        <v>SUELDOS ADMINISTRATIVOS</v>
      </c>
      <c r="J6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650" s="161" t="str">
        <f>IF((EJECUTADO[[#This Row],[MONTO DISPONIBLE ]]-EJECUTADO[[#This Row],[MONTO SOLICITADO]])&gt;=0,"PRESUPUESTO: SI","PRESUPUESTO: NO")</f>
        <v>PRESUPUESTO: SI</v>
      </c>
      <c r="L650" s="162">
        <f>SUMIF(PRESUPUESTO[CUENTA],EJECUTADO[[#This Row],[CUENTA]],PRESUPUESTO[MONTO])-SUMIF($F$1:F649,EJECUTADO[[#This Row],[CUENTA]],$M$1:M649)</f>
        <v>267172.49</v>
      </c>
      <c r="M650" s="2">
        <v>2000</v>
      </c>
      <c r="N650" s="84"/>
      <c r="O650" s="84"/>
      <c r="P650" s="162">
        <f>+EJECUTADO[[#This Row],[MONTO SOLICITADO]]-EJECUTADO[[#This Row],[RETENCION IVA]]-EJECUTADO[[#This Row],[RETENCION ISR]]</f>
        <v>2000</v>
      </c>
      <c r="Q650" s="84" t="s">
        <v>1000</v>
      </c>
      <c r="R650" s="84"/>
      <c r="S650">
        <v>1</v>
      </c>
      <c r="T650" s="168" t="str">
        <f t="shared" si="20"/>
        <v>SUELDOS ADMINISTRATIVOS - SUELDOS Y SALARIOS VICERRECTORÍA FINANCIERA  Disponible $267172.49 Solicitado $2000 PRESUPUESTO: SI</v>
      </c>
    </row>
    <row r="651" spans="1:20" x14ac:dyDescent="0.25">
      <c r="A651" s="6">
        <f t="shared" si="21"/>
        <v>646</v>
      </c>
      <c r="B651" s="21">
        <v>45351</v>
      </c>
      <c r="C651" s="109" t="s">
        <v>1418</v>
      </c>
      <c r="D651" s="126" t="s">
        <v>1438</v>
      </c>
      <c r="E651" s="65"/>
      <c r="F651" t="s">
        <v>1439</v>
      </c>
      <c r="G651" s="161">
        <f>MONTH(EJECUTADO[[#This Row],[FECHA]])</f>
        <v>2</v>
      </c>
      <c r="H651" s="163" t="str">
        <f>MID(EJECUTADO[[#This Row],[CUENTA]],1,4)</f>
        <v>E-03</v>
      </c>
      <c r="I651" s="163" t="str">
        <f>INDEX(CATALOGO[Descripción],MATCH(EJECUTADO[[#This Row],[APLICACIÓN]]&amp;"-00-00-00",CATALOGO[Código],0))</f>
        <v>SUELDOS ADMINISTRATIVOS</v>
      </c>
      <c r="J6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VICEPRESIDENCIA </v>
      </c>
      <c r="K651" s="161" t="str">
        <f>IF((EJECUTADO[[#This Row],[MONTO DISPONIBLE ]]-EJECUTADO[[#This Row],[MONTO SOLICITADO]])&gt;=0,"PRESUPUESTO: SI","PRESUPUESTO: NO")</f>
        <v>PRESUPUESTO: SI</v>
      </c>
      <c r="L651" s="162">
        <f>SUMIF(PRESUPUESTO[CUENTA],EJECUTADO[[#This Row],[CUENTA]],PRESUPUESTO[MONTO])-SUMIF($F$1:F650,EJECUTADO[[#This Row],[CUENTA]],$M$1:M650)</f>
        <v>478146.96</v>
      </c>
      <c r="M651" s="2">
        <v>39853.040000000001</v>
      </c>
      <c r="N651" s="84"/>
      <c r="O651" s="84"/>
      <c r="P651" s="162">
        <f>+EJECUTADO[[#This Row],[MONTO SOLICITADO]]-EJECUTADO[[#This Row],[RETENCION IVA]]-EJECUTADO[[#This Row],[RETENCION ISR]]</f>
        <v>39853.040000000001</v>
      </c>
      <c r="Q651" s="84" t="s">
        <v>1000</v>
      </c>
      <c r="R651" s="84"/>
      <c r="S651">
        <v>1</v>
      </c>
      <c r="T651" s="168" t="str">
        <f t="shared" si="20"/>
        <v>SUELDOS ADMINISTRATIVOS - SUELDOS Y SALARIOS VICEPRESIDENCIA  Disponible $478146.96 Solicitado $39853.04 PRESUPUESTO: SI</v>
      </c>
    </row>
    <row r="652" spans="1:20" ht="30" x14ac:dyDescent="0.25">
      <c r="A652" s="6">
        <f t="shared" si="21"/>
        <v>647</v>
      </c>
      <c r="B652" s="21">
        <v>45351</v>
      </c>
      <c r="C652" s="110" t="s">
        <v>1418</v>
      </c>
      <c r="D652" s="126" t="s">
        <v>305</v>
      </c>
      <c r="E652" s="65"/>
      <c r="F652" t="s">
        <v>1440</v>
      </c>
      <c r="G652" s="161">
        <f>MONTH(EJECUTADO[[#This Row],[FECHA]])</f>
        <v>2</v>
      </c>
      <c r="H652" s="163" t="str">
        <f>MID(EJECUTADO[[#This Row],[CUENTA]],1,4)</f>
        <v>E-04</v>
      </c>
      <c r="I652" s="163" t="str">
        <f>INDEX(CATALOGO[Descripción],MATCH(EJECUTADO[[#This Row],[APLICACIÓN]]&amp;"-00-00-00",CATALOGO[Código],0))</f>
        <v>SUELDOS ACADÉMICOS</v>
      </c>
      <c r="J6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CULTURA</v>
      </c>
      <c r="K652" s="161" t="str">
        <f>IF((EJECUTADO[[#This Row],[MONTO DISPONIBLE ]]-EJECUTADO[[#This Row],[MONTO SOLICITADO]])&gt;=0,"PRESUPUESTO: SI","PRESUPUESTO: NO")</f>
        <v>PRESUPUESTO: SI</v>
      </c>
      <c r="L652" s="162">
        <f>SUMIF(PRESUPUESTO[CUENTA],EJECUTADO[[#This Row],[CUENTA]],PRESUPUESTO[MONTO])-SUMIF($F$1:F651,EJECUTADO[[#This Row],[CUENTA]],$M$1:M651)</f>
        <v>80300</v>
      </c>
      <c r="M652" s="2">
        <v>6500</v>
      </c>
      <c r="N652" s="84"/>
      <c r="O652" s="84"/>
      <c r="P652" s="162">
        <f>+EJECUTADO[[#This Row],[MONTO SOLICITADO]]-EJECUTADO[[#This Row],[RETENCION IVA]]-EJECUTADO[[#This Row],[RETENCION ISR]]</f>
        <v>6500</v>
      </c>
      <c r="Q652" s="84" t="s">
        <v>1000</v>
      </c>
      <c r="R652" s="84"/>
      <c r="S652">
        <v>1</v>
      </c>
      <c r="T652" s="168" t="str">
        <f t="shared" si="20"/>
        <v>SUELDOS ACADÉMICOS - SUELDOS Y SALARIOS DIRECCIÓN DE CULTURA Disponible $80300 Solicitado $6500 PRESUPUESTO: SI</v>
      </c>
    </row>
    <row r="653" spans="1:20" ht="30" x14ac:dyDescent="0.25">
      <c r="A653" s="6">
        <f t="shared" si="21"/>
        <v>648</v>
      </c>
      <c r="B653" s="21">
        <v>45351</v>
      </c>
      <c r="C653" s="109" t="s">
        <v>1418</v>
      </c>
      <c r="D653" s="126" t="s">
        <v>1441</v>
      </c>
      <c r="E653" s="65"/>
      <c r="F653" t="s">
        <v>1442</v>
      </c>
      <c r="G653" s="161">
        <f>MONTH(EJECUTADO[[#This Row],[FECHA]])</f>
        <v>2</v>
      </c>
      <c r="H653" s="163" t="str">
        <f>MID(EJECUTADO[[#This Row],[CUENTA]],1,4)</f>
        <v>E-03</v>
      </c>
      <c r="I653" s="163" t="str">
        <f>INDEX(CATALOGO[Descripción],MATCH(EJECUTADO[[#This Row],[APLICACIÓN]]&amp;"-00-00-00",CATALOGO[Código],0))</f>
        <v>SUELDOS ADMINISTRATIVOS</v>
      </c>
      <c r="J6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SERVICIOS GENERALES </v>
      </c>
      <c r="K653" s="161" t="str">
        <f>IF((EJECUTADO[[#This Row],[MONTO DISPONIBLE ]]-EJECUTADO[[#This Row],[MONTO SOLICITADO]])&gt;=0,"PRESUPUESTO: SI","PRESUPUESTO: NO")</f>
        <v>PRESUPUESTO: SI</v>
      </c>
      <c r="L653" s="162">
        <f>SUMIF(PRESUPUESTO[CUENTA],EJECUTADO[[#This Row],[CUENTA]],PRESUPUESTO[MONTO])-SUMIF($F$1:F652,EJECUTADO[[#This Row],[CUENTA]],$M$1:M652)</f>
        <v>80403.759999999995</v>
      </c>
      <c r="M653" s="2">
        <v>5084.49</v>
      </c>
      <c r="N653" s="84"/>
      <c r="O653" s="84"/>
      <c r="P653" s="162">
        <f>+EJECUTADO[[#This Row],[MONTO SOLICITADO]]-EJECUTADO[[#This Row],[RETENCION IVA]]-EJECUTADO[[#This Row],[RETENCION ISR]]</f>
        <v>5084.49</v>
      </c>
      <c r="Q653" s="84" t="s">
        <v>1000</v>
      </c>
      <c r="R653" s="84"/>
      <c r="S653">
        <v>1</v>
      </c>
      <c r="T653" s="168" t="str">
        <f t="shared" si="20"/>
        <v>SUELDOS ADMINISTRATIVOS - SUELDOS Y SALARIOS SERVICIOS GENERALES  Disponible $80403.76 Solicitado $5084.49 PRESUPUESTO: SI</v>
      </c>
    </row>
    <row r="654" spans="1:20" x14ac:dyDescent="0.25">
      <c r="A654" s="6">
        <f t="shared" si="21"/>
        <v>649</v>
      </c>
      <c r="B654" s="21">
        <v>45351</v>
      </c>
      <c r="C654" s="110" t="s">
        <v>1418</v>
      </c>
      <c r="D654" s="126" t="s">
        <v>670</v>
      </c>
      <c r="E654" s="65"/>
      <c r="F654" t="s">
        <v>1443</v>
      </c>
      <c r="G654" s="161">
        <f>MONTH(EJECUTADO[[#This Row],[FECHA]])</f>
        <v>2</v>
      </c>
      <c r="H654" s="163" t="str">
        <f>MID(EJECUTADO[[#This Row],[CUENTA]],1,4)</f>
        <v>E-04</v>
      </c>
      <c r="I654" s="163" t="str">
        <f>INDEX(CATALOGO[Descripción],MATCH(EJECUTADO[[#This Row],[APLICACIÓN]]&amp;"-00-00-00",CATALOGO[Código],0))</f>
        <v>SUELDOS ACADÉMICOS</v>
      </c>
      <c r="J6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SISTEMA BIBLIOTECARIO</v>
      </c>
      <c r="K654" s="161" t="str">
        <f>IF((EJECUTADO[[#This Row],[MONTO DISPONIBLE ]]-EJECUTADO[[#This Row],[MONTO SOLICITADO]])&gt;=0,"PRESUPUESTO: SI","PRESUPUESTO: NO")</f>
        <v>PRESUPUESTO: SI</v>
      </c>
      <c r="L654" s="162">
        <f>SUMIF(PRESUPUESTO[CUENTA],EJECUTADO[[#This Row],[CUENTA]],PRESUPUESTO[MONTO])-SUMIF($F$1:F653,EJECUTADO[[#This Row],[CUENTA]],$M$1:M653)</f>
        <v>85892.86</v>
      </c>
      <c r="M654" s="2">
        <v>7107.14</v>
      </c>
      <c r="N654" s="84"/>
      <c r="O654" s="84"/>
      <c r="P654" s="162">
        <f>+EJECUTADO[[#This Row],[MONTO SOLICITADO]]-EJECUTADO[[#This Row],[RETENCION IVA]]-EJECUTADO[[#This Row],[RETENCION ISR]]</f>
        <v>7107.14</v>
      </c>
      <c r="Q654" s="84" t="s">
        <v>1000</v>
      </c>
      <c r="R654" s="84"/>
      <c r="S654">
        <v>1</v>
      </c>
      <c r="T654" s="168" t="str">
        <f t="shared" si="20"/>
        <v>SUELDOS ACADÉMICOS - SUELDOS Y SALARIOS SISTEMA BIBLIOTECARIO Disponible $85892.86 Solicitado $7107.14 PRESUPUESTO: SI</v>
      </c>
    </row>
    <row r="655" spans="1:20" x14ac:dyDescent="0.25">
      <c r="A655" s="6">
        <f t="shared" si="21"/>
        <v>650</v>
      </c>
      <c r="B655" s="21">
        <v>45351</v>
      </c>
      <c r="C655" s="109" t="s">
        <v>1418</v>
      </c>
      <c r="D655" s="126" t="s">
        <v>323</v>
      </c>
      <c r="E655" s="65"/>
      <c r="F655" t="s">
        <v>1444</v>
      </c>
      <c r="G655" s="161">
        <f>MONTH(EJECUTADO[[#This Row],[FECHA]])</f>
        <v>2</v>
      </c>
      <c r="H655" s="163" t="str">
        <f>MID(EJECUTADO[[#This Row],[CUENTA]],1,4)</f>
        <v>E-03</v>
      </c>
      <c r="I655" s="163" t="str">
        <f>INDEX(CATALOGO[Descripción],MATCH(EJECUTADO[[#This Row],[APLICACIÓN]]&amp;"-00-00-00",CATALOGO[Código],0))</f>
        <v>SUELDOS ADMINISTRATIVOS</v>
      </c>
      <c r="J6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MANTENIMIENTO</v>
      </c>
      <c r="K655" s="161" t="str">
        <f>IF((EJECUTADO[[#This Row],[MONTO DISPONIBLE ]]-EJECUTADO[[#This Row],[MONTO SOLICITADO]])&gt;=0,"PRESUPUESTO: SI","PRESUPUESTO: NO")</f>
        <v>PRESUPUESTO: SI</v>
      </c>
      <c r="L655" s="162">
        <f>SUMIF(PRESUPUESTO[CUENTA],EJECUTADO[[#This Row],[CUENTA]],PRESUPUESTO[MONTO])-SUMIF($F$1:F654,EJECUTADO[[#This Row],[CUENTA]],$M$1:M654)</f>
        <v>176822.17</v>
      </c>
      <c r="M655" s="2">
        <v>12824.68</v>
      </c>
      <c r="N655" s="84"/>
      <c r="O655" s="84"/>
      <c r="P655" s="162">
        <f>+EJECUTADO[[#This Row],[MONTO SOLICITADO]]-EJECUTADO[[#This Row],[RETENCION IVA]]-EJECUTADO[[#This Row],[RETENCION ISR]]</f>
        <v>12824.68</v>
      </c>
      <c r="Q655" s="84" t="s">
        <v>1000</v>
      </c>
      <c r="R655" s="84"/>
      <c r="S655">
        <v>1</v>
      </c>
      <c r="T655" s="168" t="str">
        <f t="shared" si="20"/>
        <v>SUELDOS ADMINISTRATIVOS - SUELDOS Y SALARIOS MANTENIMIENTO Disponible $176822.17 Solicitado $12824.68 PRESUPUESTO: SI</v>
      </c>
    </row>
    <row r="656" spans="1:20" x14ac:dyDescent="0.25">
      <c r="A656" s="6">
        <f t="shared" si="21"/>
        <v>651</v>
      </c>
      <c r="B656" s="21">
        <v>45351</v>
      </c>
      <c r="C656" s="110" t="s">
        <v>1418</v>
      </c>
      <c r="D656" s="126" t="s">
        <v>1445</v>
      </c>
      <c r="E656" s="65"/>
      <c r="F656" t="s">
        <v>1446</v>
      </c>
      <c r="G656" s="161">
        <f>MONTH(EJECUTADO[[#This Row],[FECHA]])</f>
        <v>2</v>
      </c>
      <c r="H656" s="163" t="str">
        <f>MID(EJECUTADO[[#This Row],[CUENTA]],1,4)</f>
        <v>E-04</v>
      </c>
      <c r="I656" s="163" t="str">
        <f>INDEX(CATALOGO[Descripción],MATCH(EJECUTADO[[#This Row],[APLICACIÓN]]&amp;"-00-00-00",CATALOGO[Código],0))</f>
        <v>SUELDOS ACADÉMICOS</v>
      </c>
      <c r="J6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RECTORÍA</v>
      </c>
      <c r="K656" s="161" t="str">
        <f>IF((EJECUTADO[[#This Row],[MONTO DISPONIBLE ]]-EJECUTADO[[#This Row],[MONTO SOLICITADO]])&gt;=0,"PRESUPUESTO: SI","PRESUPUESTO: NO")</f>
        <v>PRESUPUESTO: SI</v>
      </c>
      <c r="L656" s="162">
        <f>SUMIF(PRESUPUESTO[CUENTA],EJECUTADO[[#This Row],[CUENTA]],PRESUPUESTO[MONTO])-SUMIF($F$1:F655,EJECUTADO[[#This Row],[CUENTA]],$M$1:M655)</f>
        <v>187200</v>
      </c>
      <c r="M656" s="2">
        <v>15600</v>
      </c>
      <c r="N656" s="84"/>
      <c r="O656" s="84"/>
      <c r="P656" s="162">
        <f>+EJECUTADO[[#This Row],[MONTO SOLICITADO]]-EJECUTADO[[#This Row],[RETENCION IVA]]-EJECUTADO[[#This Row],[RETENCION ISR]]</f>
        <v>15600</v>
      </c>
      <c r="Q656" s="84" t="s">
        <v>1000</v>
      </c>
      <c r="R656" s="84"/>
      <c r="S656">
        <v>1</v>
      </c>
      <c r="T656" s="168" t="str">
        <f t="shared" si="20"/>
        <v>SUELDOS ACADÉMICOS - SUELDOS Y SALARIOS RECTORÍA Disponible $187200 Solicitado $15600 PRESUPUESTO: SI</v>
      </c>
    </row>
    <row r="657" spans="1:20" x14ac:dyDescent="0.25">
      <c r="A657" s="6">
        <f t="shared" si="21"/>
        <v>652</v>
      </c>
      <c r="B657" s="21">
        <v>45351</v>
      </c>
      <c r="C657" s="109" t="s">
        <v>1418</v>
      </c>
      <c r="D657" s="126" t="s">
        <v>1447</v>
      </c>
      <c r="E657" s="65"/>
      <c r="F657" t="s">
        <v>1253</v>
      </c>
      <c r="G657" s="161">
        <f>MONTH(EJECUTADO[[#This Row],[FECHA]])</f>
        <v>2</v>
      </c>
      <c r="H657" s="163" t="str">
        <f>MID(EJECUTADO[[#This Row],[CUENTA]],1,4)</f>
        <v>E-04</v>
      </c>
      <c r="I657" s="163" t="str">
        <f>INDEX(CATALOGO[Descripción],MATCH(EJECUTADO[[#This Row],[APLICACIÓN]]&amp;"-00-00-00",CATALOGO[Código],0))</f>
        <v>SUELDOS ACADÉMICOS</v>
      </c>
      <c r="J6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657" s="161" t="str">
        <f>IF((EJECUTADO[[#This Row],[MONTO DISPONIBLE ]]-EJECUTADO[[#This Row],[MONTO SOLICITADO]])&gt;=0,"PRESUPUESTO: SI","PRESUPUESTO: NO")</f>
        <v>PRESUPUESTO: SI</v>
      </c>
      <c r="L657" s="162">
        <f>SUMIF(PRESUPUESTO[CUENTA],EJECUTADO[[#This Row],[CUENTA]],PRESUPUESTO[MONTO])-SUMIF($F$1:F656,EJECUTADO[[#This Row],[CUENTA]],$M$1:M656)</f>
        <v>119000</v>
      </c>
      <c r="M657" s="2">
        <v>10100</v>
      </c>
      <c r="N657" s="84"/>
      <c r="O657" s="84"/>
      <c r="P657" s="162">
        <f>+EJECUTADO[[#This Row],[MONTO SOLICITADO]]-EJECUTADO[[#This Row],[RETENCION IVA]]-EJECUTADO[[#This Row],[RETENCION ISR]]</f>
        <v>10100</v>
      </c>
      <c r="Q657" s="84" t="s">
        <v>1000</v>
      </c>
      <c r="R657" s="84"/>
      <c r="S657">
        <v>1</v>
      </c>
      <c r="T657" s="168" t="str">
        <f t="shared" si="20"/>
        <v>SUELDOS ACADÉMICOS - SUELDOS Y SALARIOS VR ACADÉMICA Disponible $119000 Solicitado $10100 PRESUPUESTO: SI</v>
      </c>
    </row>
    <row r="658" spans="1:20" ht="45" x14ac:dyDescent="0.25">
      <c r="A658" s="6">
        <f t="shared" si="21"/>
        <v>653</v>
      </c>
      <c r="B658" s="21">
        <v>45351</v>
      </c>
      <c r="C658" s="110" t="s">
        <v>1418</v>
      </c>
      <c r="D658" s="126" t="s">
        <v>1448</v>
      </c>
      <c r="E658" s="65"/>
      <c r="F658" t="s">
        <v>1253</v>
      </c>
      <c r="G658" s="161">
        <f>MONTH(EJECUTADO[[#This Row],[FECHA]])</f>
        <v>2</v>
      </c>
      <c r="H658" s="163" t="str">
        <f>MID(EJECUTADO[[#This Row],[CUENTA]],1,4)</f>
        <v>E-04</v>
      </c>
      <c r="I658" s="163" t="str">
        <f>INDEX(CATALOGO[Descripción],MATCH(EJECUTADO[[#This Row],[APLICACIÓN]]&amp;"-00-00-00",CATALOGO[Código],0))</f>
        <v>SUELDOS ACADÉMICOS</v>
      </c>
      <c r="J6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658" s="161" t="str">
        <f>IF((EJECUTADO[[#This Row],[MONTO DISPONIBLE ]]-EJECUTADO[[#This Row],[MONTO SOLICITADO]])&gt;=0,"PRESUPUESTO: SI","PRESUPUESTO: NO")</f>
        <v>PRESUPUESTO: SI</v>
      </c>
      <c r="L658" s="162">
        <f>SUMIF(PRESUPUESTO[CUENTA],EJECUTADO[[#This Row],[CUENTA]],PRESUPUESTO[MONTO])-SUMIF($F$1:F657,EJECUTADO[[#This Row],[CUENTA]],$M$1:M657)</f>
        <v>108900</v>
      </c>
      <c r="M658" s="2">
        <v>0</v>
      </c>
      <c r="N658" s="84"/>
      <c r="O658" s="84"/>
      <c r="P658" s="162">
        <f>+EJECUTADO[[#This Row],[MONTO SOLICITADO]]-EJECUTADO[[#This Row],[RETENCION IVA]]-EJECUTADO[[#This Row],[RETENCION ISR]]</f>
        <v>0</v>
      </c>
      <c r="Q658" s="84" t="s">
        <v>1000</v>
      </c>
      <c r="R658" s="84"/>
      <c r="S658">
        <v>1</v>
      </c>
      <c r="T658" s="168" t="str">
        <f t="shared" si="20"/>
        <v>SUELDOS ACADÉMICOS - SUELDOS Y SALARIOS VR ACADÉMICA Disponible $108900 Solicitado $0 PRESUPUESTO: SI</v>
      </c>
    </row>
    <row r="659" spans="1:20" ht="45" x14ac:dyDescent="0.25">
      <c r="A659" s="6">
        <f t="shared" si="21"/>
        <v>654</v>
      </c>
      <c r="B659" s="21">
        <v>45351</v>
      </c>
      <c r="C659" s="109" t="s">
        <v>1418</v>
      </c>
      <c r="D659" s="126" t="s">
        <v>1449</v>
      </c>
      <c r="E659" s="65"/>
      <c r="F659" t="s">
        <v>1253</v>
      </c>
      <c r="G659" s="161">
        <f>MONTH(EJECUTADO[[#This Row],[FECHA]])</f>
        <v>2</v>
      </c>
      <c r="H659" s="163" t="str">
        <f>MID(EJECUTADO[[#This Row],[CUENTA]],1,4)</f>
        <v>E-04</v>
      </c>
      <c r="I659" s="163" t="str">
        <f>INDEX(CATALOGO[Descripción],MATCH(EJECUTADO[[#This Row],[APLICACIÓN]]&amp;"-00-00-00",CATALOGO[Código],0))</f>
        <v>SUELDOS ACADÉMICOS</v>
      </c>
      <c r="J6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659" s="161" t="str">
        <f>IF((EJECUTADO[[#This Row],[MONTO DISPONIBLE ]]-EJECUTADO[[#This Row],[MONTO SOLICITADO]])&gt;=0,"PRESUPUESTO: SI","PRESUPUESTO: NO")</f>
        <v>PRESUPUESTO: SI</v>
      </c>
      <c r="L659" s="162">
        <f>SUMIF(PRESUPUESTO[CUENTA],EJECUTADO[[#This Row],[CUENTA]],PRESUPUESTO[MONTO])-SUMIF($F$1:F658,EJECUTADO[[#This Row],[CUENTA]],$M$1:M658)</f>
        <v>108900</v>
      </c>
      <c r="M659" s="2">
        <v>400</v>
      </c>
      <c r="N659" s="84"/>
      <c r="O659" s="84"/>
      <c r="P659" s="162">
        <f>+EJECUTADO[[#This Row],[MONTO SOLICITADO]]-EJECUTADO[[#This Row],[RETENCION IVA]]-EJECUTADO[[#This Row],[RETENCION ISR]]</f>
        <v>400</v>
      </c>
      <c r="Q659" s="84" t="s">
        <v>1000</v>
      </c>
      <c r="R659" s="84"/>
      <c r="S659">
        <v>1</v>
      </c>
      <c r="T659" s="168" t="str">
        <f t="shared" si="20"/>
        <v>SUELDOS ACADÉMICOS - SUELDOS Y SALARIOS VR ACADÉMICA Disponible $108900 Solicitado $400 PRESUPUESTO: SI</v>
      </c>
    </row>
    <row r="660" spans="1:20" ht="45" x14ac:dyDescent="0.25">
      <c r="A660" s="6">
        <f t="shared" si="21"/>
        <v>655</v>
      </c>
      <c r="B660" s="21">
        <v>45351</v>
      </c>
      <c r="C660" s="110" t="s">
        <v>1418</v>
      </c>
      <c r="D660" s="126" t="s">
        <v>1450</v>
      </c>
      <c r="E660" s="65"/>
      <c r="F660" t="s">
        <v>1451</v>
      </c>
      <c r="G660" s="161">
        <f>MONTH(EJECUTADO[[#This Row],[FECHA]])</f>
        <v>2</v>
      </c>
      <c r="H660" s="163" t="str">
        <f>MID(EJECUTADO[[#This Row],[CUENTA]],1,4)</f>
        <v>E-04</v>
      </c>
      <c r="I660" s="163" t="str">
        <f>INDEX(CATALOGO[Descripción],MATCH(EJECUTADO[[#This Row],[APLICACIÓN]]&amp;"-00-00-00",CATALOGO[Código],0))</f>
        <v>SUELDOS ACADÉMICOS</v>
      </c>
      <c r="J6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660" s="161" t="str">
        <f>IF((EJECUTADO[[#This Row],[MONTO DISPONIBLE ]]-EJECUTADO[[#This Row],[MONTO SOLICITADO]])&gt;=0,"PRESUPUESTO: SI","PRESUPUESTO: NO")</f>
        <v>PRESUPUESTO: SI</v>
      </c>
      <c r="L660" s="162">
        <f>SUMIF(PRESUPUESTO[CUENTA],EJECUTADO[[#This Row],[CUENTA]],PRESUPUESTO[MONTO])-SUMIF($F$1:F659,EJECUTADO[[#This Row],[CUENTA]],$M$1:M659)</f>
        <v>77400</v>
      </c>
      <c r="M660" s="2">
        <v>6450</v>
      </c>
      <c r="N660" s="84"/>
      <c r="O660" s="84"/>
      <c r="P660" s="162">
        <f>+EJECUTADO[[#This Row],[MONTO SOLICITADO]]-EJECUTADO[[#This Row],[RETENCION IVA]]-EJECUTADO[[#This Row],[RETENCION ISR]]</f>
        <v>6450</v>
      </c>
      <c r="Q660" s="84" t="s">
        <v>1000</v>
      </c>
      <c r="R660" s="84"/>
      <c r="S660">
        <v>1</v>
      </c>
      <c r="T660" s="168" t="str">
        <f t="shared" si="20"/>
        <v>SUELDOS ACADÉMICOS - SUELDOS Y SALARIOS FACULTAD DE CIENCIAS EMPRESARIALES Disponible $77400 Solicitado $6450 PRESUPUESTO: SI</v>
      </c>
    </row>
    <row r="661" spans="1:20" ht="30" x14ac:dyDescent="0.25">
      <c r="A661" s="6">
        <f t="shared" si="21"/>
        <v>656</v>
      </c>
      <c r="B661" s="21">
        <v>45351</v>
      </c>
      <c r="C661" s="109" t="s">
        <v>1418</v>
      </c>
      <c r="D661" s="126" t="s">
        <v>1452</v>
      </c>
      <c r="E661" s="65"/>
      <c r="F661" t="s">
        <v>1453</v>
      </c>
      <c r="G661" s="161">
        <f>MONTH(EJECUTADO[[#This Row],[FECHA]])</f>
        <v>2</v>
      </c>
      <c r="H661" s="163" t="str">
        <f>MID(EJECUTADO[[#This Row],[CUENTA]],1,4)</f>
        <v>E-05</v>
      </c>
      <c r="I661" s="163" t="str">
        <f>INDEX(CATALOGO[Descripción],MATCH(EJECUTADO[[#This Row],[APLICACIÓN]]&amp;"-00-00-00",CATALOGO[Código],0))</f>
        <v>SUELDOS DTC</v>
      </c>
      <c r="J6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661" s="161" t="str">
        <f>IF((EJECUTADO[[#This Row],[MONTO DISPONIBLE ]]-EJECUTADO[[#This Row],[MONTO SOLICITADO]])&gt;=0,"PRESUPUESTO: SI","PRESUPUESTO: NO")</f>
        <v>PRESUPUESTO: SI</v>
      </c>
      <c r="L661" s="162">
        <f>SUMIF(PRESUPUESTO[CUENTA],EJECUTADO[[#This Row],[CUENTA]],PRESUPUESTO[MONTO])-SUMIF($F$1:F660,EJECUTADO[[#This Row],[CUENTA]],$M$1:M660)</f>
        <v>266691.5</v>
      </c>
      <c r="M661" s="2">
        <v>13512.5</v>
      </c>
      <c r="N661" s="84"/>
      <c r="O661" s="84"/>
      <c r="P661" s="162">
        <f>+EJECUTADO[[#This Row],[MONTO SOLICITADO]]-EJECUTADO[[#This Row],[RETENCION IVA]]-EJECUTADO[[#This Row],[RETENCION ISR]]</f>
        <v>13512.5</v>
      </c>
      <c r="Q661" s="84" t="s">
        <v>1000</v>
      </c>
      <c r="R661" s="84"/>
      <c r="S661">
        <v>1</v>
      </c>
      <c r="T661" s="168" t="str">
        <f t="shared" si="20"/>
        <v>SUELDOS DTC - SUELDOS Y SALARIOS FACULTAD DE CIENCIAS EMPRESARIALES Disponible $266691.5 Solicitado $13512.5 PRESUPUESTO: SI</v>
      </c>
    </row>
    <row r="662" spans="1:20" ht="30" x14ac:dyDescent="0.25">
      <c r="A662" s="6">
        <f t="shared" si="21"/>
        <v>657</v>
      </c>
      <c r="B662" s="21">
        <v>45351</v>
      </c>
      <c r="C662" s="110" t="s">
        <v>1418</v>
      </c>
      <c r="D662" s="126" t="s">
        <v>208</v>
      </c>
      <c r="E662" s="65"/>
      <c r="F662" t="s">
        <v>1454</v>
      </c>
      <c r="G662" s="161">
        <f>MONTH(EJECUTADO[[#This Row],[FECHA]])</f>
        <v>2</v>
      </c>
      <c r="H662" s="163" t="str">
        <f>MID(EJECUTADO[[#This Row],[CUENTA]],1,4)</f>
        <v>E-04</v>
      </c>
      <c r="I662" s="163" t="str">
        <f>INDEX(CATALOGO[Descripción],MATCH(EJECUTADO[[#This Row],[APLICACIÓN]]&amp;"-00-00-00",CATALOGO[Código],0))</f>
        <v>SUELDOS ACADÉMICOS</v>
      </c>
      <c r="J6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662" s="161" t="str">
        <f>IF((EJECUTADO[[#This Row],[MONTO DISPONIBLE ]]-EJECUTADO[[#This Row],[MONTO SOLICITADO]])&gt;=0,"PRESUPUESTO: SI","PRESUPUESTO: NO")</f>
        <v>PRESUPUESTO: SI</v>
      </c>
      <c r="L662" s="162">
        <f>SUMIF(PRESUPUESTO[CUENTA],EJECUTADO[[#This Row],[CUENTA]],PRESUPUESTO[MONTO])-SUMIF($F$1:F661,EJECUTADO[[#This Row],[CUENTA]],$M$1:M661)</f>
        <v>177350</v>
      </c>
      <c r="M662" s="2">
        <v>4000</v>
      </c>
      <c r="N662" s="84"/>
      <c r="O662" s="84"/>
      <c r="P662" s="162">
        <f>+EJECUTADO[[#This Row],[MONTO SOLICITADO]]-EJECUTADO[[#This Row],[RETENCION IVA]]-EJECUTADO[[#This Row],[RETENCION ISR]]</f>
        <v>4000</v>
      </c>
      <c r="Q662" s="84" t="s">
        <v>1000</v>
      </c>
      <c r="R662" s="84"/>
      <c r="S662">
        <v>1</v>
      </c>
      <c r="T662" s="168" t="str">
        <f t="shared" si="20"/>
        <v>SUELDOS ACADÉMICOS - SUELDOS Y SALARIOS FACULTAD DE CIENCIAS SOCIALES Disponible $177350 Solicitado $4000 PRESUPUESTO: SI</v>
      </c>
    </row>
    <row r="663" spans="1:20" ht="30" x14ac:dyDescent="0.25">
      <c r="A663" s="6">
        <f t="shared" si="21"/>
        <v>658</v>
      </c>
      <c r="B663" s="21">
        <v>45351</v>
      </c>
      <c r="C663" s="109" t="s">
        <v>1418</v>
      </c>
      <c r="D663" s="126" t="s">
        <v>1455</v>
      </c>
      <c r="E663" s="65"/>
      <c r="F663" t="s">
        <v>1456</v>
      </c>
      <c r="G663" s="161">
        <f>MONTH(EJECUTADO[[#This Row],[FECHA]])</f>
        <v>2</v>
      </c>
      <c r="H663" s="163" t="str">
        <f>MID(EJECUTADO[[#This Row],[CUENTA]],1,4)</f>
        <v>E-05</v>
      </c>
      <c r="I663" s="163" t="str">
        <f>INDEX(CATALOGO[Descripción],MATCH(EJECUTADO[[#This Row],[APLICACIÓN]]&amp;"-00-00-00",CATALOGO[Código],0))</f>
        <v>SUELDOS DTC</v>
      </c>
      <c r="J6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663" s="161" t="str">
        <f>IF((EJECUTADO[[#This Row],[MONTO DISPONIBLE ]]-EJECUTADO[[#This Row],[MONTO SOLICITADO]])&gt;=0,"PRESUPUESTO: SI","PRESUPUESTO: NO")</f>
        <v>PRESUPUESTO: SI</v>
      </c>
      <c r="L663" s="162">
        <f>SUMIF(PRESUPUESTO[CUENTA],EJECUTADO[[#This Row],[CUENTA]],PRESUPUESTO[MONTO])-SUMIF($F$1:F662,EJECUTADO[[#This Row],[CUENTA]],$M$1:M662)</f>
        <v>382407.51</v>
      </c>
      <c r="M663" s="2">
        <v>8630</v>
      </c>
      <c r="N663" s="84"/>
      <c r="O663" s="84"/>
      <c r="P663" s="162">
        <f>+EJECUTADO[[#This Row],[MONTO SOLICITADO]]-EJECUTADO[[#This Row],[RETENCION IVA]]-EJECUTADO[[#This Row],[RETENCION ISR]]</f>
        <v>8630</v>
      </c>
      <c r="Q663" s="84" t="s">
        <v>1000</v>
      </c>
      <c r="R663" s="84"/>
      <c r="S663">
        <v>1</v>
      </c>
      <c r="T663" s="168" t="str">
        <f t="shared" si="20"/>
        <v>SUELDOS DTC - SUELDOS Y SALARIOS FACULTAD DE CIENCIAS SOCIALES Disponible $382407.51 Solicitado $8630 PRESUPUESTO: SI</v>
      </c>
    </row>
    <row r="664" spans="1:20" ht="30" x14ac:dyDescent="0.25">
      <c r="A664" s="6">
        <f t="shared" si="21"/>
        <v>659</v>
      </c>
      <c r="B664" s="21">
        <v>45351</v>
      </c>
      <c r="C664" s="110" t="s">
        <v>1418</v>
      </c>
      <c r="D664" s="126" t="s">
        <v>1457</v>
      </c>
      <c r="E664" s="65"/>
      <c r="F664" t="s">
        <v>1456</v>
      </c>
      <c r="G664" s="161">
        <f>MONTH(EJECUTADO[[#This Row],[FECHA]])</f>
        <v>2</v>
      </c>
      <c r="H664" s="163" t="str">
        <f>MID(EJECUTADO[[#This Row],[CUENTA]],1,4)</f>
        <v>E-05</v>
      </c>
      <c r="I664" s="163" t="str">
        <f>INDEX(CATALOGO[Descripción],MATCH(EJECUTADO[[#This Row],[APLICACIÓN]]&amp;"-00-00-00",CATALOGO[Código],0))</f>
        <v>SUELDOS DTC</v>
      </c>
      <c r="J6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664" s="161" t="str">
        <f>IF((EJECUTADO[[#This Row],[MONTO DISPONIBLE ]]-EJECUTADO[[#This Row],[MONTO SOLICITADO]])&gt;=0,"PRESUPUESTO: SI","PRESUPUESTO: NO")</f>
        <v>PRESUPUESTO: SI</v>
      </c>
      <c r="L664" s="162">
        <f>SUMIF(PRESUPUESTO[CUENTA],EJECUTADO[[#This Row],[CUENTA]],PRESUPUESTO[MONTO])-SUMIF($F$1:F663,EJECUTADO[[#This Row],[CUENTA]],$M$1:M663)</f>
        <v>373777.51</v>
      </c>
      <c r="M664" s="2">
        <v>12915</v>
      </c>
      <c r="N664" s="84"/>
      <c r="O664" s="84"/>
      <c r="P664" s="162">
        <f>+EJECUTADO[[#This Row],[MONTO SOLICITADO]]-EJECUTADO[[#This Row],[RETENCION IVA]]-EJECUTADO[[#This Row],[RETENCION ISR]]</f>
        <v>12915</v>
      </c>
      <c r="Q664" s="84" t="s">
        <v>1000</v>
      </c>
      <c r="R664" s="84"/>
      <c r="S664">
        <v>1</v>
      </c>
      <c r="T664" s="168" t="str">
        <f t="shared" si="20"/>
        <v>SUELDOS DTC - SUELDOS Y SALARIOS FACULTAD DE CIENCIAS SOCIALES Disponible $373777.51 Solicitado $12915 PRESUPUESTO: SI</v>
      </c>
    </row>
    <row r="665" spans="1:20" ht="30" x14ac:dyDescent="0.25">
      <c r="A665" s="6">
        <f t="shared" si="21"/>
        <v>660</v>
      </c>
      <c r="B665" s="21">
        <v>45351</v>
      </c>
      <c r="C665" s="109" t="s">
        <v>1418</v>
      </c>
      <c r="D665" s="126" t="s">
        <v>1458</v>
      </c>
      <c r="E665" s="65"/>
      <c r="F665" t="s">
        <v>1456</v>
      </c>
      <c r="G665" s="161">
        <f>MONTH(EJECUTADO[[#This Row],[FECHA]])</f>
        <v>2</v>
      </c>
      <c r="H665" s="163" t="str">
        <f>MID(EJECUTADO[[#This Row],[CUENTA]],1,4)</f>
        <v>E-05</v>
      </c>
      <c r="I665" s="163" t="str">
        <f>INDEX(CATALOGO[Descripción],MATCH(EJECUTADO[[#This Row],[APLICACIÓN]]&amp;"-00-00-00",CATALOGO[Código],0))</f>
        <v>SUELDOS DTC</v>
      </c>
      <c r="J6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665" s="161" t="str">
        <f>IF((EJECUTADO[[#This Row],[MONTO DISPONIBLE ]]-EJECUTADO[[#This Row],[MONTO SOLICITADO]])&gt;=0,"PRESUPUESTO: SI","PRESUPUESTO: NO")</f>
        <v>PRESUPUESTO: SI</v>
      </c>
      <c r="L665" s="162">
        <f>SUMIF(PRESUPUESTO[CUENTA],EJECUTADO[[#This Row],[CUENTA]],PRESUPUESTO[MONTO])-SUMIF($F$1:F664,EJECUTADO[[#This Row],[CUENTA]],$M$1:M664)</f>
        <v>360862.51</v>
      </c>
      <c r="M665" s="2">
        <v>10136.67</v>
      </c>
      <c r="N665" s="84"/>
      <c r="O665" s="84"/>
      <c r="P665" s="162">
        <f>+EJECUTADO[[#This Row],[MONTO SOLICITADO]]-EJECUTADO[[#This Row],[RETENCION IVA]]-EJECUTADO[[#This Row],[RETENCION ISR]]</f>
        <v>10136.67</v>
      </c>
      <c r="Q665" s="84" t="s">
        <v>1000</v>
      </c>
      <c r="R665" s="84"/>
      <c r="S665">
        <v>1</v>
      </c>
      <c r="T665" s="168" t="str">
        <f t="shared" si="20"/>
        <v>SUELDOS DTC - SUELDOS Y SALARIOS FACULTAD DE CIENCIAS SOCIALES Disponible $360862.51 Solicitado $10136.67 PRESUPUESTO: SI</v>
      </c>
    </row>
    <row r="666" spans="1:20" ht="30" x14ac:dyDescent="0.25">
      <c r="A666" s="6">
        <f t="shared" si="21"/>
        <v>661</v>
      </c>
      <c r="B666" s="21">
        <v>45351</v>
      </c>
      <c r="C666" s="110" t="s">
        <v>1418</v>
      </c>
      <c r="D666" s="126" t="s">
        <v>1459</v>
      </c>
      <c r="E666" s="65"/>
      <c r="F666" t="s">
        <v>1456</v>
      </c>
      <c r="G666" s="161">
        <f>MONTH(EJECUTADO[[#This Row],[FECHA]])</f>
        <v>2</v>
      </c>
      <c r="H666" s="163" t="str">
        <f>MID(EJECUTADO[[#This Row],[CUENTA]],1,4)</f>
        <v>E-05</v>
      </c>
      <c r="I666" s="163" t="str">
        <f>INDEX(CATALOGO[Descripción],MATCH(EJECUTADO[[#This Row],[APLICACIÓN]]&amp;"-00-00-00",CATALOGO[Código],0))</f>
        <v>SUELDOS DTC</v>
      </c>
      <c r="J6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666" s="161" t="str">
        <f>IF((EJECUTADO[[#This Row],[MONTO DISPONIBLE ]]-EJECUTADO[[#This Row],[MONTO SOLICITADO]])&gt;=0,"PRESUPUESTO: SI","PRESUPUESTO: NO")</f>
        <v>PRESUPUESTO: SI</v>
      </c>
      <c r="L666" s="162">
        <f>SUMIF(PRESUPUESTO[CUENTA],EJECUTADO[[#This Row],[CUENTA]],PRESUPUESTO[MONTO])-SUMIF($F$1:F665,EJECUTADO[[#This Row],[CUENTA]],$M$1:M665)</f>
        <v>350725.83999999997</v>
      </c>
      <c r="M666" s="2">
        <v>11140</v>
      </c>
      <c r="N666" s="84"/>
      <c r="O666" s="84"/>
      <c r="P666" s="162">
        <f>+EJECUTADO[[#This Row],[MONTO SOLICITADO]]-EJECUTADO[[#This Row],[RETENCION IVA]]-EJECUTADO[[#This Row],[RETENCION ISR]]</f>
        <v>11140</v>
      </c>
      <c r="Q666" s="84" t="s">
        <v>1000</v>
      </c>
      <c r="R666" s="84"/>
      <c r="S666">
        <v>1</v>
      </c>
      <c r="T666" s="168" t="str">
        <f t="shared" si="20"/>
        <v>SUELDOS DTC - SUELDOS Y SALARIOS FACULTAD DE CIENCIAS SOCIALES Disponible $350725.84 Solicitado $11140 PRESUPUESTO: SI</v>
      </c>
    </row>
    <row r="667" spans="1:20" ht="30" x14ac:dyDescent="0.25">
      <c r="A667" s="6">
        <f t="shared" si="21"/>
        <v>662</v>
      </c>
      <c r="B667" s="21">
        <v>45351</v>
      </c>
      <c r="C667" s="109" t="s">
        <v>1418</v>
      </c>
      <c r="D667" s="126" t="s">
        <v>1460</v>
      </c>
      <c r="E667" s="65"/>
      <c r="F667" t="s">
        <v>1061</v>
      </c>
      <c r="G667" s="161">
        <f>MONTH(EJECUTADO[[#This Row],[FECHA]])</f>
        <v>2</v>
      </c>
      <c r="H667" s="163" t="str">
        <f>MID(EJECUTADO[[#This Row],[CUENTA]],1,4)</f>
        <v>E-04</v>
      </c>
      <c r="I667" s="163" t="str">
        <f>INDEX(CATALOGO[Descripción],MATCH(EJECUTADO[[#This Row],[APLICACIÓN]]&amp;"-00-00-00",CATALOGO[Código],0))</f>
        <v>SUELDOS ACADÉMICOS</v>
      </c>
      <c r="J6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667" s="161" t="str">
        <f>IF((EJECUTADO[[#This Row],[MONTO DISPONIBLE ]]-EJECUTADO[[#This Row],[MONTO SOLICITADO]])&gt;=0,"PRESUPUESTO: SI","PRESUPUESTO: NO")</f>
        <v>PRESUPUESTO: SI</v>
      </c>
      <c r="L667" s="162">
        <f>SUMIF(PRESUPUESTO[CUENTA],EJECUTADO[[#This Row],[CUENTA]],PRESUPUESTO[MONTO])-SUMIF($F$1:F666,EJECUTADO[[#This Row],[CUENTA]],$M$1:M666)</f>
        <v>111063.95</v>
      </c>
      <c r="M667" s="2">
        <v>3695</v>
      </c>
      <c r="N667" s="84"/>
      <c r="O667" s="84"/>
      <c r="P667" s="162">
        <f>+EJECUTADO[[#This Row],[MONTO SOLICITADO]]-EJECUTADO[[#This Row],[RETENCION IVA]]-EJECUTADO[[#This Row],[RETENCION ISR]]</f>
        <v>3695</v>
      </c>
      <c r="Q667" s="84" t="s">
        <v>1000</v>
      </c>
      <c r="R667" s="84"/>
      <c r="S667">
        <v>1</v>
      </c>
      <c r="T667" s="168" t="str">
        <f t="shared" si="20"/>
        <v>SUELDOS ACADÉMICOS - SUELDOS Y SALARIOS FACULTAD DE INFORMATICA Y CIENCIAS APLICADAS Disponible $111063.95 Solicitado $3695 PRESUPUESTO: SI</v>
      </c>
    </row>
    <row r="668" spans="1:20" ht="30" x14ac:dyDescent="0.25">
      <c r="A668" s="6">
        <f t="shared" si="21"/>
        <v>663</v>
      </c>
      <c r="B668" s="21">
        <v>45351</v>
      </c>
      <c r="C668" s="110" t="s">
        <v>1418</v>
      </c>
      <c r="D668" s="126" t="s">
        <v>1461</v>
      </c>
      <c r="E668" s="65"/>
      <c r="F668" t="s">
        <v>1462</v>
      </c>
      <c r="G668" s="161">
        <f>MONTH(EJECUTADO[[#This Row],[FECHA]])</f>
        <v>2</v>
      </c>
      <c r="H668" s="163" t="str">
        <f>MID(EJECUTADO[[#This Row],[CUENTA]],1,4)</f>
        <v>E-05</v>
      </c>
      <c r="I668" s="163" t="str">
        <f>INDEX(CATALOGO[Descripción],MATCH(EJECUTADO[[#This Row],[APLICACIÓN]]&amp;"-00-00-00",CATALOGO[Código],0))</f>
        <v>SUELDOS DTC</v>
      </c>
      <c r="J6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668" s="161" t="str">
        <f>IF((EJECUTADO[[#This Row],[MONTO DISPONIBLE ]]-EJECUTADO[[#This Row],[MONTO SOLICITADO]])&gt;=0,"PRESUPUESTO: SI","PRESUPUESTO: NO")</f>
        <v>PRESUPUESTO: SI</v>
      </c>
      <c r="L668" s="162">
        <f>SUMIF(PRESUPUESTO[CUENTA],EJECUTADO[[#This Row],[CUENTA]],PRESUPUESTO[MONTO])-SUMIF($F$1:F667,EJECUTADO[[#This Row],[CUENTA]],$M$1:M667)</f>
        <v>419948.74</v>
      </c>
      <c r="M668" s="2">
        <v>22551.5</v>
      </c>
      <c r="N668" s="84"/>
      <c r="O668" s="84"/>
      <c r="P668" s="162">
        <f>+EJECUTADO[[#This Row],[MONTO SOLICITADO]]-EJECUTADO[[#This Row],[RETENCION IVA]]-EJECUTADO[[#This Row],[RETENCION ISR]]</f>
        <v>22551.5</v>
      </c>
      <c r="Q668" s="84" t="s">
        <v>1000</v>
      </c>
      <c r="R668" s="84"/>
      <c r="S668">
        <v>1</v>
      </c>
      <c r="T668" s="168" t="str">
        <f t="shared" si="20"/>
        <v>SUELDOS DTC - SUELDOS Y SALARIOS FACULTAD DE INFORMATICA Y CIENCIAS APLICADAS Disponible $419948.74 Solicitado $22551.5 PRESUPUESTO: SI</v>
      </c>
    </row>
    <row r="669" spans="1:20" ht="45" x14ac:dyDescent="0.25">
      <c r="A669" s="6">
        <f t="shared" si="21"/>
        <v>664</v>
      </c>
      <c r="B669" s="21">
        <v>45351</v>
      </c>
      <c r="C669" s="109" t="s">
        <v>1418</v>
      </c>
      <c r="D669" s="126" t="s">
        <v>1463</v>
      </c>
      <c r="E669" s="65"/>
      <c r="F669" t="s">
        <v>1462</v>
      </c>
      <c r="G669" s="161">
        <f>MONTH(EJECUTADO[[#This Row],[FECHA]])</f>
        <v>2</v>
      </c>
      <c r="H669" s="163" t="str">
        <f>MID(EJECUTADO[[#This Row],[CUENTA]],1,4)</f>
        <v>E-05</v>
      </c>
      <c r="I669" s="163" t="str">
        <f>INDEX(CATALOGO[Descripción],MATCH(EJECUTADO[[#This Row],[APLICACIÓN]]&amp;"-00-00-00",CATALOGO[Código],0))</f>
        <v>SUELDOS DTC</v>
      </c>
      <c r="J6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669" s="161" t="str">
        <f>IF((EJECUTADO[[#This Row],[MONTO DISPONIBLE ]]-EJECUTADO[[#This Row],[MONTO SOLICITADO]])&gt;=0,"PRESUPUESTO: SI","PRESUPUESTO: NO")</f>
        <v>PRESUPUESTO: SI</v>
      </c>
      <c r="L669" s="162">
        <f>SUMIF(PRESUPUESTO[CUENTA],EJECUTADO[[#This Row],[CUENTA]],PRESUPUESTO[MONTO])-SUMIF($F$1:F668,EJECUTADO[[#This Row],[CUENTA]],$M$1:M668)</f>
        <v>397397.24</v>
      </c>
      <c r="M669" s="2">
        <v>16862.5</v>
      </c>
      <c r="N669" s="84"/>
      <c r="O669" s="84"/>
      <c r="P669" s="162">
        <f>+EJECUTADO[[#This Row],[MONTO SOLICITADO]]-EJECUTADO[[#This Row],[RETENCION IVA]]-EJECUTADO[[#This Row],[RETENCION ISR]]</f>
        <v>16862.5</v>
      </c>
      <c r="Q669" s="84" t="s">
        <v>1000</v>
      </c>
      <c r="R669" s="84"/>
      <c r="S669">
        <v>1</v>
      </c>
      <c r="T669" s="168" t="str">
        <f t="shared" si="20"/>
        <v>SUELDOS DTC - SUELDOS Y SALARIOS FACULTAD DE INFORMATICA Y CIENCIAS APLICADAS Disponible $397397.24 Solicitado $16862.5 PRESUPUESTO: SI</v>
      </c>
    </row>
    <row r="670" spans="1:20" ht="30" x14ac:dyDescent="0.25">
      <c r="A670" s="6">
        <f t="shared" si="21"/>
        <v>665</v>
      </c>
      <c r="B670" s="21">
        <v>45351</v>
      </c>
      <c r="C670" s="110" t="s">
        <v>1418</v>
      </c>
      <c r="D670" s="126" t="s">
        <v>1464</v>
      </c>
      <c r="E670" s="65"/>
      <c r="F670" t="s">
        <v>1465</v>
      </c>
      <c r="G670" s="161">
        <f>MONTH(EJECUTADO[[#This Row],[FECHA]])</f>
        <v>2</v>
      </c>
      <c r="H670" s="163" t="str">
        <f>MID(EJECUTADO[[#This Row],[CUENTA]],1,4)</f>
        <v>E-04</v>
      </c>
      <c r="I670" s="163" t="str">
        <f>INDEX(CATALOGO[Descripción],MATCH(EJECUTADO[[#This Row],[APLICACIÓN]]&amp;"-00-00-00",CATALOGO[Código],0))</f>
        <v>SUELDOS ACADÉMICOS</v>
      </c>
      <c r="J6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670" s="161" t="str">
        <f>IF((EJECUTADO[[#This Row],[MONTO DISPONIBLE ]]-EJECUTADO[[#This Row],[MONTO SOLICITADO]])&gt;=0,"PRESUPUESTO: SI","PRESUPUESTO: NO")</f>
        <v>PRESUPUESTO: SI</v>
      </c>
      <c r="L670" s="162">
        <f>SUMIF(PRESUPUESTO[CUENTA],EJECUTADO[[#This Row],[CUENTA]],PRESUPUESTO[MONTO])-SUMIF($F$1:F669,EJECUTADO[[#This Row],[CUENTA]],$M$1:M669)</f>
        <v>47260</v>
      </c>
      <c r="M670" s="2">
        <v>3440</v>
      </c>
      <c r="N670" s="84"/>
      <c r="O670" s="84"/>
      <c r="P670" s="162">
        <f>+EJECUTADO[[#This Row],[MONTO SOLICITADO]]-EJECUTADO[[#This Row],[RETENCION IVA]]-EJECUTADO[[#This Row],[RETENCION ISR]]</f>
        <v>3440</v>
      </c>
      <c r="Q670" s="84" t="s">
        <v>1000</v>
      </c>
      <c r="R670" s="84"/>
      <c r="S670">
        <v>1</v>
      </c>
      <c r="T670" s="168" t="str">
        <f t="shared" si="20"/>
        <v>SUELDOS ACADÉMICOS - SUELDOS Y SALARIOS FACULTAD DE CIENCIAS JURIDICAS Disponible $47260 Solicitado $3440 PRESUPUESTO: SI</v>
      </c>
    </row>
    <row r="671" spans="1:20" ht="30" x14ac:dyDescent="0.25">
      <c r="A671" s="6">
        <f t="shared" si="21"/>
        <v>666</v>
      </c>
      <c r="B671" s="21">
        <v>45351</v>
      </c>
      <c r="C671" s="109" t="s">
        <v>1418</v>
      </c>
      <c r="D671" s="126" t="s">
        <v>1466</v>
      </c>
      <c r="E671" s="65"/>
      <c r="F671" t="s">
        <v>1467</v>
      </c>
      <c r="G671" s="161">
        <f>MONTH(EJECUTADO[[#This Row],[FECHA]])</f>
        <v>2</v>
      </c>
      <c r="H671" s="163" t="str">
        <f>MID(EJECUTADO[[#This Row],[CUENTA]],1,4)</f>
        <v>E-05</v>
      </c>
      <c r="I671" s="163" t="str">
        <f>INDEX(CATALOGO[Descripción],MATCH(EJECUTADO[[#This Row],[APLICACIÓN]]&amp;"-00-00-00",CATALOGO[Código],0))</f>
        <v>SUELDOS DTC</v>
      </c>
      <c r="J6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671" s="161" t="str">
        <f>IF((EJECUTADO[[#This Row],[MONTO DISPONIBLE ]]-EJECUTADO[[#This Row],[MONTO SOLICITADO]])&gt;=0,"PRESUPUESTO: SI","PRESUPUESTO: NO")</f>
        <v>PRESUPUESTO: SI</v>
      </c>
      <c r="L671" s="162">
        <f>SUMIF(PRESUPUESTO[CUENTA],EJECUTADO[[#This Row],[CUENTA]],PRESUPUESTO[MONTO])-SUMIF($F$1:F670,EJECUTADO[[#This Row],[CUENTA]],$M$1:M670)</f>
        <v>175920</v>
      </c>
      <c r="M671" s="2">
        <v>7487.5</v>
      </c>
      <c r="N671" s="84"/>
      <c r="O671" s="84"/>
      <c r="P671" s="162">
        <f>+EJECUTADO[[#This Row],[MONTO SOLICITADO]]-EJECUTADO[[#This Row],[RETENCION IVA]]-EJECUTADO[[#This Row],[RETENCION ISR]]</f>
        <v>7487.5</v>
      </c>
      <c r="Q671" s="84" t="s">
        <v>1000</v>
      </c>
      <c r="R671" s="84"/>
      <c r="S671">
        <v>1</v>
      </c>
      <c r="T671" s="168" t="str">
        <f t="shared" si="20"/>
        <v>SUELDOS DTC - SUELDOS Y SALARIOS FACULTAD DE CIENCIAS JURIDICAS Disponible $175920 Solicitado $7487.5 PRESUPUESTO: SI</v>
      </c>
    </row>
    <row r="672" spans="1:20" ht="30" x14ac:dyDescent="0.25">
      <c r="A672" s="6">
        <f t="shared" si="21"/>
        <v>667</v>
      </c>
      <c r="B672" s="21">
        <v>45351</v>
      </c>
      <c r="C672" s="110" t="s">
        <v>1418</v>
      </c>
      <c r="D672" s="126" t="s">
        <v>649</v>
      </c>
      <c r="E672" s="65"/>
      <c r="F672" t="s">
        <v>1468</v>
      </c>
      <c r="G672" s="161">
        <f>MONTH(EJECUTADO[[#This Row],[FECHA]])</f>
        <v>2</v>
      </c>
      <c r="H672" s="163" t="str">
        <f>MID(EJECUTADO[[#This Row],[CUENTA]],1,4)</f>
        <v>E-13</v>
      </c>
      <c r="I672" s="163" t="str">
        <f>INDEX(CATALOGO[Descripción],MATCH(EJECUTADO[[#This Row],[APLICACIÓN]]&amp;"-00-00-00",CATALOGO[Código],0))</f>
        <v>MAESTRIAS Y POSTGRADOS</v>
      </c>
      <c r="J6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72" s="161" t="str">
        <f>IF((EJECUTADO[[#This Row],[MONTO DISPONIBLE ]]-EJECUTADO[[#This Row],[MONTO SOLICITADO]])&gt;=0,"PRESUPUESTO: SI","PRESUPUESTO: NO")</f>
        <v>PRESUPUESTO: SI</v>
      </c>
      <c r="L672" s="162">
        <f>SUMIF(PRESUPUESTO[CUENTA],EJECUTADO[[#This Row],[CUENTA]],PRESUPUESTO[MONTO])-SUMIF($F$1:F671,EJECUTADO[[#This Row],[CUENTA]],$M$1:M671)</f>
        <v>100284.37</v>
      </c>
      <c r="M672" s="2">
        <v>9950</v>
      </c>
      <c r="N672" s="84"/>
      <c r="O672" s="84"/>
      <c r="P672" s="162">
        <f>+EJECUTADO[[#This Row],[MONTO SOLICITADO]]-EJECUTADO[[#This Row],[RETENCION IVA]]-EJECUTADO[[#This Row],[RETENCION ISR]]</f>
        <v>9950</v>
      </c>
      <c r="Q672" s="84" t="s">
        <v>1000</v>
      </c>
      <c r="R672" s="84"/>
      <c r="S672">
        <v>1</v>
      </c>
      <c r="T672" s="168" t="str">
        <f t="shared" si="20"/>
        <v>MAESTRIAS Y POSTGRADOS - SUELDOS Y SALARIOS Disponible $100284.37 Solicitado $9950 PRESUPUESTO: SI</v>
      </c>
    </row>
    <row r="673" spans="1:20" ht="30" x14ac:dyDescent="0.25">
      <c r="A673" s="6">
        <f t="shared" si="21"/>
        <v>668</v>
      </c>
      <c r="B673" s="21">
        <v>45351</v>
      </c>
      <c r="C673" s="109" t="s">
        <v>1418</v>
      </c>
      <c r="D673" s="126" t="s">
        <v>1469</v>
      </c>
      <c r="E673" s="65"/>
      <c r="F673" t="s">
        <v>1470</v>
      </c>
      <c r="G673" s="161">
        <f>MONTH(EJECUTADO[[#This Row],[FECHA]])</f>
        <v>2</v>
      </c>
      <c r="H673" s="163" t="str">
        <f>MID(EJECUTADO[[#This Row],[CUENTA]],1,4)</f>
        <v>E-25</v>
      </c>
      <c r="I673" s="163" t="str">
        <f>INDEX(CATALOGO[Descripción],MATCH(EJECUTADO[[#This Row],[APLICACIÓN]]&amp;"-00-00-00",CATALOGO[Código],0))</f>
        <v>DECANATO DE ESTUDIANTES</v>
      </c>
      <c r="J6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73" s="161" t="str">
        <f>IF((EJECUTADO[[#This Row],[MONTO DISPONIBLE ]]-EJECUTADO[[#This Row],[MONTO SOLICITADO]])&gt;=0,"PRESUPUESTO: SI","PRESUPUESTO: NO")</f>
        <v>PRESUPUESTO: SI</v>
      </c>
      <c r="L673" s="162">
        <f>SUMIF(PRESUPUESTO[CUENTA],EJECUTADO[[#This Row],[CUENTA]],PRESUPUESTO[MONTO])-SUMIF($F$1:F672,EJECUTADO[[#This Row],[CUENTA]],$M$1:M672)</f>
        <v>52500</v>
      </c>
      <c r="M673" s="2">
        <v>4700</v>
      </c>
      <c r="N673" s="84"/>
      <c r="O673" s="84"/>
      <c r="P673" s="162">
        <f>+EJECUTADO[[#This Row],[MONTO SOLICITADO]]-EJECUTADO[[#This Row],[RETENCION IVA]]-EJECUTADO[[#This Row],[RETENCION ISR]]</f>
        <v>4700</v>
      </c>
      <c r="Q673" s="84" t="s">
        <v>1000</v>
      </c>
      <c r="R673" s="84"/>
      <c r="S673">
        <v>1</v>
      </c>
      <c r="T673" s="168" t="str">
        <f t="shared" si="20"/>
        <v>DECANATO DE ESTUDIANTES - SUELDOS Y SALARIOS Disponible $52500 Solicitado $4700 PRESUPUESTO: SI</v>
      </c>
    </row>
    <row r="674" spans="1:20" x14ac:dyDescent="0.25">
      <c r="A674" s="6">
        <f t="shared" si="21"/>
        <v>669</v>
      </c>
      <c r="B674" s="21">
        <v>45351</v>
      </c>
      <c r="C674" s="110" t="s">
        <v>1418</v>
      </c>
      <c r="D674" s="126" t="s">
        <v>1471</v>
      </c>
      <c r="E674" s="65"/>
      <c r="F674" t="s">
        <v>1472</v>
      </c>
      <c r="G674" s="161">
        <f>MONTH(EJECUTADO[[#This Row],[FECHA]])</f>
        <v>2</v>
      </c>
      <c r="H674" s="163" t="str">
        <f>MID(EJECUTADO[[#This Row],[CUENTA]],1,4)</f>
        <v>E-25</v>
      </c>
      <c r="I674" s="163" t="str">
        <f>INDEX(CATALOGO[Descripción],MATCH(EJECUTADO[[#This Row],[APLICACIÓN]]&amp;"-00-00-00",CATALOGO[Código],0))</f>
        <v>DECANATO DE ESTUDIANTES</v>
      </c>
      <c r="J6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UNIDAD DE TUTORES- SUELDOS Y SALARIOS</v>
      </c>
      <c r="K674" s="161" t="str">
        <f>IF((EJECUTADO[[#This Row],[MONTO DISPONIBLE ]]-EJECUTADO[[#This Row],[MONTO SOLICITADO]])&gt;=0,"PRESUPUESTO: SI","PRESUPUESTO: NO")</f>
        <v>PRESUPUESTO: SI</v>
      </c>
      <c r="L674" s="162">
        <f>SUMIF(PRESUPUESTO[CUENTA],EJECUTADO[[#This Row],[CUENTA]],PRESUPUESTO[MONTO])-SUMIF($F$1:F673,EJECUTADO[[#This Row],[CUENTA]],$M$1:M673)</f>
        <v>25200</v>
      </c>
      <c r="M674" s="2">
        <v>2100</v>
      </c>
      <c r="N674" s="84"/>
      <c r="O674" s="84"/>
      <c r="P674" s="162">
        <f>+EJECUTADO[[#This Row],[MONTO SOLICITADO]]-EJECUTADO[[#This Row],[RETENCION IVA]]-EJECUTADO[[#This Row],[RETENCION ISR]]</f>
        <v>2100</v>
      </c>
      <c r="Q674" s="84" t="s">
        <v>1000</v>
      </c>
      <c r="R674" s="84"/>
      <c r="S674">
        <v>1</v>
      </c>
      <c r="T674" s="168" t="str">
        <f t="shared" si="20"/>
        <v>DECANATO DE ESTUDIANTES - UNIDAD DE TUTORES- SUELDOS Y SALARIOS Disponible $25200 Solicitado $2100 PRESUPUESTO: SI</v>
      </c>
    </row>
    <row r="675" spans="1:20" x14ac:dyDescent="0.25">
      <c r="A675" s="6">
        <f t="shared" si="21"/>
        <v>670</v>
      </c>
      <c r="B675" s="21">
        <v>45351</v>
      </c>
      <c r="C675" s="109" t="s">
        <v>1418</v>
      </c>
      <c r="D675" s="126" t="s">
        <v>1473</v>
      </c>
      <c r="E675" s="65"/>
      <c r="F675" t="s">
        <v>1474</v>
      </c>
      <c r="G675" s="161">
        <f>MONTH(EJECUTADO[[#This Row],[FECHA]])</f>
        <v>2</v>
      </c>
      <c r="H675" s="163" t="str">
        <f>MID(EJECUTADO[[#This Row],[CUENTA]],1,4)</f>
        <v>E-25</v>
      </c>
      <c r="I675" s="163" t="str">
        <f>INDEX(CATALOGO[Descripción],MATCH(EJECUTADO[[#This Row],[APLICACIÓN]]&amp;"-00-00-00",CATALOGO[Código],0))</f>
        <v>DECANATO DE ESTUDIANTES</v>
      </c>
      <c r="J6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PASANTIAS- SUELDOS Y SALARIOS</v>
      </c>
      <c r="K675" s="161" t="str">
        <f>IF((EJECUTADO[[#This Row],[MONTO DISPONIBLE ]]-EJECUTADO[[#This Row],[MONTO SOLICITADO]])&gt;=0,"PRESUPUESTO: SI","PRESUPUESTO: NO")</f>
        <v>PRESUPUESTO: SI</v>
      </c>
      <c r="L675" s="162">
        <f>SUMIF(PRESUPUESTO[CUENTA],EJECUTADO[[#This Row],[CUENTA]],PRESUPUESTO[MONTO])-SUMIF($F$1:F674,EJECUTADO[[#This Row],[CUENTA]],$M$1:M674)</f>
        <v>7600</v>
      </c>
      <c r="M675" s="2">
        <v>1500</v>
      </c>
      <c r="N675" s="84"/>
      <c r="O675" s="84"/>
      <c r="P675" s="162">
        <f>+EJECUTADO[[#This Row],[MONTO SOLICITADO]]-EJECUTADO[[#This Row],[RETENCION IVA]]-EJECUTADO[[#This Row],[RETENCION ISR]]</f>
        <v>1500</v>
      </c>
      <c r="Q675" s="84" t="s">
        <v>1000</v>
      </c>
      <c r="R675" s="84"/>
      <c r="S675">
        <v>1</v>
      </c>
      <c r="T675" s="168" t="str">
        <f t="shared" si="20"/>
        <v>DECANATO DE ESTUDIANTES - PASANTIAS- SUELDOS Y SALARIOS Disponible $7600 Solicitado $1500 PRESUPUESTO: SI</v>
      </c>
    </row>
    <row r="676" spans="1:20" ht="30" x14ac:dyDescent="0.25">
      <c r="A676" s="6">
        <f t="shared" si="21"/>
        <v>671</v>
      </c>
      <c r="B676" s="21">
        <v>45351</v>
      </c>
      <c r="C676" s="110" t="s">
        <v>1418</v>
      </c>
      <c r="D676" s="126" t="s">
        <v>1475</v>
      </c>
      <c r="E676" s="65"/>
      <c r="F676" t="s">
        <v>1476</v>
      </c>
      <c r="G676" s="161">
        <f>MONTH(EJECUTADO[[#This Row],[FECHA]])</f>
        <v>2</v>
      </c>
      <c r="H676" s="163" t="str">
        <f>MID(EJECUTADO[[#This Row],[CUENTA]],1,4)</f>
        <v>E-25</v>
      </c>
      <c r="I676" s="163" t="str">
        <f>INDEX(CATALOGO[Descripción],MATCH(EJECUTADO[[#This Row],[APLICACIÓN]]&amp;"-00-00-00",CATALOGO[Código],0))</f>
        <v>DECANATO DE ESTUDIANTES</v>
      </c>
      <c r="J6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SERVICIO SOCIAL - SUELDOS Y SALARIOS</v>
      </c>
      <c r="K676" s="161" t="str">
        <f>IF((EJECUTADO[[#This Row],[MONTO DISPONIBLE ]]-EJECUTADO[[#This Row],[MONTO SOLICITADO]])&gt;=0,"PRESUPUESTO: SI","PRESUPUESTO: NO")</f>
        <v>PRESUPUESTO: SI</v>
      </c>
      <c r="L676" s="162">
        <f>SUMIF(PRESUPUESTO[CUENTA],EJECUTADO[[#This Row],[CUENTA]],PRESUPUESTO[MONTO])-SUMIF($F$1:F675,EJECUTADO[[#This Row],[CUENTA]],$M$1:M675)</f>
        <v>19100</v>
      </c>
      <c r="M676" s="2">
        <v>200</v>
      </c>
      <c r="N676" s="84"/>
      <c r="O676" s="84"/>
      <c r="P676" s="162">
        <f>+EJECUTADO[[#This Row],[MONTO SOLICITADO]]-EJECUTADO[[#This Row],[RETENCION IVA]]-EJECUTADO[[#This Row],[RETENCION ISR]]</f>
        <v>200</v>
      </c>
      <c r="Q676" s="84" t="s">
        <v>1000</v>
      </c>
      <c r="R676" s="84"/>
      <c r="S676">
        <v>1</v>
      </c>
      <c r="T676" s="168" t="str">
        <f t="shared" si="20"/>
        <v>DECANATO DE ESTUDIANTES - U. SERVICIO SOCIAL - SUELDOS Y SALARIOS Disponible $19100 Solicitado $200 PRESUPUESTO: SI</v>
      </c>
    </row>
    <row r="677" spans="1:20" ht="30" x14ac:dyDescent="0.25">
      <c r="A677" s="6">
        <f t="shared" si="21"/>
        <v>672</v>
      </c>
      <c r="B677" s="21">
        <v>45351</v>
      </c>
      <c r="C677" s="109" t="s">
        <v>1418</v>
      </c>
      <c r="D677" s="126" t="s">
        <v>1477</v>
      </c>
      <c r="E677" s="65"/>
      <c r="F677" t="s">
        <v>1478</v>
      </c>
      <c r="G677" s="161">
        <f>MONTH(EJECUTADO[[#This Row],[FECHA]])</f>
        <v>2</v>
      </c>
      <c r="H677" s="163" t="str">
        <f>MID(EJECUTADO[[#This Row],[CUENTA]],1,4)</f>
        <v>E-25</v>
      </c>
      <c r="I677" s="163" t="str">
        <f>INDEX(CATALOGO[Descripción],MATCH(EJECUTADO[[#This Row],[APLICACIÓN]]&amp;"-00-00-00",CATALOGO[Código],0))</f>
        <v>DECANATO DE ESTUDIANTES</v>
      </c>
      <c r="J6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U. recreación y deportes - Sueldo Encargado Unidad $ 750.00 </v>
      </c>
      <c r="K677" s="161" t="str">
        <f>IF((EJECUTADO[[#This Row],[MONTO DISPONIBLE ]]-EJECUTADO[[#This Row],[MONTO SOLICITADO]])&gt;=0,"PRESUPUESTO: SI","PRESUPUESTO: NO")</f>
        <v>PRESUPUESTO: SI</v>
      </c>
      <c r="L677" s="162">
        <f>SUMIF(PRESUPUESTO[CUENTA],EJECUTADO[[#This Row],[CUENTA]],PRESUPUESTO[MONTO])-SUMIF($F$1:F676,EJECUTADO[[#This Row],[CUENTA]],$M$1:M676)</f>
        <v>8500</v>
      </c>
      <c r="M677" s="2">
        <v>1250</v>
      </c>
      <c r="N677" s="84"/>
      <c r="O677" s="84"/>
      <c r="P677" s="162">
        <f>+EJECUTADO[[#This Row],[MONTO SOLICITADO]]-EJECUTADO[[#This Row],[RETENCION IVA]]-EJECUTADO[[#This Row],[RETENCION ISR]]</f>
        <v>1250</v>
      </c>
      <c r="Q677" s="84" t="s">
        <v>1000</v>
      </c>
      <c r="R677" s="84"/>
      <c r="S677">
        <v>1</v>
      </c>
      <c r="T677" s="168" t="str">
        <f t="shared" si="20"/>
        <v>DECANATO DE ESTUDIANTES - U. recreación y deportes - Sueldo Encargado Unidad $ 750.00  Disponible $8500 Solicitado $1250 PRESUPUESTO: SI</v>
      </c>
    </row>
    <row r="678" spans="1:20" ht="30" x14ac:dyDescent="0.25">
      <c r="A678" s="6">
        <f t="shared" si="21"/>
        <v>673</v>
      </c>
      <c r="B678" s="21">
        <v>45351</v>
      </c>
      <c r="C678" s="110" t="s">
        <v>1418</v>
      </c>
      <c r="D678" s="126" t="s">
        <v>240</v>
      </c>
      <c r="E678" s="65"/>
      <c r="F678" t="s">
        <v>1479</v>
      </c>
      <c r="G678" s="161">
        <f>MONTH(EJECUTADO[[#This Row],[FECHA]])</f>
        <v>2</v>
      </c>
      <c r="H678" s="163" t="str">
        <f>MID(EJECUTADO[[#This Row],[CUENTA]],1,4)</f>
        <v>E-03</v>
      </c>
      <c r="I678" s="163" t="str">
        <f>INDEX(CATALOGO[Descripción],MATCH(EJECUTADO[[#This Row],[APLICACIÓN]]&amp;"-00-00-00",CATALOGO[Código],0))</f>
        <v>SUELDOS ADMINISTRATIVOS</v>
      </c>
      <c r="J6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CLINICA EMPRESARIAL</v>
      </c>
      <c r="K678" s="161" t="str">
        <f>IF((EJECUTADO[[#This Row],[MONTO DISPONIBLE ]]-EJECUTADO[[#This Row],[MONTO SOLICITADO]])&gt;=0,"PRESUPUESTO: SI","PRESUPUESTO: NO")</f>
        <v>PRESUPUESTO: SI</v>
      </c>
      <c r="L678" s="162">
        <f>SUMIF(PRESUPUESTO[CUENTA],EJECUTADO[[#This Row],[CUENTA]],PRESUPUESTO[MONTO])-SUMIF($F$1:F677,EJECUTADO[[#This Row],[CUENTA]],$M$1:M677)</f>
        <v>31371.42</v>
      </c>
      <c r="M678" s="2">
        <v>2000</v>
      </c>
      <c r="N678" s="84"/>
      <c r="O678" s="84"/>
      <c r="P678" s="162">
        <f>+EJECUTADO[[#This Row],[MONTO SOLICITADO]]-EJECUTADO[[#This Row],[RETENCION IVA]]-EJECUTADO[[#This Row],[RETENCION ISR]]</f>
        <v>2000</v>
      </c>
      <c r="Q678" s="84" t="s">
        <v>1000</v>
      </c>
      <c r="R678" s="84"/>
      <c r="S678">
        <v>1</v>
      </c>
      <c r="T678" s="168" t="str">
        <f t="shared" si="20"/>
        <v>SUELDOS ADMINISTRATIVOS - SUELDOS Y SALARIOS CLINICA EMPRESARIAL Disponible $31371.42 Solicitado $2000 PRESUPUESTO: SI</v>
      </c>
    </row>
    <row r="679" spans="1:20" ht="45" x14ac:dyDescent="0.25">
      <c r="A679" s="6">
        <f t="shared" si="21"/>
        <v>674</v>
      </c>
      <c r="B679" s="21">
        <v>45351</v>
      </c>
      <c r="C679" s="109" t="s">
        <v>1418</v>
      </c>
      <c r="D679" s="126" t="s">
        <v>1480</v>
      </c>
      <c r="E679" s="65"/>
      <c r="F679" t="s">
        <v>1481</v>
      </c>
      <c r="G679" s="161">
        <f>MONTH(EJECUTADO[[#This Row],[FECHA]])</f>
        <v>2</v>
      </c>
      <c r="H679" s="163" t="str">
        <f>MID(EJECUTADO[[#This Row],[CUENTA]],1,4)</f>
        <v>E-11</v>
      </c>
      <c r="I679" s="163" t="str">
        <f>INDEX(CATALOGO[Descripción],MATCH(EJECUTADO[[#This Row],[APLICACIÓN]]&amp;"-00-00-00",CATALOGO[Código],0))</f>
        <v>INVESTIGACIONES</v>
      </c>
      <c r="J6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79" s="161" t="str">
        <f>IF((EJECUTADO[[#This Row],[MONTO DISPONIBLE ]]-EJECUTADO[[#This Row],[MONTO SOLICITADO]])&gt;=0,"PRESUPUESTO: SI","PRESUPUESTO: NO")</f>
        <v>PRESUPUESTO: SI</v>
      </c>
      <c r="L679" s="162">
        <f>SUMIF(PRESUPUESTO[CUENTA],EJECUTADO[[#This Row],[CUENTA]],PRESUPUESTO[MONTO])-SUMIF($F$1:F678,EJECUTADO[[#This Row],[CUENTA]],$M$1:M678)</f>
        <v>251070.33000000002</v>
      </c>
      <c r="M679" s="2">
        <v>6361.67</v>
      </c>
      <c r="N679" s="84"/>
      <c r="O679" s="84"/>
      <c r="P679" s="162">
        <f>+EJECUTADO[[#This Row],[MONTO SOLICITADO]]-EJECUTADO[[#This Row],[RETENCION IVA]]-EJECUTADO[[#This Row],[RETENCION ISR]]</f>
        <v>6361.67</v>
      </c>
      <c r="Q679" s="84" t="s">
        <v>1000</v>
      </c>
      <c r="R679" s="84"/>
      <c r="S679">
        <v>1</v>
      </c>
      <c r="T679" s="168" t="str">
        <f t="shared" si="20"/>
        <v>INVESTIGACIONES - SUELDOS Y SALARIOS Disponible $251070.33 Solicitado $6361.67 PRESUPUESTO: SI</v>
      </c>
    </row>
    <row r="680" spans="1:20" x14ac:dyDescent="0.25">
      <c r="A680" s="6">
        <f t="shared" si="21"/>
        <v>675</v>
      </c>
      <c r="B680" s="21">
        <v>45351</v>
      </c>
      <c r="C680" s="110" t="s">
        <v>1418</v>
      </c>
      <c r="D680" s="126" t="s">
        <v>255</v>
      </c>
      <c r="E680" s="65"/>
      <c r="F680" t="s">
        <v>1481</v>
      </c>
      <c r="G680" s="161">
        <f>MONTH(EJECUTADO[[#This Row],[FECHA]])</f>
        <v>2</v>
      </c>
      <c r="H680" s="163" t="str">
        <f>MID(EJECUTADO[[#This Row],[CUENTA]],1,4)</f>
        <v>E-11</v>
      </c>
      <c r="I680" s="163" t="str">
        <f>INDEX(CATALOGO[Descripción],MATCH(EJECUTADO[[#This Row],[APLICACIÓN]]&amp;"-00-00-00",CATALOGO[Código],0))</f>
        <v>INVESTIGACIONES</v>
      </c>
      <c r="J6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80" s="161" t="str">
        <f>IF((EJECUTADO[[#This Row],[MONTO DISPONIBLE ]]-EJECUTADO[[#This Row],[MONTO SOLICITADO]])&gt;=0,"PRESUPUESTO: SI","PRESUPUESTO: NO")</f>
        <v>PRESUPUESTO: SI</v>
      </c>
      <c r="L680" s="162">
        <f>SUMIF(PRESUPUESTO[CUENTA],EJECUTADO[[#This Row],[CUENTA]],PRESUPUESTO[MONTO])-SUMIF($F$1:F679,EJECUTADO[[#This Row],[CUENTA]],$M$1:M679)</f>
        <v>244708.66</v>
      </c>
      <c r="M680" s="2">
        <v>12910</v>
      </c>
      <c r="N680" s="84"/>
      <c r="O680" s="84"/>
      <c r="P680" s="162">
        <f>+EJECUTADO[[#This Row],[MONTO SOLICITADO]]-EJECUTADO[[#This Row],[RETENCION IVA]]-EJECUTADO[[#This Row],[RETENCION ISR]]</f>
        <v>12910</v>
      </c>
      <c r="Q680" s="84" t="s">
        <v>1000</v>
      </c>
      <c r="R680" s="84"/>
      <c r="S680">
        <v>1</v>
      </c>
      <c r="T680" s="168" t="str">
        <f t="shared" si="20"/>
        <v>INVESTIGACIONES - SUELDOS Y SALARIOS Disponible $244708.66 Solicitado $12910 PRESUPUESTO: SI</v>
      </c>
    </row>
    <row r="681" spans="1:20" ht="45" x14ac:dyDescent="0.25">
      <c r="A681" s="6">
        <f t="shared" si="21"/>
        <v>676</v>
      </c>
      <c r="B681" s="21">
        <v>45351</v>
      </c>
      <c r="C681" s="109" t="s">
        <v>1418</v>
      </c>
      <c r="D681" s="126" t="s">
        <v>1482</v>
      </c>
      <c r="E681" s="65"/>
      <c r="F681" t="s">
        <v>1483</v>
      </c>
      <c r="G681" s="161">
        <f>MONTH(EJECUTADO[[#This Row],[FECHA]])</f>
        <v>2</v>
      </c>
      <c r="H681" s="163" t="str">
        <f>MID(EJECUTADO[[#This Row],[CUENTA]],1,4)</f>
        <v>E-12</v>
      </c>
      <c r="I681" s="163" t="str">
        <f>INDEX(CATALOGO[Descripción],MATCH(EJECUTADO[[#This Row],[APLICACIÓN]]&amp;"-00-00-00",CATALOGO[Código],0))</f>
        <v>PROYECCION SOCIAL</v>
      </c>
      <c r="J6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681" s="161" t="str">
        <f>IF((EJECUTADO[[#This Row],[MONTO DISPONIBLE ]]-EJECUTADO[[#This Row],[MONTO SOLICITADO]])&gt;=0,"PRESUPUESTO: SI","PRESUPUESTO: NO")</f>
        <v>PRESUPUESTO: SI</v>
      </c>
      <c r="L681" s="162">
        <f>SUMIF(PRESUPUESTO[CUENTA],EJECUTADO[[#This Row],[CUENTA]],PRESUPUESTO[MONTO])-SUMIF($F$1:F680,EJECUTADO[[#This Row],[CUENTA]],$M$1:M680)</f>
        <v>48026.44</v>
      </c>
      <c r="M681" s="2">
        <v>5923.56</v>
      </c>
      <c r="N681" s="84"/>
      <c r="O681" s="84"/>
      <c r="P681" s="162">
        <f>+EJECUTADO[[#This Row],[MONTO SOLICITADO]]-EJECUTADO[[#This Row],[RETENCION IVA]]-EJECUTADO[[#This Row],[RETENCION ISR]]</f>
        <v>5923.56</v>
      </c>
      <c r="Q681" s="84" t="s">
        <v>1000</v>
      </c>
      <c r="R681" s="84"/>
      <c r="S681">
        <v>1</v>
      </c>
      <c r="T681" s="168" t="str">
        <f t="shared" si="20"/>
        <v>PROYECCION SOCIAL - SUELDOS Y SALARIOS Disponible $48026.44 Solicitado $5923.56 PRESUPUESTO: SI</v>
      </c>
    </row>
    <row r="682" spans="1:20" ht="30" x14ac:dyDescent="0.25">
      <c r="A682" s="6">
        <f t="shared" si="21"/>
        <v>677</v>
      </c>
      <c r="B682" s="21">
        <v>45351</v>
      </c>
      <c r="C682" s="110" t="s">
        <v>1418</v>
      </c>
      <c r="D682" s="126" t="s">
        <v>668</v>
      </c>
      <c r="E682" s="65"/>
      <c r="F682" t="s">
        <v>1484</v>
      </c>
      <c r="G682" s="161">
        <f>MONTH(EJECUTADO[[#This Row],[FECHA]])</f>
        <v>2</v>
      </c>
      <c r="H682" s="163" t="str">
        <f>MID(EJECUTADO[[#This Row],[CUENTA]],1,4)</f>
        <v>E-04</v>
      </c>
      <c r="I682" s="163" t="str">
        <f>INDEX(CATALOGO[Descripción],MATCH(EJECUTADO[[#This Row],[APLICACIÓN]]&amp;"-00-00-00",CATALOGO[Código],0))</f>
        <v>SUELDOS ACADÉMICOS</v>
      </c>
      <c r="J6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ADMÓN ACADÉMICA</v>
      </c>
      <c r="K682" s="161" t="str">
        <f>IF((EJECUTADO[[#This Row],[MONTO DISPONIBLE ]]-EJECUTADO[[#This Row],[MONTO SOLICITADO]])&gt;=0,"PRESUPUESTO: SI","PRESUPUESTO: NO")</f>
        <v>PRESUPUESTO: SI</v>
      </c>
      <c r="L682" s="162">
        <f>SUMIF(PRESUPUESTO[CUENTA],EJECUTADO[[#This Row],[CUENTA]],PRESUPUESTO[MONTO])-SUMIF($F$1:F681,EJECUTADO[[#This Row],[CUENTA]],$M$1:M681)</f>
        <v>100500</v>
      </c>
      <c r="M682" s="2">
        <v>8250</v>
      </c>
      <c r="N682" s="84"/>
      <c r="O682" s="84"/>
      <c r="P682" s="162">
        <f>+EJECUTADO[[#This Row],[MONTO SOLICITADO]]-EJECUTADO[[#This Row],[RETENCION IVA]]-EJECUTADO[[#This Row],[RETENCION ISR]]</f>
        <v>8250</v>
      </c>
      <c r="Q682" s="84" t="s">
        <v>1000</v>
      </c>
      <c r="R682" s="84"/>
      <c r="S682">
        <v>1</v>
      </c>
      <c r="T682" s="168" t="str">
        <f t="shared" si="20"/>
        <v>SUELDOS ACADÉMICOS - SUELDOS Y SALARIOS ADMÓN ACADÉMICA Disponible $100500 Solicitado $8250 PRESUPUESTO: SI</v>
      </c>
    </row>
    <row r="683" spans="1:20" x14ac:dyDescent="0.25">
      <c r="A683" s="6">
        <f t="shared" si="21"/>
        <v>678</v>
      </c>
      <c r="B683" s="21">
        <v>45351</v>
      </c>
      <c r="C683" s="109" t="s">
        <v>1418</v>
      </c>
      <c r="D683" s="126" t="s">
        <v>40</v>
      </c>
      <c r="E683" s="65"/>
      <c r="F683" t="s">
        <v>1485</v>
      </c>
      <c r="G683" s="161">
        <f>MONTH(EJECUTADO[[#This Row],[FECHA]])</f>
        <v>2</v>
      </c>
      <c r="H683" s="163" t="str">
        <f>MID(EJECUTADO[[#This Row],[CUENTA]],1,4)</f>
        <v>E-16</v>
      </c>
      <c r="I683" s="163" t="str">
        <f>INDEX(CATALOGO[Descripción],MATCH(EJECUTADO[[#This Row],[APLICACIÓN]]&amp;"-00-00-00",CATALOGO[Código],0))</f>
        <v xml:space="preserve">PRE-ESPECIALIDAD </v>
      </c>
      <c r="J6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</v>
      </c>
      <c r="K683" s="161" t="str">
        <f>IF((EJECUTADO[[#This Row],[MONTO DISPONIBLE ]]-EJECUTADO[[#This Row],[MONTO SOLICITADO]])&gt;=0,"PRESUPUESTO: SI","PRESUPUESTO: NO")</f>
        <v>PRESUPUESTO: SI</v>
      </c>
      <c r="L683" s="162">
        <f>SUMIF(PRESUPUESTO[CUENTA],EJECUTADO[[#This Row],[CUENTA]],PRESUPUESTO[MONTO])-SUMIF($F$1:F682,EJECUTADO[[#This Row],[CUENTA]],$M$1:M682)</f>
        <v>28600</v>
      </c>
      <c r="M683" s="2">
        <v>1950</v>
      </c>
      <c r="N683" s="84"/>
      <c r="O683" s="84"/>
      <c r="P683" s="162">
        <f>+EJECUTADO[[#This Row],[MONTO SOLICITADO]]-EJECUTADO[[#This Row],[RETENCION IVA]]-EJECUTADO[[#This Row],[RETENCION ISR]]</f>
        <v>1950</v>
      </c>
      <c r="Q683" s="84" t="s">
        <v>1000</v>
      </c>
      <c r="R683" s="84"/>
      <c r="S683">
        <v>1</v>
      </c>
      <c r="T683" s="168" t="str">
        <f t="shared" si="20"/>
        <v>PRE-ESPECIALIDAD  - SUELDOS Y SALARIOS  Disponible $28600 Solicitado $1950 PRESUPUESTO: SI</v>
      </c>
    </row>
    <row r="684" spans="1:20" x14ac:dyDescent="0.25">
      <c r="A684" s="6">
        <f t="shared" si="21"/>
        <v>679</v>
      </c>
      <c r="B684" s="21">
        <v>45351</v>
      </c>
      <c r="C684" s="110" t="s">
        <v>1418</v>
      </c>
      <c r="D684" s="126" t="s">
        <v>1486</v>
      </c>
      <c r="E684" s="65"/>
      <c r="F684" t="s">
        <v>1487</v>
      </c>
      <c r="G684" s="161">
        <f>MONTH(EJECUTADO[[#This Row],[FECHA]])</f>
        <v>2</v>
      </c>
      <c r="H684" s="163" t="str">
        <f>MID(EJECUTADO[[#This Row],[CUENTA]],1,4)</f>
        <v>E-04</v>
      </c>
      <c r="I684" s="163" t="str">
        <f>INDEX(CATALOGO[Descripción],MATCH(EJECUTADO[[#This Row],[APLICACIÓN]]&amp;"-00-00-00",CATALOGO[Código],0))</f>
        <v>SUELDOS ACADÉMICOS</v>
      </c>
      <c r="J6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INFORMÁTICA</v>
      </c>
      <c r="K684" s="161" t="str">
        <f>IF((EJECUTADO[[#This Row],[MONTO DISPONIBLE ]]-EJECUTADO[[#This Row],[MONTO SOLICITADO]])&gt;=0,"PRESUPUESTO: SI","PRESUPUESTO: NO")</f>
        <v>PRESUPUESTO: SI</v>
      </c>
      <c r="L684" s="162">
        <f>SUMIF(PRESUPUESTO[CUENTA],EJECUTADO[[#This Row],[CUENTA]],PRESUPUESTO[MONTO])-SUMIF($F$1:F683,EJECUTADO[[#This Row],[CUENTA]],$M$1:M683)</f>
        <v>157806.66</v>
      </c>
      <c r="M684" s="2">
        <v>13150</v>
      </c>
      <c r="N684" s="84"/>
      <c r="O684" s="84"/>
      <c r="P684" s="162">
        <f>+EJECUTADO[[#This Row],[MONTO SOLICITADO]]-EJECUTADO[[#This Row],[RETENCION IVA]]-EJECUTADO[[#This Row],[RETENCION ISR]]</f>
        <v>13150</v>
      </c>
      <c r="Q684" s="84" t="s">
        <v>1000</v>
      </c>
      <c r="R684" s="84"/>
      <c r="S684">
        <v>1</v>
      </c>
      <c r="T684" s="168" t="str">
        <f t="shared" si="20"/>
        <v>SUELDOS ACADÉMICOS - SUELDOS Y SALARIOS DIRECCIÓN DE INFORMÁTICA Disponible $157806.66 Solicitado $13150 PRESUPUESTO: SI</v>
      </c>
    </row>
    <row r="685" spans="1:20" ht="30" x14ac:dyDescent="0.25">
      <c r="A685" s="6">
        <f t="shared" si="21"/>
        <v>680</v>
      </c>
      <c r="B685" s="21">
        <v>45351</v>
      </c>
      <c r="C685" s="109" t="s">
        <v>1418</v>
      </c>
      <c r="D685" s="126" t="s">
        <v>936</v>
      </c>
      <c r="E685" s="65"/>
      <c r="F685" t="s">
        <v>1488</v>
      </c>
      <c r="G685" s="161">
        <f>MONTH(EJECUTADO[[#This Row],[FECHA]])</f>
        <v>2</v>
      </c>
      <c r="H685" s="163" t="str">
        <f>MID(EJECUTADO[[#This Row],[CUENTA]],1,4)</f>
        <v>E-04</v>
      </c>
      <c r="I685" s="163" t="str">
        <f>INDEX(CATALOGO[Descripción],MATCH(EJECUTADO[[#This Row],[APLICACIÓN]]&amp;"-00-00-00",CATALOGO[Código],0))</f>
        <v>SUELDOS ACADÉMICOS</v>
      </c>
      <c r="J6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RELACIONES INTERNACIONALES</v>
      </c>
      <c r="K685" s="161" t="str">
        <f>IF((EJECUTADO[[#This Row],[MONTO DISPONIBLE ]]-EJECUTADO[[#This Row],[MONTO SOLICITADO]])&gt;=0,"PRESUPUESTO: SI","PRESUPUESTO: NO")</f>
        <v>PRESUPUESTO: SI</v>
      </c>
      <c r="L685" s="162">
        <f>SUMIF(PRESUPUESTO[CUENTA],EJECUTADO[[#This Row],[CUENTA]],PRESUPUESTO[MONTO])-SUMIF($F$1:F684,EJECUTADO[[#This Row],[CUENTA]],$M$1:M684)</f>
        <v>44400</v>
      </c>
      <c r="M685" s="2">
        <v>3700</v>
      </c>
      <c r="N685" s="84"/>
      <c r="O685" s="84"/>
      <c r="P685" s="162">
        <f>+EJECUTADO[[#This Row],[MONTO SOLICITADO]]-EJECUTADO[[#This Row],[RETENCION IVA]]-EJECUTADO[[#This Row],[RETENCION ISR]]</f>
        <v>3700</v>
      </c>
      <c r="Q685" s="84" t="s">
        <v>1000</v>
      </c>
      <c r="R685" s="84"/>
      <c r="S685">
        <v>1</v>
      </c>
      <c r="T685" s="168" t="str">
        <f t="shared" si="20"/>
        <v>SUELDOS ACADÉMICOS - SUELDOS Y SALARIOS RELACIONES INTERNACIONALES Disponible $44400 Solicitado $3700 PRESUPUESTO: SI</v>
      </c>
    </row>
    <row r="686" spans="1:20" ht="45" x14ac:dyDescent="0.25">
      <c r="A686" s="6">
        <f t="shared" si="21"/>
        <v>681</v>
      </c>
      <c r="B686" s="21">
        <v>45351</v>
      </c>
      <c r="C686" s="110" t="s">
        <v>1418</v>
      </c>
      <c r="D686" s="126" t="s">
        <v>1489</v>
      </c>
      <c r="E686" s="65"/>
      <c r="F686" t="s">
        <v>1490</v>
      </c>
      <c r="G686" s="161">
        <f>MONTH(EJECUTADO[[#This Row],[FECHA]])</f>
        <v>2</v>
      </c>
      <c r="H686" s="163" t="str">
        <f>MID(EJECUTADO[[#This Row],[CUENTA]],1,4)</f>
        <v>E-04</v>
      </c>
      <c r="I686" s="163" t="str">
        <f>INDEX(CATALOGO[Descripción],MATCH(EJECUTADO[[#This Row],[APLICACIÓN]]&amp;"-00-00-00",CATALOGO[Código],0))</f>
        <v>SUELDOS ACADÉMICOS</v>
      </c>
      <c r="J6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EDUCACIÓN VIRTUAL</v>
      </c>
      <c r="K686" s="161" t="str">
        <f>IF((EJECUTADO[[#This Row],[MONTO DISPONIBLE ]]-EJECUTADO[[#This Row],[MONTO SOLICITADO]])&gt;=0,"PRESUPUESTO: SI","PRESUPUESTO: NO")</f>
        <v>PRESUPUESTO: SI</v>
      </c>
      <c r="L686" s="162">
        <f>SUMIF(PRESUPUESTO[CUENTA],EJECUTADO[[#This Row],[CUENTA]],PRESUPUESTO[MONTO])-SUMIF($F$1:F685,EJECUTADO[[#This Row],[CUENTA]],$M$1:M685)</f>
        <v>82300</v>
      </c>
      <c r="M686" s="2">
        <v>4250</v>
      </c>
      <c r="N686" s="84"/>
      <c r="O686" s="84"/>
      <c r="P686" s="162">
        <f>+EJECUTADO[[#This Row],[MONTO SOLICITADO]]-EJECUTADO[[#This Row],[RETENCION IVA]]-EJECUTADO[[#This Row],[RETENCION ISR]]</f>
        <v>4250</v>
      </c>
      <c r="Q686" s="84" t="s">
        <v>1000</v>
      </c>
      <c r="R686" s="84"/>
      <c r="S686">
        <v>1</v>
      </c>
      <c r="T686" s="168" t="str">
        <f t="shared" si="20"/>
        <v>SUELDOS ACADÉMICOS - SUELDOS Y SALARIOS DIRECCIÓN EDUCACIÓN VIRTUAL Disponible $82300 Solicitado $4250 PRESUPUESTO: SI</v>
      </c>
    </row>
    <row r="687" spans="1:20" x14ac:dyDescent="0.25">
      <c r="A687" s="6">
        <f t="shared" si="21"/>
        <v>682</v>
      </c>
      <c r="B687" s="21">
        <v>45351</v>
      </c>
      <c r="C687" s="109" t="s">
        <v>1418</v>
      </c>
      <c r="D687" s="126" t="s">
        <v>1491</v>
      </c>
      <c r="E687" s="65"/>
      <c r="F687" t="s">
        <v>1396</v>
      </c>
      <c r="G687" s="161">
        <f>MONTH(EJECUTADO[[#This Row],[FECHA]])</f>
        <v>2</v>
      </c>
      <c r="H687" s="163" t="str">
        <f>MID(EJECUTADO[[#This Row],[CUENTA]],1,4)</f>
        <v>E-04</v>
      </c>
      <c r="I687" s="163" t="str">
        <f>INDEX(CATALOGO[Descripción],MATCH(EJECUTADO[[#This Row],[APLICACIÓN]]&amp;"-00-00-00",CATALOGO[Código],0))</f>
        <v>SUELDOS ACADÉMICOS</v>
      </c>
      <c r="J6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687" s="161" t="str">
        <f>IF((EJECUTADO[[#This Row],[MONTO DISPONIBLE ]]-EJECUTADO[[#This Row],[MONTO SOLICITADO]])&gt;=0,"PRESUPUESTO: SI","PRESUPUESTO: NO")</f>
        <v>PRESUPUESTO: SI</v>
      </c>
      <c r="L687" s="162">
        <f>SUMIF(PRESUPUESTO[CUENTA],EJECUTADO[[#This Row],[CUENTA]],PRESUPUESTO[MONTO])-SUMIF($F$1:F686,EJECUTADO[[#This Row],[CUENTA]],$M$1:M686)</f>
        <v>59107.53</v>
      </c>
      <c r="M687" s="2">
        <v>17997.05</v>
      </c>
      <c r="N687" s="84"/>
      <c r="O687" s="84"/>
      <c r="P687" s="162">
        <f>+EJECUTADO[[#This Row],[MONTO SOLICITADO]]-EJECUTADO[[#This Row],[RETENCION IVA]]-EJECUTADO[[#This Row],[RETENCION ISR]]</f>
        <v>17997.05</v>
      </c>
      <c r="Q687" s="84" t="s">
        <v>1000</v>
      </c>
      <c r="R687" s="84"/>
      <c r="S687">
        <v>1</v>
      </c>
      <c r="T687" s="168" t="str">
        <f t="shared" si="20"/>
        <v>SUELDOS ACADÉMICOS - SUELDOS Y SALARIOS NUEVO INGRESO Disponible $59107.53 Solicitado $17997.05 PRESUPUESTO: SI</v>
      </c>
    </row>
    <row r="688" spans="1:20" ht="30" x14ac:dyDescent="0.25">
      <c r="A688" s="6">
        <f t="shared" si="21"/>
        <v>683</v>
      </c>
      <c r="B688" s="21">
        <v>45351</v>
      </c>
      <c r="C688" s="110" t="s">
        <v>1418</v>
      </c>
      <c r="D688" s="126" t="s">
        <v>1492</v>
      </c>
      <c r="E688" s="65"/>
      <c r="F688" t="s">
        <v>1493</v>
      </c>
      <c r="G688" s="161">
        <f>MONTH(EJECUTADO[[#This Row],[FECHA]])</f>
        <v>2</v>
      </c>
      <c r="H688" s="163" t="str">
        <f>MID(EJECUTADO[[#This Row],[CUENTA]],1,4)</f>
        <v>E-03</v>
      </c>
      <c r="I688" s="163" t="str">
        <f>INDEX(CATALOGO[Descripción],MATCH(EJECUTADO[[#This Row],[APLICACIÓN]]&amp;"-00-00-00",CATALOGO[Código],0))</f>
        <v>SUELDOS ADMINISTRATIVOS</v>
      </c>
      <c r="J6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VICERRECTORÍA DE OPERACIONES</v>
      </c>
      <c r="K688" s="161" t="str">
        <f>IF((EJECUTADO[[#This Row],[MONTO DISPONIBLE ]]-EJECUTADO[[#This Row],[MONTO SOLICITADO]])&gt;=0,"PRESUPUESTO: SI","PRESUPUESTO: NO")</f>
        <v>PRESUPUESTO: SI</v>
      </c>
      <c r="L688" s="162">
        <f>SUMIF(PRESUPUESTO[CUENTA],EJECUTADO[[#This Row],[CUENTA]],PRESUPUESTO[MONTO])-SUMIF($F$1:F687,EJECUTADO[[#This Row],[CUENTA]],$M$1:M687)</f>
        <v>78400</v>
      </c>
      <c r="M688" s="2">
        <v>6600</v>
      </c>
      <c r="N688" s="84"/>
      <c r="O688" s="84"/>
      <c r="P688" s="162">
        <f>+EJECUTADO[[#This Row],[MONTO SOLICITADO]]-EJECUTADO[[#This Row],[RETENCION IVA]]-EJECUTADO[[#This Row],[RETENCION ISR]]</f>
        <v>6600</v>
      </c>
      <c r="Q688" s="84" t="s">
        <v>1000</v>
      </c>
      <c r="R688" s="84"/>
      <c r="S688">
        <v>1</v>
      </c>
      <c r="T688" s="168" t="str">
        <f t="shared" si="20"/>
        <v>SUELDOS ADMINISTRATIVOS - SUELDOS Y SALARIOS VICERRECTORÍA DE OPERACIONES Disponible $78400 Solicitado $6600 PRESUPUESTO: SI</v>
      </c>
    </row>
    <row r="689" spans="1:20" x14ac:dyDescent="0.25">
      <c r="A689" s="6">
        <f t="shared" si="21"/>
        <v>684</v>
      </c>
      <c r="B689" s="21">
        <v>45351</v>
      </c>
      <c r="C689" s="109" t="s">
        <v>1494</v>
      </c>
      <c r="D689" s="126" t="s">
        <v>1495</v>
      </c>
      <c r="E689" s="65"/>
      <c r="F689" t="s">
        <v>1496</v>
      </c>
      <c r="G689" s="161">
        <f>MONTH(EJECUTADO[[#This Row],[FECHA]])</f>
        <v>2</v>
      </c>
      <c r="H689" s="163" t="str">
        <f>MID(EJECUTADO[[#This Row],[CUENTA]],1,4)</f>
        <v>E-09</v>
      </c>
      <c r="I689" s="163" t="str">
        <f>INDEX(CATALOGO[Descripción],MATCH(EJECUTADO[[#This Row],[APLICACIÓN]]&amp;"-00-00-00",CATALOGO[Código],0))</f>
        <v>PRESTACIONES AL PERSONAL</v>
      </c>
      <c r="J6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689" s="161" t="str">
        <f>IF((EJECUTADO[[#This Row],[MONTO DISPONIBLE ]]-EJECUTADO[[#This Row],[MONTO SOLICITADO]])&gt;=0,"PRESUPUESTO: SI","PRESUPUESTO: NO")</f>
        <v>PRESUPUESTO: SI</v>
      </c>
      <c r="L689" s="162">
        <f>SUMIF(PRESUPUESTO[CUENTA],EJECUTADO[[#This Row],[CUENTA]],PRESUPUESTO[MONTO])-SUMIF($F$1:F688,EJECUTADO[[#This Row],[CUENTA]],$M$1:M688)</f>
        <v>642026.82999999996</v>
      </c>
      <c r="M689" s="2">
        <v>16305.35</v>
      </c>
      <c r="N689" s="84"/>
      <c r="O689" s="84"/>
      <c r="P689" s="162">
        <f>+EJECUTADO[[#This Row],[MONTO SOLICITADO]]-EJECUTADO[[#This Row],[RETENCION IVA]]-EJECUTADO[[#This Row],[RETENCION ISR]]</f>
        <v>16305.35</v>
      </c>
      <c r="Q689" s="84" t="s">
        <v>1000</v>
      </c>
      <c r="R689" s="84"/>
      <c r="S689">
        <v>1</v>
      </c>
      <c r="T689" s="168" t="str">
        <f t="shared" si="20"/>
        <v>PRESTACIONES AL PERSONAL - Cuotas patronales Disponible $642026.83 Solicitado $16305.35 PRESUPUESTO: SI</v>
      </c>
    </row>
    <row r="690" spans="1:20" x14ac:dyDescent="0.25">
      <c r="A690" s="6">
        <f t="shared" si="21"/>
        <v>685</v>
      </c>
      <c r="B690" s="21">
        <v>45351</v>
      </c>
      <c r="C690" s="110" t="s">
        <v>1494</v>
      </c>
      <c r="D690" s="126" t="s">
        <v>1497</v>
      </c>
      <c r="E690" s="65"/>
      <c r="F690" t="s">
        <v>1496</v>
      </c>
      <c r="G690" s="161">
        <f>MONTH(EJECUTADO[[#This Row],[FECHA]])</f>
        <v>2</v>
      </c>
      <c r="H690" s="163" t="str">
        <f>MID(EJECUTADO[[#This Row],[CUENTA]],1,4)</f>
        <v>E-09</v>
      </c>
      <c r="I690" s="163" t="str">
        <f>INDEX(CATALOGO[Descripción],MATCH(EJECUTADO[[#This Row],[APLICACIÓN]]&amp;"-00-00-00",CATALOGO[Código],0))</f>
        <v>PRESTACIONES AL PERSONAL</v>
      </c>
      <c r="J6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690" s="161" t="str">
        <f>IF((EJECUTADO[[#This Row],[MONTO DISPONIBLE ]]-EJECUTADO[[#This Row],[MONTO SOLICITADO]])&gt;=0,"PRESUPUESTO: SI","PRESUPUESTO: NO")</f>
        <v>PRESUPUESTO: SI</v>
      </c>
      <c r="L690" s="162">
        <f>SUMIF(PRESUPUESTO[CUENTA],EJECUTADO[[#This Row],[CUENTA]],PRESUPUESTO[MONTO])-SUMIF($F$1:F689,EJECUTADO[[#This Row],[CUENTA]],$M$1:M689)</f>
        <v>625721.48</v>
      </c>
      <c r="M690" s="2">
        <v>20798.43</v>
      </c>
      <c r="N690" s="84"/>
      <c r="O690" s="84"/>
      <c r="P690" s="162">
        <f>+EJECUTADO[[#This Row],[MONTO SOLICITADO]]-EJECUTADO[[#This Row],[RETENCION IVA]]-EJECUTADO[[#This Row],[RETENCION ISR]]</f>
        <v>20798.43</v>
      </c>
      <c r="Q690" s="84" t="s">
        <v>1000</v>
      </c>
      <c r="R690" s="84"/>
      <c r="S690">
        <v>1</v>
      </c>
      <c r="T690" s="168" t="str">
        <f t="shared" si="20"/>
        <v>PRESTACIONES AL PERSONAL - Cuotas patronales Disponible $625721.48 Solicitado $20798.43 PRESUPUESTO: SI</v>
      </c>
    </row>
    <row r="691" spans="1:20" x14ac:dyDescent="0.25">
      <c r="A691" s="6">
        <f t="shared" si="21"/>
        <v>686</v>
      </c>
      <c r="B691" s="21">
        <v>45351</v>
      </c>
      <c r="C691" s="109" t="s">
        <v>1494</v>
      </c>
      <c r="D691" s="126" t="s">
        <v>1498</v>
      </c>
      <c r="E691" s="65"/>
      <c r="F691" t="s">
        <v>1496</v>
      </c>
      <c r="G691" s="161">
        <f>MONTH(EJECUTADO[[#This Row],[FECHA]])</f>
        <v>2</v>
      </c>
      <c r="H691" s="163" t="str">
        <f>MID(EJECUTADO[[#This Row],[CUENTA]],1,4)</f>
        <v>E-09</v>
      </c>
      <c r="I691" s="163" t="str">
        <f>INDEX(CATALOGO[Descripción],MATCH(EJECUTADO[[#This Row],[APLICACIÓN]]&amp;"-00-00-00",CATALOGO[Código],0))</f>
        <v>PRESTACIONES AL PERSONAL</v>
      </c>
      <c r="J6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691" s="161" t="str">
        <f>IF((EJECUTADO[[#This Row],[MONTO DISPONIBLE ]]-EJECUTADO[[#This Row],[MONTO SOLICITADO]])&gt;=0,"PRESUPUESTO: SI","PRESUPUESTO: NO")</f>
        <v>PRESUPUESTO: SI</v>
      </c>
      <c r="L691" s="162">
        <f>SUMIF(PRESUPUESTO[CUENTA],EJECUTADO[[#This Row],[CUENTA]],PRESUPUESTO[MONTO])-SUMIF($F$1:F690,EJECUTADO[[#This Row],[CUENTA]],$M$1:M690)</f>
        <v>604923.05000000005</v>
      </c>
      <c r="M691" s="2">
        <v>15891.5</v>
      </c>
      <c r="N691" s="84"/>
      <c r="O691" s="84"/>
      <c r="P691" s="162">
        <f>+EJECUTADO[[#This Row],[MONTO SOLICITADO]]-EJECUTADO[[#This Row],[RETENCION IVA]]-EJECUTADO[[#This Row],[RETENCION ISR]]</f>
        <v>15891.5</v>
      </c>
      <c r="Q691" s="84" t="s">
        <v>1000</v>
      </c>
      <c r="R691" s="84"/>
      <c r="S691">
        <v>1</v>
      </c>
      <c r="T691" s="168" t="str">
        <f t="shared" si="20"/>
        <v>PRESTACIONES AL PERSONAL - Cuotas patronales Disponible $604923.05 Solicitado $15891.5 PRESUPUESTO: SI</v>
      </c>
    </row>
    <row r="692" spans="1:20" x14ac:dyDescent="0.25">
      <c r="A692" s="6">
        <f t="shared" si="21"/>
        <v>687</v>
      </c>
      <c r="B692" s="21">
        <v>45351</v>
      </c>
      <c r="C692" s="110" t="s">
        <v>1494</v>
      </c>
      <c r="D692" s="126" t="s">
        <v>1499</v>
      </c>
      <c r="E692" s="65"/>
      <c r="F692" t="s">
        <v>1496</v>
      </c>
      <c r="G692" s="161">
        <f>MONTH(EJECUTADO[[#This Row],[FECHA]])</f>
        <v>2</v>
      </c>
      <c r="H692" s="163" t="str">
        <f>MID(EJECUTADO[[#This Row],[CUENTA]],1,4)</f>
        <v>E-09</v>
      </c>
      <c r="I692" s="163" t="str">
        <f>INDEX(CATALOGO[Descripción],MATCH(EJECUTADO[[#This Row],[APLICACIÓN]]&amp;"-00-00-00",CATALOGO[Código],0))</f>
        <v>PRESTACIONES AL PERSONAL</v>
      </c>
      <c r="J6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692" s="161" t="str">
        <f>IF((EJECUTADO[[#This Row],[MONTO DISPONIBLE ]]-EJECUTADO[[#This Row],[MONTO SOLICITADO]])&gt;=0,"PRESUPUESTO: SI","PRESUPUESTO: NO")</f>
        <v>PRESUPUESTO: SI</v>
      </c>
      <c r="L692" s="162">
        <f>SUMIF(PRESUPUESTO[CUENTA],EJECUTADO[[#This Row],[CUENTA]],PRESUPUESTO[MONTO])-SUMIF($F$1:F691,EJECUTADO[[#This Row],[CUENTA]],$M$1:M691)</f>
        <v>589031.55000000005</v>
      </c>
      <c r="M692" s="2">
        <v>336.66</v>
      </c>
      <c r="N692" s="84"/>
      <c r="O692" s="84"/>
      <c r="P692" s="162">
        <f>+EJECUTADO[[#This Row],[MONTO SOLICITADO]]-EJECUTADO[[#This Row],[RETENCION IVA]]-EJECUTADO[[#This Row],[RETENCION ISR]]</f>
        <v>336.66</v>
      </c>
      <c r="Q692" s="84" t="s">
        <v>1000</v>
      </c>
      <c r="R692" s="84"/>
      <c r="S692">
        <v>1</v>
      </c>
      <c r="T692" s="168" t="str">
        <f t="shared" si="20"/>
        <v>PRESTACIONES AL PERSONAL - Cuotas patronales Disponible $589031.55 Solicitado $336.66 PRESUPUESTO: SI</v>
      </c>
    </row>
    <row r="693" spans="1:20" x14ac:dyDescent="0.25">
      <c r="A693" s="6">
        <f t="shared" si="21"/>
        <v>688</v>
      </c>
      <c r="B693" s="21">
        <v>45351</v>
      </c>
      <c r="C693" s="109" t="s">
        <v>1494</v>
      </c>
      <c r="D693" s="126" t="s">
        <v>1500</v>
      </c>
      <c r="E693" s="65"/>
      <c r="F693" t="s">
        <v>1496</v>
      </c>
      <c r="G693" s="161">
        <f>MONTH(EJECUTADO[[#This Row],[FECHA]])</f>
        <v>2</v>
      </c>
      <c r="H693" s="163" t="str">
        <f>MID(EJECUTADO[[#This Row],[CUENTA]],1,4)</f>
        <v>E-09</v>
      </c>
      <c r="I693" s="163" t="str">
        <f>INDEX(CATALOGO[Descripción],MATCH(EJECUTADO[[#This Row],[APLICACIÓN]]&amp;"-00-00-00",CATALOGO[Código],0))</f>
        <v>PRESTACIONES AL PERSONAL</v>
      </c>
      <c r="J6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693" s="161" t="str">
        <f>IF((EJECUTADO[[#This Row],[MONTO DISPONIBLE ]]-EJECUTADO[[#This Row],[MONTO SOLICITADO]])&gt;=0,"PRESUPUESTO: SI","PRESUPUESTO: NO")</f>
        <v>PRESUPUESTO: SI</v>
      </c>
      <c r="L693" s="162">
        <f>SUMIF(PRESUPUESTO[CUENTA],EJECUTADO[[#This Row],[CUENTA]],PRESUPUESTO[MONTO])-SUMIF($F$1:F692,EJECUTADO[[#This Row],[CUENTA]],$M$1:M692)</f>
        <v>588694.89</v>
      </c>
      <c r="M693" s="2">
        <v>2505.11</v>
      </c>
      <c r="N693" s="84"/>
      <c r="O693" s="84"/>
      <c r="P693" s="162">
        <f>+EJECUTADO[[#This Row],[MONTO SOLICITADO]]-EJECUTADO[[#This Row],[RETENCION IVA]]-EJECUTADO[[#This Row],[RETENCION ISR]]</f>
        <v>2505.11</v>
      </c>
      <c r="Q693" s="84" t="s">
        <v>1000</v>
      </c>
      <c r="R693" s="84"/>
      <c r="S693">
        <v>1</v>
      </c>
      <c r="T693" s="168" t="str">
        <f t="shared" si="20"/>
        <v>PRESTACIONES AL PERSONAL - Cuotas patronales Disponible $588694.89 Solicitado $2505.11 PRESUPUESTO: SI</v>
      </c>
    </row>
    <row r="694" spans="1:20" ht="30" x14ac:dyDescent="0.25">
      <c r="A694" s="6">
        <f t="shared" si="21"/>
        <v>689</v>
      </c>
      <c r="B694" s="21">
        <v>45351</v>
      </c>
      <c r="C694" s="110" t="s">
        <v>1850</v>
      </c>
      <c r="D694" s="126" t="s">
        <v>1851</v>
      </c>
      <c r="E694" s="65"/>
      <c r="F694" t="s">
        <v>1852</v>
      </c>
      <c r="G694" s="161">
        <f>MONTH(EJECUTADO[[#This Row],[FECHA]])</f>
        <v>2</v>
      </c>
      <c r="H694" s="163" t="str">
        <f>MID(EJECUTADO[[#This Row],[CUENTA]],1,4)</f>
        <v>E-06</v>
      </c>
      <c r="I694" s="163" t="str">
        <f>INDEX(CATALOGO[Descripción],MATCH(EJECUTADO[[#This Row],[APLICACIÓN]]&amp;"-00-00-00",CATALOGO[Código],0))</f>
        <v>HORAS CLASES</v>
      </c>
      <c r="J6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EMPRESARIALES</v>
      </c>
      <c r="K694" s="161" t="str">
        <f>IF((EJECUTADO[[#This Row],[MONTO DISPONIBLE ]]-EJECUTADO[[#This Row],[MONTO SOLICITADO]])&gt;=0,"PRESUPUESTO: SI","PRESUPUESTO: NO")</f>
        <v>PRESUPUESTO: SI</v>
      </c>
      <c r="L694" s="162">
        <f>SUMIF(PRESUPUESTO[CUENTA],EJECUTADO[[#This Row],[CUENTA]],PRESUPUESTO[MONTO])-SUMIF($F$1:F693,EJECUTADO[[#This Row],[CUENTA]],$M$1:M693)</f>
        <v>385000</v>
      </c>
      <c r="M694" s="2">
        <v>16597.64</v>
      </c>
      <c r="N694" s="84"/>
      <c r="O694" s="84"/>
      <c r="P694" s="162">
        <f>+EJECUTADO[[#This Row],[MONTO SOLICITADO]]-EJECUTADO[[#This Row],[RETENCION IVA]]-EJECUTADO[[#This Row],[RETENCION ISR]]</f>
        <v>16597.64</v>
      </c>
      <c r="Q694" s="84" t="s">
        <v>1000</v>
      </c>
      <c r="R694" s="84"/>
      <c r="S694">
        <v>1</v>
      </c>
      <c r="T694" s="168" t="str">
        <f t="shared" si="20"/>
        <v>HORAS CLASES - HORAS CLASE FACULTAD DE CIENCIAS EMPRESARIALES Disponible $385000 Solicitado $16597.64 PRESUPUESTO: SI</v>
      </c>
    </row>
    <row r="695" spans="1:20" ht="30" x14ac:dyDescent="0.25">
      <c r="A695" s="6">
        <f t="shared" si="21"/>
        <v>690</v>
      </c>
      <c r="B695" s="21">
        <v>45351</v>
      </c>
      <c r="C695" s="109" t="s">
        <v>1850</v>
      </c>
      <c r="D695" s="126" t="s">
        <v>1853</v>
      </c>
      <c r="E695" s="65"/>
      <c r="F695" t="s">
        <v>1852</v>
      </c>
      <c r="G695" s="161">
        <f>MONTH(EJECUTADO[[#This Row],[FECHA]])</f>
        <v>2</v>
      </c>
      <c r="H695" s="163" t="str">
        <f>MID(EJECUTADO[[#This Row],[CUENTA]],1,4)</f>
        <v>E-06</v>
      </c>
      <c r="I695" s="163" t="str">
        <f>INDEX(CATALOGO[Descripción],MATCH(EJECUTADO[[#This Row],[APLICACIÓN]]&amp;"-00-00-00",CATALOGO[Código],0))</f>
        <v>HORAS CLASES</v>
      </c>
      <c r="J6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EMPRESARIALES</v>
      </c>
      <c r="K695" s="161" t="str">
        <f>IF((EJECUTADO[[#This Row],[MONTO DISPONIBLE ]]-EJECUTADO[[#This Row],[MONTO SOLICITADO]])&gt;=0,"PRESUPUESTO: SI","PRESUPUESTO: NO")</f>
        <v>PRESUPUESTO: SI</v>
      </c>
      <c r="L695" s="162">
        <f>SUMIF(PRESUPUESTO[CUENTA],EJECUTADO[[#This Row],[CUENTA]],PRESUPUESTO[MONTO])-SUMIF($F$1:F694,EJECUTADO[[#This Row],[CUENTA]],$M$1:M694)</f>
        <v>368402.36</v>
      </c>
      <c r="M695" s="2">
        <v>930.91</v>
      </c>
      <c r="N695" s="84"/>
      <c r="O695" s="84"/>
      <c r="P695" s="162">
        <f>+EJECUTADO[[#This Row],[MONTO SOLICITADO]]-EJECUTADO[[#This Row],[RETENCION IVA]]-EJECUTADO[[#This Row],[RETENCION ISR]]</f>
        <v>930.91</v>
      </c>
      <c r="Q695" s="84" t="s">
        <v>1000</v>
      </c>
      <c r="R695" s="84"/>
      <c r="S695">
        <v>1</v>
      </c>
      <c r="T695" s="168" t="str">
        <f t="shared" si="20"/>
        <v>HORAS CLASES - HORAS CLASE FACULTAD DE CIENCIAS EMPRESARIALES Disponible $368402.36 Solicitado $930.91 PRESUPUESTO: SI</v>
      </c>
    </row>
    <row r="696" spans="1:20" ht="30" x14ac:dyDescent="0.25">
      <c r="A696" s="6">
        <f t="shared" si="21"/>
        <v>691</v>
      </c>
      <c r="B696" s="21">
        <v>45351</v>
      </c>
      <c r="C696" s="110" t="s">
        <v>1850</v>
      </c>
      <c r="D696" s="126" t="s">
        <v>1854</v>
      </c>
      <c r="E696" s="65"/>
      <c r="F696" t="s">
        <v>1855</v>
      </c>
      <c r="G696" s="161">
        <f>MONTH(EJECUTADO[[#This Row],[FECHA]])</f>
        <v>2</v>
      </c>
      <c r="H696" s="163" t="str">
        <f>MID(EJECUTADO[[#This Row],[CUENTA]],1,4)</f>
        <v>E-06</v>
      </c>
      <c r="I696" s="163" t="str">
        <f>INDEX(CATALOGO[Descripción],MATCH(EJECUTADO[[#This Row],[APLICACIÓN]]&amp;"-00-00-00",CATALOGO[Código],0))</f>
        <v>HORAS CLASES</v>
      </c>
      <c r="J6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696" s="161" t="str">
        <f>IF((EJECUTADO[[#This Row],[MONTO DISPONIBLE ]]-EJECUTADO[[#This Row],[MONTO SOLICITADO]])&gt;=0,"PRESUPUESTO: SI","PRESUPUESTO: NO")</f>
        <v>PRESUPUESTO: SI</v>
      </c>
      <c r="L696" s="162">
        <f>SUMIF(PRESUPUESTO[CUENTA],EJECUTADO[[#This Row],[CUENTA]],PRESUPUESTO[MONTO])-SUMIF($F$1:F695,EJECUTADO[[#This Row],[CUENTA]],$M$1:M695)</f>
        <v>578525</v>
      </c>
      <c r="M696" s="2">
        <v>6731.22</v>
      </c>
      <c r="N696" s="84"/>
      <c r="O696" s="84"/>
      <c r="P696" s="162">
        <f>+EJECUTADO[[#This Row],[MONTO SOLICITADO]]-EJECUTADO[[#This Row],[RETENCION IVA]]-EJECUTADO[[#This Row],[RETENCION ISR]]</f>
        <v>6731.22</v>
      </c>
      <c r="Q696" s="84" t="s">
        <v>1000</v>
      </c>
      <c r="R696" s="84"/>
      <c r="S696">
        <v>1</v>
      </c>
      <c r="T696" s="168" t="str">
        <f t="shared" si="20"/>
        <v>HORAS CLASES - HORAS CLASE FACULTAD DE INFORMATICA Y CC APLICADAS Disponible $578525 Solicitado $6731.22 PRESUPUESTO: SI</v>
      </c>
    </row>
    <row r="697" spans="1:20" ht="30" x14ac:dyDescent="0.25">
      <c r="A697" s="6">
        <f t="shared" si="21"/>
        <v>692</v>
      </c>
      <c r="B697" s="21">
        <v>45351</v>
      </c>
      <c r="C697" s="109" t="s">
        <v>1850</v>
      </c>
      <c r="D697" s="126" t="s">
        <v>1856</v>
      </c>
      <c r="E697" s="65"/>
      <c r="F697" t="s">
        <v>1855</v>
      </c>
      <c r="G697" s="161">
        <f>MONTH(EJECUTADO[[#This Row],[FECHA]])</f>
        <v>2</v>
      </c>
      <c r="H697" s="163" t="str">
        <f>MID(EJECUTADO[[#This Row],[CUENTA]],1,4)</f>
        <v>E-06</v>
      </c>
      <c r="I697" s="163" t="str">
        <f>INDEX(CATALOGO[Descripción],MATCH(EJECUTADO[[#This Row],[APLICACIÓN]]&amp;"-00-00-00",CATALOGO[Código],0))</f>
        <v>HORAS CLASES</v>
      </c>
      <c r="J6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697" s="161" t="str">
        <f>IF((EJECUTADO[[#This Row],[MONTO DISPONIBLE ]]-EJECUTADO[[#This Row],[MONTO SOLICITADO]])&gt;=0,"PRESUPUESTO: SI","PRESUPUESTO: NO")</f>
        <v>PRESUPUESTO: SI</v>
      </c>
      <c r="L697" s="162">
        <f>SUMIF(PRESUPUESTO[CUENTA],EJECUTADO[[#This Row],[CUENTA]],PRESUPUESTO[MONTO])-SUMIF($F$1:F696,EJECUTADO[[#This Row],[CUENTA]],$M$1:M696)</f>
        <v>571793.78</v>
      </c>
      <c r="M697" s="2">
        <v>442.34</v>
      </c>
      <c r="N697" s="84"/>
      <c r="O697" s="84"/>
      <c r="P697" s="162">
        <f>+EJECUTADO[[#This Row],[MONTO SOLICITADO]]-EJECUTADO[[#This Row],[RETENCION IVA]]-EJECUTADO[[#This Row],[RETENCION ISR]]</f>
        <v>442.34</v>
      </c>
      <c r="Q697" s="84" t="s">
        <v>1000</v>
      </c>
      <c r="R697" s="84"/>
      <c r="S697">
        <v>1</v>
      </c>
      <c r="T697" s="168" t="str">
        <f t="shared" si="20"/>
        <v>HORAS CLASES - HORAS CLASE FACULTAD DE INFORMATICA Y CC APLICADAS Disponible $571793.78 Solicitado $442.34 PRESUPUESTO: SI</v>
      </c>
    </row>
    <row r="698" spans="1:20" ht="30" x14ac:dyDescent="0.25">
      <c r="A698" s="6">
        <f t="shared" si="21"/>
        <v>693</v>
      </c>
      <c r="B698" s="21">
        <v>45351</v>
      </c>
      <c r="C698" s="110" t="s">
        <v>1850</v>
      </c>
      <c r="D698" s="126" t="s">
        <v>1857</v>
      </c>
      <c r="E698" s="65"/>
      <c r="F698" t="s">
        <v>1855</v>
      </c>
      <c r="G698" s="161">
        <f>MONTH(EJECUTADO[[#This Row],[FECHA]])</f>
        <v>2</v>
      </c>
      <c r="H698" s="163" t="str">
        <f>MID(EJECUTADO[[#This Row],[CUENTA]],1,4)</f>
        <v>E-06</v>
      </c>
      <c r="I698" s="163" t="str">
        <f>INDEX(CATALOGO[Descripción],MATCH(EJECUTADO[[#This Row],[APLICACIÓN]]&amp;"-00-00-00",CATALOGO[Código],0))</f>
        <v>HORAS CLASES</v>
      </c>
      <c r="J6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698" s="161" t="str">
        <f>IF((EJECUTADO[[#This Row],[MONTO DISPONIBLE ]]-EJECUTADO[[#This Row],[MONTO SOLICITADO]])&gt;=0,"PRESUPUESTO: SI","PRESUPUESTO: NO")</f>
        <v>PRESUPUESTO: SI</v>
      </c>
      <c r="L698" s="162">
        <f>SUMIF(PRESUPUESTO[CUENTA],EJECUTADO[[#This Row],[CUENTA]],PRESUPUESTO[MONTO])-SUMIF($F$1:F697,EJECUTADO[[#This Row],[CUENTA]],$M$1:M697)</f>
        <v>571351.43999999994</v>
      </c>
      <c r="M698" s="2">
        <v>8000.18</v>
      </c>
      <c r="N698" s="84"/>
      <c r="O698" s="84"/>
      <c r="P698" s="162">
        <f>+EJECUTADO[[#This Row],[MONTO SOLICITADO]]-EJECUTADO[[#This Row],[RETENCION IVA]]-EJECUTADO[[#This Row],[RETENCION ISR]]</f>
        <v>8000.18</v>
      </c>
      <c r="Q698" s="84" t="s">
        <v>1000</v>
      </c>
      <c r="R698" s="84"/>
      <c r="S698">
        <v>1</v>
      </c>
      <c r="T698" s="168" t="str">
        <f t="shared" si="20"/>
        <v>HORAS CLASES - HORAS CLASE FACULTAD DE INFORMATICA Y CC APLICADAS Disponible $571351.44 Solicitado $8000.18 PRESUPUESTO: SI</v>
      </c>
    </row>
    <row r="699" spans="1:20" ht="30" x14ac:dyDescent="0.25">
      <c r="A699" s="6">
        <f t="shared" si="21"/>
        <v>694</v>
      </c>
      <c r="B699" s="21">
        <v>45351</v>
      </c>
      <c r="C699" s="109" t="s">
        <v>1850</v>
      </c>
      <c r="D699" s="126" t="s">
        <v>1858</v>
      </c>
      <c r="E699" s="65"/>
      <c r="F699" t="s">
        <v>1855</v>
      </c>
      <c r="G699" s="161">
        <f>MONTH(EJECUTADO[[#This Row],[FECHA]])</f>
        <v>2</v>
      </c>
      <c r="H699" s="163" t="str">
        <f>MID(EJECUTADO[[#This Row],[CUENTA]],1,4)</f>
        <v>E-06</v>
      </c>
      <c r="I699" s="163" t="str">
        <f>INDEX(CATALOGO[Descripción],MATCH(EJECUTADO[[#This Row],[APLICACIÓN]]&amp;"-00-00-00",CATALOGO[Código],0))</f>
        <v>HORAS CLASES</v>
      </c>
      <c r="J6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699" s="161" t="str">
        <f>IF((EJECUTADO[[#This Row],[MONTO DISPONIBLE ]]-EJECUTADO[[#This Row],[MONTO SOLICITADO]])&gt;=0,"PRESUPUESTO: SI","PRESUPUESTO: NO")</f>
        <v>PRESUPUESTO: SI</v>
      </c>
      <c r="L699" s="162">
        <f>SUMIF(PRESUPUESTO[CUENTA],EJECUTADO[[#This Row],[CUENTA]],PRESUPUESTO[MONTO])-SUMIF($F$1:F698,EJECUTADO[[#This Row],[CUENTA]],$M$1:M698)</f>
        <v>563351.26</v>
      </c>
      <c r="M699" s="2">
        <v>569.72</v>
      </c>
      <c r="N699" s="84"/>
      <c r="O699" s="84"/>
      <c r="P699" s="162">
        <f>+EJECUTADO[[#This Row],[MONTO SOLICITADO]]-EJECUTADO[[#This Row],[RETENCION IVA]]-EJECUTADO[[#This Row],[RETENCION ISR]]</f>
        <v>569.72</v>
      </c>
      <c r="Q699" s="84" t="s">
        <v>1000</v>
      </c>
      <c r="R699" s="84"/>
      <c r="S699">
        <v>1</v>
      </c>
      <c r="T699" s="168" t="str">
        <f t="shared" si="20"/>
        <v>HORAS CLASES - HORAS CLASE FACULTAD DE INFORMATICA Y CC APLICADAS Disponible $563351.26 Solicitado $569.72 PRESUPUESTO: SI</v>
      </c>
    </row>
    <row r="700" spans="1:20" ht="30" x14ac:dyDescent="0.25">
      <c r="A700" s="6">
        <f t="shared" si="21"/>
        <v>695</v>
      </c>
      <c r="B700" s="21">
        <v>45351</v>
      </c>
      <c r="C700" s="110" t="s">
        <v>1850</v>
      </c>
      <c r="D700" s="126" t="s">
        <v>1859</v>
      </c>
      <c r="E700" s="65"/>
      <c r="F700" t="s">
        <v>1855</v>
      </c>
      <c r="G700" s="161">
        <f>MONTH(EJECUTADO[[#This Row],[FECHA]])</f>
        <v>2</v>
      </c>
      <c r="H700" s="163" t="str">
        <f>MID(EJECUTADO[[#This Row],[CUENTA]],1,4)</f>
        <v>E-06</v>
      </c>
      <c r="I700" s="163" t="str">
        <f>INDEX(CATALOGO[Descripción],MATCH(EJECUTADO[[#This Row],[APLICACIÓN]]&amp;"-00-00-00",CATALOGO[Código],0))</f>
        <v>HORAS CLASES</v>
      </c>
      <c r="J7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700" s="161" t="str">
        <f>IF((EJECUTADO[[#This Row],[MONTO DISPONIBLE ]]-EJECUTADO[[#This Row],[MONTO SOLICITADO]])&gt;=0,"PRESUPUESTO: SI","PRESUPUESTO: NO")</f>
        <v>PRESUPUESTO: SI</v>
      </c>
      <c r="L700" s="162">
        <f>SUMIF(PRESUPUESTO[CUENTA],EJECUTADO[[#This Row],[CUENTA]],PRESUPUESTO[MONTO])-SUMIF($F$1:F699,EJECUTADO[[#This Row],[CUENTA]],$M$1:M699)</f>
        <v>562781.54</v>
      </c>
      <c r="M700" s="2">
        <v>5920.2</v>
      </c>
      <c r="N700" s="84"/>
      <c r="O700" s="84"/>
      <c r="P700" s="162">
        <f>+EJECUTADO[[#This Row],[MONTO SOLICITADO]]-EJECUTADO[[#This Row],[RETENCION IVA]]-EJECUTADO[[#This Row],[RETENCION ISR]]</f>
        <v>5920.2</v>
      </c>
      <c r="Q700" s="84" t="s">
        <v>1000</v>
      </c>
      <c r="R700" s="84"/>
      <c r="S700">
        <v>1</v>
      </c>
      <c r="T700" s="168" t="str">
        <f t="shared" si="20"/>
        <v>HORAS CLASES - HORAS CLASE FACULTAD DE INFORMATICA Y CC APLICADAS Disponible $562781.54 Solicitado $5920.2 PRESUPUESTO: SI</v>
      </c>
    </row>
    <row r="701" spans="1:20" ht="30" x14ac:dyDescent="0.25">
      <c r="A701" s="6">
        <f t="shared" si="21"/>
        <v>696</v>
      </c>
      <c r="B701" s="21">
        <v>45351</v>
      </c>
      <c r="C701" s="109" t="s">
        <v>1850</v>
      </c>
      <c r="D701" s="126" t="s">
        <v>1860</v>
      </c>
      <c r="E701" s="65"/>
      <c r="F701" t="s">
        <v>1855</v>
      </c>
      <c r="G701" s="161">
        <f>MONTH(EJECUTADO[[#This Row],[FECHA]])</f>
        <v>2</v>
      </c>
      <c r="H701" s="163" t="str">
        <f>MID(EJECUTADO[[#This Row],[CUENTA]],1,4)</f>
        <v>E-06</v>
      </c>
      <c r="I701" s="163" t="str">
        <f>INDEX(CATALOGO[Descripción],MATCH(EJECUTADO[[#This Row],[APLICACIÓN]]&amp;"-00-00-00",CATALOGO[Código],0))</f>
        <v>HORAS CLASES</v>
      </c>
      <c r="J7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701" s="161" t="str">
        <f>IF((EJECUTADO[[#This Row],[MONTO DISPONIBLE ]]-EJECUTADO[[#This Row],[MONTO SOLICITADO]])&gt;=0,"PRESUPUESTO: SI","PRESUPUESTO: NO")</f>
        <v>PRESUPUESTO: SI</v>
      </c>
      <c r="L701" s="162">
        <f>SUMIF(PRESUPUESTO[CUENTA],EJECUTADO[[#This Row],[CUENTA]],PRESUPUESTO[MONTO])-SUMIF($F$1:F700,EJECUTADO[[#This Row],[CUENTA]],$M$1:M700)</f>
        <v>556861.34</v>
      </c>
      <c r="M701" s="2">
        <v>573.9</v>
      </c>
      <c r="N701" s="84"/>
      <c r="O701" s="84"/>
      <c r="P701" s="162">
        <f>+EJECUTADO[[#This Row],[MONTO SOLICITADO]]-EJECUTADO[[#This Row],[RETENCION IVA]]-EJECUTADO[[#This Row],[RETENCION ISR]]</f>
        <v>573.9</v>
      </c>
      <c r="Q701" s="84" t="s">
        <v>1000</v>
      </c>
      <c r="R701" s="84"/>
      <c r="S701">
        <v>1</v>
      </c>
      <c r="T701" s="168" t="str">
        <f t="shared" si="20"/>
        <v>HORAS CLASES - HORAS CLASE FACULTAD DE INFORMATICA Y CC APLICADAS Disponible $556861.34 Solicitado $573.9 PRESUPUESTO: SI</v>
      </c>
    </row>
    <row r="702" spans="1:20" ht="30" x14ac:dyDescent="0.25">
      <c r="A702" s="6">
        <f t="shared" si="21"/>
        <v>697</v>
      </c>
      <c r="B702" s="21">
        <v>45351</v>
      </c>
      <c r="C702" s="110" t="s">
        <v>1850</v>
      </c>
      <c r="D702" s="126" t="s">
        <v>1861</v>
      </c>
      <c r="E702" s="65"/>
      <c r="F702" t="s">
        <v>1855</v>
      </c>
      <c r="G702" s="161">
        <f>MONTH(EJECUTADO[[#This Row],[FECHA]])</f>
        <v>2</v>
      </c>
      <c r="H702" s="163" t="str">
        <f>MID(EJECUTADO[[#This Row],[CUENTA]],1,4)</f>
        <v>E-06</v>
      </c>
      <c r="I702" s="163" t="str">
        <f>INDEX(CATALOGO[Descripción],MATCH(EJECUTADO[[#This Row],[APLICACIÓN]]&amp;"-00-00-00",CATALOGO[Código],0))</f>
        <v>HORAS CLASES</v>
      </c>
      <c r="J7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702" s="161" t="str">
        <f>IF((EJECUTADO[[#This Row],[MONTO DISPONIBLE ]]-EJECUTADO[[#This Row],[MONTO SOLICITADO]])&gt;=0,"PRESUPUESTO: SI","PRESUPUESTO: NO")</f>
        <v>PRESUPUESTO: SI</v>
      </c>
      <c r="L702" s="162">
        <f>SUMIF(PRESUPUESTO[CUENTA],EJECUTADO[[#This Row],[CUENTA]],PRESUPUESTO[MONTO])-SUMIF($F$1:F701,EJECUTADO[[#This Row],[CUENTA]],$M$1:M701)</f>
        <v>556287.43999999994</v>
      </c>
      <c r="M702" s="2">
        <v>7493.68</v>
      </c>
      <c r="N702" s="84"/>
      <c r="O702" s="84"/>
      <c r="P702" s="162">
        <f>+EJECUTADO[[#This Row],[MONTO SOLICITADO]]-EJECUTADO[[#This Row],[RETENCION IVA]]-EJECUTADO[[#This Row],[RETENCION ISR]]</f>
        <v>7493.68</v>
      </c>
      <c r="Q702" s="84" t="s">
        <v>1000</v>
      </c>
      <c r="R702" s="84"/>
      <c r="S702">
        <v>1</v>
      </c>
      <c r="T702" s="168" t="str">
        <f t="shared" si="20"/>
        <v>HORAS CLASES - HORAS CLASE FACULTAD DE INFORMATICA Y CC APLICADAS Disponible $556287.44 Solicitado $7493.68 PRESUPUESTO: SI</v>
      </c>
    </row>
    <row r="703" spans="1:20" ht="30" x14ac:dyDescent="0.25">
      <c r="A703" s="6">
        <f t="shared" si="21"/>
        <v>698</v>
      </c>
      <c r="B703" s="21">
        <v>45351</v>
      </c>
      <c r="C703" s="109" t="s">
        <v>1850</v>
      </c>
      <c r="D703" s="126" t="s">
        <v>1862</v>
      </c>
      <c r="E703" s="65"/>
      <c r="F703" t="s">
        <v>1855</v>
      </c>
      <c r="G703" s="161">
        <f>MONTH(EJECUTADO[[#This Row],[FECHA]])</f>
        <v>2</v>
      </c>
      <c r="H703" s="163" t="str">
        <f>MID(EJECUTADO[[#This Row],[CUENTA]],1,4)</f>
        <v>E-06</v>
      </c>
      <c r="I703" s="163" t="str">
        <f>INDEX(CATALOGO[Descripción],MATCH(EJECUTADO[[#This Row],[APLICACIÓN]]&amp;"-00-00-00",CATALOGO[Código],0))</f>
        <v>HORAS CLASES</v>
      </c>
      <c r="J7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703" s="161" t="str">
        <f>IF((EJECUTADO[[#This Row],[MONTO DISPONIBLE ]]-EJECUTADO[[#This Row],[MONTO SOLICITADO]])&gt;=0,"PRESUPUESTO: SI","PRESUPUESTO: NO")</f>
        <v>PRESUPUESTO: SI</v>
      </c>
      <c r="L703" s="162">
        <f>SUMIF(PRESUPUESTO[CUENTA],EJECUTADO[[#This Row],[CUENTA]],PRESUPUESTO[MONTO])-SUMIF($F$1:F702,EJECUTADO[[#This Row],[CUENTA]],$M$1:M702)</f>
        <v>548793.76</v>
      </c>
      <c r="M703" s="2">
        <v>657.21</v>
      </c>
      <c r="N703" s="84"/>
      <c r="O703" s="84"/>
      <c r="P703" s="162">
        <f>+EJECUTADO[[#This Row],[MONTO SOLICITADO]]-EJECUTADO[[#This Row],[RETENCION IVA]]-EJECUTADO[[#This Row],[RETENCION ISR]]</f>
        <v>657.21</v>
      </c>
      <c r="Q703" s="84" t="s">
        <v>1000</v>
      </c>
      <c r="R703" s="84"/>
      <c r="S703">
        <v>1</v>
      </c>
      <c r="T703" s="168" t="str">
        <f t="shared" si="20"/>
        <v>HORAS CLASES - HORAS CLASE FACULTAD DE INFORMATICA Y CC APLICADAS Disponible $548793.76 Solicitado $657.21 PRESUPUESTO: SI</v>
      </c>
    </row>
    <row r="704" spans="1:20" ht="30" x14ac:dyDescent="0.25">
      <c r="A704" s="6">
        <f t="shared" si="21"/>
        <v>699</v>
      </c>
      <c r="B704" s="21">
        <v>45351</v>
      </c>
      <c r="C704" s="110" t="s">
        <v>1850</v>
      </c>
      <c r="D704" s="126" t="s">
        <v>1863</v>
      </c>
      <c r="E704" s="65"/>
      <c r="F704" t="s">
        <v>1864</v>
      </c>
      <c r="G704" s="161">
        <f>MONTH(EJECUTADO[[#This Row],[FECHA]])</f>
        <v>2</v>
      </c>
      <c r="H704" s="163" t="str">
        <f>MID(EJECUTADO[[#This Row],[CUENTA]],1,4)</f>
        <v>E-06</v>
      </c>
      <c r="I704" s="163" t="str">
        <f>INDEX(CATALOGO[Descripción],MATCH(EJECUTADO[[#This Row],[APLICACIÓN]]&amp;"-00-00-00",CATALOGO[Código],0))</f>
        <v>HORAS CLASES</v>
      </c>
      <c r="J7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4" s="161" t="str">
        <f>IF((EJECUTADO[[#This Row],[MONTO DISPONIBLE ]]-EJECUTADO[[#This Row],[MONTO SOLICITADO]])&gt;=0,"PRESUPUESTO: SI","PRESUPUESTO: NO")</f>
        <v>PRESUPUESTO: SI</v>
      </c>
      <c r="L704" s="162">
        <f>SUMIF(PRESUPUESTO[CUENTA],EJECUTADO[[#This Row],[CUENTA]],PRESUPUESTO[MONTO])-SUMIF($F$1:F703,EJECUTADO[[#This Row],[CUENTA]],$M$1:M703)</f>
        <v>489325</v>
      </c>
      <c r="M704" s="2">
        <v>1342.8</v>
      </c>
      <c r="N704" s="84"/>
      <c r="O704" s="84"/>
      <c r="P704" s="162">
        <f>+EJECUTADO[[#This Row],[MONTO SOLICITADO]]-EJECUTADO[[#This Row],[RETENCION IVA]]-EJECUTADO[[#This Row],[RETENCION ISR]]</f>
        <v>1342.8</v>
      </c>
      <c r="Q704" s="84" t="s">
        <v>1000</v>
      </c>
      <c r="R704" s="84"/>
      <c r="S704">
        <v>1</v>
      </c>
      <c r="T704" s="168" t="str">
        <f t="shared" si="20"/>
        <v>HORAS CLASES - HORAS CLASE FACULTAD DE CIENCIAS SOCIALES Disponible $489325 Solicitado $1342.8 PRESUPUESTO: SI</v>
      </c>
    </row>
    <row r="705" spans="1:20" ht="30" x14ac:dyDescent="0.25">
      <c r="A705" s="6">
        <f t="shared" si="21"/>
        <v>700</v>
      </c>
      <c r="B705" s="21">
        <v>45351</v>
      </c>
      <c r="C705" s="109" t="s">
        <v>1850</v>
      </c>
      <c r="D705" s="126" t="s">
        <v>1865</v>
      </c>
      <c r="E705" s="65"/>
      <c r="F705" t="s">
        <v>1864</v>
      </c>
      <c r="G705" s="161">
        <f>MONTH(EJECUTADO[[#This Row],[FECHA]])</f>
        <v>2</v>
      </c>
      <c r="H705" s="163" t="str">
        <f>MID(EJECUTADO[[#This Row],[CUENTA]],1,4)</f>
        <v>E-06</v>
      </c>
      <c r="I705" s="163" t="str">
        <f>INDEX(CATALOGO[Descripción],MATCH(EJECUTADO[[#This Row],[APLICACIÓN]]&amp;"-00-00-00",CATALOGO[Código],0))</f>
        <v>HORAS CLASES</v>
      </c>
      <c r="J7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5" s="161" t="str">
        <f>IF((EJECUTADO[[#This Row],[MONTO DISPONIBLE ]]-EJECUTADO[[#This Row],[MONTO SOLICITADO]])&gt;=0,"PRESUPUESTO: SI","PRESUPUESTO: NO")</f>
        <v>PRESUPUESTO: SI</v>
      </c>
      <c r="L705" s="162">
        <f>SUMIF(PRESUPUESTO[CUENTA],EJECUTADO[[#This Row],[CUENTA]],PRESUPUESTO[MONTO])-SUMIF($F$1:F704,EJECUTADO[[#This Row],[CUENTA]],$M$1:M704)</f>
        <v>487982.2</v>
      </c>
      <c r="M705" s="2">
        <v>35</v>
      </c>
      <c r="N705" s="84"/>
      <c r="O705" s="84"/>
      <c r="P705" s="162">
        <f>+EJECUTADO[[#This Row],[MONTO SOLICITADO]]-EJECUTADO[[#This Row],[RETENCION IVA]]-EJECUTADO[[#This Row],[RETENCION ISR]]</f>
        <v>35</v>
      </c>
      <c r="Q705" s="84" t="s">
        <v>1000</v>
      </c>
      <c r="R705" s="84"/>
      <c r="S705">
        <v>1</v>
      </c>
      <c r="T705" s="168" t="str">
        <f t="shared" si="20"/>
        <v>HORAS CLASES - HORAS CLASE FACULTAD DE CIENCIAS SOCIALES Disponible $487982.2 Solicitado $35 PRESUPUESTO: SI</v>
      </c>
    </row>
    <row r="706" spans="1:20" ht="30" x14ac:dyDescent="0.25">
      <c r="A706" s="6">
        <f t="shared" si="21"/>
        <v>701</v>
      </c>
      <c r="B706" s="21">
        <v>45351</v>
      </c>
      <c r="C706" s="110" t="s">
        <v>1850</v>
      </c>
      <c r="D706" s="126" t="s">
        <v>1866</v>
      </c>
      <c r="E706" s="65"/>
      <c r="F706" t="s">
        <v>1864</v>
      </c>
      <c r="G706" s="161">
        <f>MONTH(EJECUTADO[[#This Row],[FECHA]])</f>
        <v>2</v>
      </c>
      <c r="H706" s="163" t="str">
        <f>MID(EJECUTADO[[#This Row],[CUENTA]],1,4)</f>
        <v>E-06</v>
      </c>
      <c r="I706" s="163" t="str">
        <f>INDEX(CATALOGO[Descripción],MATCH(EJECUTADO[[#This Row],[APLICACIÓN]]&amp;"-00-00-00",CATALOGO[Código],0))</f>
        <v>HORAS CLASES</v>
      </c>
      <c r="J7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6" s="161" t="str">
        <f>IF((EJECUTADO[[#This Row],[MONTO DISPONIBLE ]]-EJECUTADO[[#This Row],[MONTO SOLICITADO]])&gt;=0,"PRESUPUESTO: SI","PRESUPUESTO: NO")</f>
        <v>PRESUPUESTO: SI</v>
      </c>
      <c r="L706" s="162">
        <f>SUMIF(PRESUPUESTO[CUENTA],EJECUTADO[[#This Row],[CUENTA]],PRESUPUESTO[MONTO])-SUMIF($F$1:F705,EJECUTADO[[#This Row],[CUENTA]],$M$1:M705)</f>
        <v>487947.2</v>
      </c>
      <c r="M706" s="2">
        <v>4402.26</v>
      </c>
      <c r="N706" s="84"/>
      <c r="O706" s="84"/>
      <c r="P706" s="162">
        <f>+EJECUTADO[[#This Row],[MONTO SOLICITADO]]-EJECUTADO[[#This Row],[RETENCION IVA]]-EJECUTADO[[#This Row],[RETENCION ISR]]</f>
        <v>4402.26</v>
      </c>
      <c r="Q706" s="84" t="s">
        <v>1000</v>
      </c>
      <c r="R706" s="84"/>
      <c r="S706">
        <v>1</v>
      </c>
      <c r="T706" s="168" t="str">
        <f t="shared" si="20"/>
        <v>HORAS CLASES - HORAS CLASE FACULTAD DE CIENCIAS SOCIALES Disponible $487947.2 Solicitado $4402.26 PRESUPUESTO: SI</v>
      </c>
    </row>
    <row r="707" spans="1:20" ht="30" x14ac:dyDescent="0.25">
      <c r="A707" s="6">
        <f t="shared" si="21"/>
        <v>702</v>
      </c>
      <c r="B707" s="21">
        <v>45351</v>
      </c>
      <c r="C707" s="109" t="s">
        <v>1850</v>
      </c>
      <c r="D707" s="126" t="s">
        <v>1867</v>
      </c>
      <c r="E707" s="65"/>
      <c r="F707" t="s">
        <v>1864</v>
      </c>
      <c r="G707" s="161">
        <f>MONTH(EJECUTADO[[#This Row],[FECHA]])</f>
        <v>2</v>
      </c>
      <c r="H707" s="163" t="str">
        <f>MID(EJECUTADO[[#This Row],[CUENTA]],1,4)</f>
        <v>E-06</v>
      </c>
      <c r="I707" s="163" t="str">
        <f>INDEX(CATALOGO[Descripción],MATCH(EJECUTADO[[#This Row],[APLICACIÓN]]&amp;"-00-00-00",CATALOGO[Código],0))</f>
        <v>HORAS CLASES</v>
      </c>
      <c r="J7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7" s="161" t="str">
        <f>IF((EJECUTADO[[#This Row],[MONTO DISPONIBLE ]]-EJECUTADO[[#This Row],[MONTO SOLICITADO]])&gt;=0,"PRESUPUESTO: SI","PRESUPUESTO: NO")</f>
        <v>PRESUPUESTO: SI</v>
      </c>
      <c r="L707" s="162">
        <f>SUMIF(PRESUPUESTO[CUENTA],EJECUTADO[[#This Row],[CUENTA]],PRESUPUESTO[MONTO])-SUMIF($F$1:F706,EJECUTADO[[#This Row],[CUENTA]],$M$1:M706)</f>
        <v>483544.94</v>
      </c>
      <c r="M707" s="2">
        <v>135.80000000000001</v>
      </c>
      <c r="N707" s="84"/>
      <c r="O707" s="84"/>
      <c r="P707" s="162">
        <f>+EJECUTADO[[#This Row],[MONTO SOLICITADO]]-EJECUTADO[[#This Row],[RETENCION IVA]]-EJECUTADO[[#This Row],[RETENCION ISR]]</f>
        <v>135.80000000000001</v>
      </c>
      <c r="Q707" s="84" t="s">
        <v>1000</v>
      </c>
      <c r="R707" s="84"/>
      <c r="S707">
        <v>1</v>
      </c>
      <c r="T707" s="168" t="str">
        <f t="shared" si="20"/>
        <v>HORAS CLASES - HORAS CLASE FACULTAD DE CIENCIAS SOCIALES Disponible $483544.94 Solicitado $135.8 PRESUPUESTO: SI</v>
      </c>
    </row>
    <row r="708" spans="1:20" ht="30" x14ac:dyDescent="0.25">
      <c r="A708" s="6">
        <f t="shared" si="21"/>
        <v>703</v>
      </c>
      <c r="B708" s="21">
        <v>45351</v>
      </c>
      <c r="C708" s="110" t="s">
        <v>1850</v>
      </c>
      <c r="D708" s="126" t="s">
        <v>1868</v>
      </c>
      <c r="E708" s="65"/>
      <c r="F708" t="s">
        <v>1864</v>
      </c>
      <c r="G708" s="161">
        <f>MONTH(EJECUTADO[[#This Row],[FECHA]])</f>
        <v>2</v>
      </c>
      <c r="H708" s="163" t="str">
        <f>MID(EJECUTADO[[#This Row],[CUENTA]],1,4)</f>
        <v>E-06</v>
      </c>
      <c r="I708" s="163" t="str">
        <f>INDEX(CATALOGO[Descripción],MATCH(EJECUTADO[[#This Row],[APLICACIÓN]]&amp;"-00-00-00",CATALOGO[Código],0))</f>
        <v>HORAS CLASES</v>
      </c>
      <c r="J7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8" s="161" t="str">
        <f>IF((EJECUTADO[[#This Row],[MONTO DISPONIBLE ]]-EJECUTADO[[#This Row],[MONTO SOLICITADO]])&gt;=0,"PRESUPUESTO: SI","PRESUPUESTO: NO")</f>
        <v>PRESUPUESTO: SI</v>
      </c>
      <c r="L708" s="162">
        <f>SUMIF(PRESUPUESTO[CUENTA],EJECUTADO[[#This Row],[CUENTA]],PRESUPUESTO[MONTO])-SUMIF($F$1:F707,EJECUTADO[[#This Row],[CUENTA]],$M$1:M707)</f>
        <v>483409.14</v>
      </c>
      <c r="M708" s="2">
        <v>11688.54</v>
      </c>
      <c r="N708" s="84"/>
      <c r="O708" s="84"/>
      <c r="P708" s="162">
        <f>+EJECUTADO[[#This Row],[MONTO SOLICITADO]]-EJECUTADO[[#This Row],[RETENCION IVA]]-EJECUTADO[[#This Row],[RETENCION ISR]]</f>
        <v>11688.54</v>
      </c>
      <c r="Q708" s="84" t="s">
        <v>1000</v>
      </c>
      <c r="R708" s="84"/>
      <c r="S708">
        <v>1</v>
      </c>
      <c r="T708" s="168" t="str">
        <f t="shared" ref="T708:T771" si="22">_xlfn.CONCAT(I708," - ",J708," Disponible $",L708," Solicitado $",M708," ",K708,)</f>
        <v>HORAS CLASES - HORAS CLASE FACULTAD DE CIENCIAS SOCIALES Disponible $483409.14 Solicitado $11688.54 PRESUPUESTO: SI</v>
      </c>
    </row>
    <row r="709" spans="1:20" ht="30" x14ac:dyDescent="0.25">
      <c r="A709" s="6">
        <f t="shared" si="21"/>
        <v>704</v>
      </c>
      <c r="B709" s="21">
        <v>45351</v>
      </c>
      <c r="C709" s="109" t="s">
        <v>1850</v>
      </c>
      <c r="D709" s="126" t="s">
        <v>1869</v>
      </c>
      <c r="E709" s="65"/>
      <c r="F709" t="s">
        <v>1864</v>
      </c>
      <c r="G709" s="161">
        <f>MONTH(EJECUTADO[[#This Row],[FECHA]])</f>
        <v>2</v>
      </c>
      <c r="H709" s="163" t="str">
        <f>MID(EJECUTADO[[#This Row],[CUENTA]],1,4)</f>
        <v>E-06</v>
      </c>
      <c r="I709" s="163" t="str">
        <f>INDEX(CATALOGO[Descripción],MATCH(EJECUTADO[[#This Row],[APLICACIÓN]]&amp;"-00-00-00",CATALOGO[Código],0))</f>
        <v>HORAS CLASES</v>
      </c>
      <c r="J7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09" s="161" t="str">
        <f>IF((EJECUTADO[[#This Row],[MONTO DISPONIBLE ]]-EJECUTADO[[#This Row],[MONTO SOLICITADO]])&gt;=0,"PRESUPUESTO: SI","PRESUPUESTO: NO")</f>
        <v>PRESUPUESTO: SI</v>
      </c>
      <c r="L709" s="162">
        <f>SUMIF(PRESUPUESTO[CUENTA],EJECUTADO[[#This Row],[CUENTA]],PRESUPUESTO[MONTO])-SUMIF($F$1:F708,EJECUTADO[[#This Row],[CUENTA]],$M$1:M708)</f>
        <v>471720.6</v>
      </c>
      <c r="M709" s="2">
        <v>412.39</v>
      </c>
      <c r="N709" s="84"/>
      <c r="O709" s="84"/>
      <c r="P709" s="162">
        <f>+EJECUTADO[[#This Row],[MONTO SOLICITADO]]-EJECUTADO[[#This Row],[RETENCION IVA]]-EJECUTADO[[#This Row],[RETENCION ISR]]</f>
        <v>412.39</v>
      </c>
      <c r="Q709" s="84" t="s">
        <v>1000</v>
      </c>
      <c r="R709" s="84"/>
      <c r="S709">
        <v>1</v>
      </c>
      <c r="T709" s="168" t="str">
        <f t="shared" si="22"/>
        <v>HORAS CLASES - HORAS CLASE FACULTAD DE CIENCIAS SOCIALES Disponible $471720.6 Solicitado $412.39 PRESUPUESTO: SI</v>
      </c>
    </row>
    <row r="710" spans="1:20" ht="30" x14ac:dyDescent="0.25">
      <c r="A710" s="6">
        <f t="shared" ref="A710:A777" si="23">+A709+1</f>
        <v>705</v>
      </c>
      <c r="B710" s="21">
        <v>45351</v>
      </c>
      <c r="C710" s="110" t="s">
        <v>1850</v>
      </c>
      <c r="D710" s="126" t="s">
        <v>1870</v>
      </c>
      <c r="E710" s="65"/>
      <c r="F710" t="s">
        <v>1864</v>
      </c>
      <c r="G710" s="161">
        <f>MONTH(EJECUTADO[[#This Row],[FECHA]])</f>
        <v>2</v>
      </c>
      <c r="H710" s="163" t="str">
        <f>MID(EJECUTADO[[#This Row],[CUENTA]],1,4)</f>
        <v>E-06</v>
      </c>
      <c r="I710" s="163" t="str">
        <f>INDEX(CATALOGO[Descripción],MATCH(EJECUTADO[[#This Row],[APLICACIÓN]]&amp;"-00-00-00",CATALOGO[Código],0))</f>
        <v>HORAS CLASES</v>
      </c>
      <c r="J7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10" s="161" t="str">
        <f>IF((EJECUTADO[[#This Row],[MONTO DISPONIBLE ]]-EJECUTADO[[#This Row],[MONTO SOLICITADO]])&gt;=0,"PRESUPUESTO: SI","PRESUPUESTO: NO")</f>
        <v>PRESUPUESTO: SI</v>
      </c>
      <c r="L710" s="162">
        <f>SUMIF(PRESUPUESTO[CUENTA],EJECUTADO[[#This Row],[CUENTA]],PRESUPUESTO[MONTO])-SUMIF($F$1:F709,EJECUTADO[[#This Row],[CUENTA]],$M$1:M709)</f>
        <v>471308.21</v>
      </c>
      <c r="M710" s="2">
        <v>4890.6000000000004</v>
      </c>
      <c r="N710" s="84"/>
      <c r="O710" s="84"/>
      <c r="P710" s="162">
        <f>+EJECUTADO[[#This Row],[MONTO SOLICITADO]]-EJECUTADO[[#This Row],[RETENCION IVA]]-EJECUTADO[[#This Row],[RETENCION ISR]]</f>
        <v>4890.6000000000004</v>
      </c>
      <c r="Q710" s="84" t="s">
        <v>1000</v>
      </c>
      <c r="R710" s="84"/>
      <c r="S710">
        <v>1</v>
      </c>
      <c r="T710" s="168" t="str">
        <f t="shared" si="22"/>
        <v>HORAS CLASES - HORAS CLASE FACULTAD DE CIENCIAS SOCIALES Disponible $471308.21 Solicitado $4890.6 PRESUPUESTO: SI</v>
      </c>
    </row>
    <row r="711" spans="1:20" ht="30" x14ac:dyDescent="0.25">
      <c r="A711" s="6">
        <f t="shared" si="23"/>
        <v>706</v>
      </c>
      <c r="B711" s="21">
        <v>45351</v>
      </c>
      <c r="C711" s="109" t="s">
        <v>1850</v>
      </c>
      <c r="D711" s="126" t="s">
        <v>1871</v>
      </c>
      <c r="E711" s="65"/>
      <c r="F711" t="s">
        <v>1864</v>
      </c>
      <c r="G711" s="161">
        <f>MONTH(EJECUTADO[[#This Row],[FECHA]])</f>
        <v>2</v>
      </c>
      <c r="H711" s="163" t="str">
        <f>MID(EJECUTADO[[#This Row],[CUENTA]],1,4)</f>
        <v>E-06</v>
      </c>
      <c r="I711" s="163" t="str">
        <f>INDEX(CATALOGO[Descripción],MATCH(EJECUTADO[[#This Row],[APLICACIÓN]]&amp;"-00-00-00",CATALOGO[Código],0))</f>
        <v>HORAS CLASES</v>
      </c>
      <c r="J7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711" s="161" t="str">
        <f>IF((EJECUTADO[[#This Row],[MONTO DISPONIBLE ]]-EJECUTADO[[#This Row],[MONTO SOLICITADO]])&gt;=0,"PRESUPUESTO: SI","PRESUPUESTO: NO")</f>
        <v>PRESUPUESTO: SI</v>
      </c>
      <c r="L711" s="162">
        <f>SUMIF(PRESUPUESTO[CUENTA],EJECUTADO[[#This Row],[CUENTA]],PRESUPUESTO[MONTO])-SUMIF($F$1:F710,EJECUTADO[[#This Row],[CUENTA]],$M$1:M710)</f>
        <v>466417.61</v>
      </c>
      <c r="M711" s="2">
        <v>104.14</v>
      </c>
      <c r="N711" s="84"/>
      <c r="O711" s="84"/>
      <c r="P711" s="162">
        <f>+EJECUTADO[[#This Row],[MONTO SOLICITADO]]-EJECUTADO[[#This Row],[RETENCION IVA]]-EJECUTADO[[#This Row],[RETENCION ISR]]</f>
        <v>104.14</v>
      </c>
      <c r="Q711" s="84" t="s">
        <v>1000</v>
      </c>
      <c r="R711" s="84"/>
      <c r="S711">
        <v>1</v>
      </c>
      <c r="T711" s="168" t="str">
        <f t="shared" si="22"/>
        <v>HORAS CLASES - HORAS CLASE FACULTAD DE CIENCIAS SOCIALES Disponible $466417.61 Solicitado $104.14 PRESUPUESTO: SI</v>
      </c>
    </row>
    <row r="712" spans="1:20" ht="30" x14ac:dyDescent="0.25">
      <c r="A712" s="6">
        <f t="shared" si="23"/>
        <v>707</v>
      </c>
      <c r="B712" s="21">
        <v>45351</v>
      </c>
      <c r="C712" s="110" t="s">
        <v>1850</v>
      </c>
      <c r="D712" s="126" t="s">
        <v>1872</v>
      </c>
      <c r="E712" s="65"/>
      <c r="F712" t="s">
        <v>1873</v>
      </c>
      <c r="G712" s="161">
        <f>MONTH(EJECUTADO[[#This Row],[FECHA]])</f>
        <v>2</v>
      </c>
      <c r="H712" s="163" t="str">
        <f>MID(EJECUTADO[[#This Row],[CUENTA]],1,4)</f>
        <v>E-06</v>
      </c>
      <c r="I712" s="163" t="str">
        <f>INDEX(CATALOGO[Descripción],MATCH(EJECUTADO[[#This Row],[APLICACIÓN]]&amp;"-00-00-00",CATALOGO[Código],0))</f>
        <v>HORAS CLASES</v>
      </c>
      <c r="J7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JURIDICAS</v>
      </c>
      <c r="K712" s="161" t="str">
        <f>IF((EJECUTADO[[#This Row],[MONTO DISPONIBLE ]]-EJECUTADO[[#This Row],[MONTO SOLICITADO]])&gt;=0,"PRESUPUESTO: SI","PRESUPUESTO: NO")</f>
        <v>PRESUPUESTO: SI</v>
      </c>
      <c r="L712" s="162">
        <f>SUMIF(PRESUPUESTO[CUENTA],EJECUTADO[[#This Row],[CUENTA]],PRESUPUESTO[MONTO])-SUMIF($F$1:F711,EJECUTADO[[#This Row],[CUENTA]],$M$1:M711)</f>
        <v>147150</v>
      </c>
      <c r="M712" s="2">
        <v>7773.34</v>
      </c>
      <c r="N712" s="84"/>
      <c r="O712" s="84"/>
      <c r="P712" s="162">
        <f>+EJECUTADO[[#This Row],[MONTO SOLICITADO]]-EJECUTADO[[#This Row],[RETENCION IVA]]-EJECUTADO[[#This Row],[RETENCION ISR]]</f>
        <v>7773.34</v>
      </c>
      <c r="Q712" s="84" t="s">
        <v>1000</v>
      </c>
      <c r="R712" s="84"/>
      <c r="S712">
        <v>1</v>
      </c>
      <c r="T712" s="168" t="str">
        <f t="shared" si="22"/>
        <v>HORAS CLASES - HORAS CLASE FACULTAD DE CIENCIAS JURIDICAS Disponible $147150 Solicitado $7773.34 PRESUPUESTO: SI</v>
      </c>
    </row>
    <row r="713" spans="1:20" ht="30" x14ac:dyDescent="0.25">
      <c r="A713" s="6">
        <f t="shared" si="23"/>
        <v>708</v>
      </c>
      <c r="B713" s="21">
        <v>45351</v>
      </c>
      <c r="C713" s="109" t="s">
        <v>1850</v>
      </c>
      <c r="D713" s="126" t="s">
        <v>1874</v>
      </c>
      <c r="E713" s="65"/>
      <c r="F713" t="s">
        <v>1873</v>
      </c>
      <c r="G713" s="161">
        <f>MONTH(EJECUTADO[[#This Row],[FECHA]])</f>
        <v>2</v>
      </c>
      <c r="H713" s="163" t="str">
        <f>MID(EJECUTADO[[#This Row],[CUENTA]],1,4)</f>
        <v>E-06</v>
      </c>
      <c r="I713" s="163" t="str">
        <f>INDEX(CATALOGO[Descripción],MATCH(EJECUTADO[[#This Row],[APLICACIÓN]]&amp;"-00-00-00",CATALOGO[Código],0))</f>
        <v>HORAS CLASES</v>
      </c>
      <c r="J7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JURIDICAS</v>
      </c>
      <c r="K713" s="161" t="str">
        <f>IF((EJECUTADO[[#This Row],[MONTO DISPONIBLE ]]-EJECUTADO[[#This Row],[MONTO SOLICITADO]])&gt;=0,"PRESUPUESTO: SI","PRESUPUESTO: NO")</f>
        <v>PRESUPUESTO: SI</v>
      </c>
      <c r="L713" s="162">
        <f>SUMIF(PRESUPUESTO[CUENTA],EJECUTADO[[#This Row],[CUENTA]],PRESUPUESTO[MONTO])-SUMIF($F$1:F712,EJECUTADO[[#This Row],[CUENTA]],$M$1:M712)</f>
        <v>139376.66</v>
      </c>
      <c r="M713" s="2">
        <v>921.01</v>
      </c>
      <c r="N713" s="84"/>
      <c r="O713" s="84"/>
      <c r="P713" s="162">
        <f>+EJECUTADO[[#This Row],[MONTO SOLICITADO]]-EJECUTADO[[#This Row],[RETENCION IVA]]-EJECUTADO[[#This Row],[RETENCION ISR]]</f>
        <v>921.01</v>
      </c>
      <c r="Q713" s="84" t="s">
        <v>1000</v>
      </c>
      <c r="R713" s="84"/>
      <c r="S713">
        <v>1</v>
      </c>
      <c r="T713" s="168" t="str">
        <f t="shared" si="22"/>
        <v>HORAS CLASES - HORAS CLASE FACULTAD DE CIENCIAS JURIDICAS Disponible $139376.66 Solicitado $921.01 PRESUPUESTO: SI</v>
      </c>
    </row>
    <row r="714" spans="1:20" ht="30" x14ac:dyDescent="0.25">
      <c r="A714" s="6">
        <f t="shared" si="23"/>
        <v>709</v>
      </c>
      <c r="B714" s="21">
        <v>45351</v>
      </c>
      <c r="C714" s="110" t="s">
        <v>1850</v>
      </c>
      <c r="D714" s="126" t="s">
        <v>1875</v>
      </c>
      <c r="E714" s="65"/>
      <c r="F714" t="s">
        <v>1876</v>
      </c>
      <c r="G714" s="161">
        <f>MONTH(EJECUTADO[[#This Row],[FECHA]])</f>
        <v>2</v>
      </c>
      <c r="H714" s="163" t="str">
        <f>MID(EJECUTADO[[#This Row],[CUENTA]],1,4)</f>
        <v>E-16</v>
      </c>
      <c r="I714" s="163" t="str">
        <f>INDEX(CATALOGO[Descripción],MATCH(EJECUTADO[[#This Row],[APLICACIÓN]]&amp;"-00-00-00",CATALOGO[Código],0))</f>
        <v xml:space="preserve">PRE-ESPECIALIDAD </v>
      </c>
      <c r="J7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Gastos Graduacion Pre Grado</v>
      </c>
      <c r="K714" s="161" t="str">
        <f>IF((EJECUTADO[[#This Row],[MONTO DISPONIBLE ]]-EJECUTADO[[#This Row],[MONTO SOLICITADO]])&gt;=0,"PRESUPUESTO: SI","PRESUPUESTO: NO")</f>
        <v>PRESUPUESTO: SI</v>
      </c>
      <c r="L714" s="162">
        <f>SUMIF(PRESUPUESTO[CUENTA],EJECUTADO[[#This Row],[CUENTA]],PRESUPUESTO[MONTO])-SUMIF($F$1:F713,EJECUTADO[[#This Row],[CUENTA]],$M$1:M713)</f>
        <v>250000</v>
      </c>
      <c r="M714" s="2">
        <v>906</v>
      </c>
      <c r="N714" s="84"/>
      <c r="O714" s="84"/>
      <c r="P714" s="162">
        <f>+EJECUTADO[[#This Row],[MONTO SOLICITADO]]-EJECUTADO[[#This Row],[RETENCION IVA]]-EJECUTADO[[#This Row],[RETENCION ISR]]</f>
        <v>906</v>
      </c>
      <c r="Q714" s="84" t="s">
        <v>1000</v>
      </c>
      <c r="R714" s="84"/>
      <c r="S714">
        <v>1</v>
      </c>
      <c r="T714" s="168" t="str">
        <f t="shared" si="22"/>
        <v>PRE-ESPECIALIDAD  - Gastos Graduacion Pre Grado Disponible $250000 Solicitado $906 PRESUPUESTO: SI</v>
      </c>
    </row>
    <row r="715" spans="1:20" ht="30" x14ac:dyDescent="0.25">
      <c r="A715" s="6">
        <f t="shared" si="23"/>
        <v>710</v>
      </c>
      <c r="B715" s="21">
        <v>45351</v>
      </c>
      <c r="C715" s="109" t="s">
        <v>1850</v>
      </c>
      <c r="D715" s="126" t="s">
        <v>1875</v>
      </c>
      <c r="E715" s="65"/>
      <c r="F715" t="s">
        <v>1877</v>
      </c>
      <c r="G715" s="161">
        <f>MONTH(EJECUTADO[[#This Row],[FECHA]])</f>
        <v>2</v>
      </c>
      <c r="H715" s="163" t="str">
        <f>MID(EJECUTADO[[#This Row],[CUENTA]],1,4)</f>
        <v>E-16</v>
      </c>
      <c r="I715" s="163" t="str">
        <f>INDEX(CATALOGO[Descripción],MATCH(EJECUTADO[[#This Row],[APLICACIÓN]]&amp;"-00-00-00",CATALOGO[Código],0))</f>
        <v xml:space="preserve">PRE-ESPECIALIDAD </v>
      </c>
      <c r="J7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715" s="161" t="str">
        <f>IF((EJECUTADO[[#This Row],[MONTO DISPONIBLE ]]-EJECUTADO[[#This Row],[MONTO SOLICITADO]])&gt;=0,"PRESUPUESTO: SI","PRESUPUESTO: NO")</f>
        <v>PRESUPUESTO: NO</v>
      </c>
      <c r="L715" s="162">
        <f>SUMIF(PRESUPUESTO[CUENTA],EJECUTADO[[#This Row],[CUENTA]],PRESUPUESTO[MONTO])-SUMIF($F$1:F714,EJECUTADO[[#This Row],[CUENTA]],$M$1:M714)</f>
        <v>0</v>
      </c>
      <c r="M715" s="2">
        <v>8295.6</v>
      </c>
      <c r="N715" s="84"/>
      <c r="O715" s="84"/>
      <c r="P715" s="162">
        <f>+EJECUTADO[[#This Row],[MONTO SOLICITADO]]-EJECUTADO[[#This Row],[RETENCION IVA]]-EJECUTADO[[#This Row],[RETENCION ISR]]</f>
        <v>8295.6</v>
      </c>
      <c r="Q715" s="84" t="s">
        <v>1000</v>
      </c>
      <c r="R715" s="84"/>
      <c r="S715">
        <v>1</v>
      </c>
      <c r="T715" s="168" t="str">
        <f t="shared" si="22"/>
        <v>PRE-ESPECIALIDAD  - ND Disponible $0 Solicitado $8295.6 PRESUPUESTO: NO</v>
      </c>
    </row>
    <row r="716" spans="1:20" ht="30" x14ac:dyDescent="0.25">
      <c r="A716" s="6">
        <f t="shared" si="23"/>
        <v>711</v>
      </c>
      <c r="B716" s="21">
        <v>45351</v>
      </c>
      <c r="C716" s="110" t="s">
        <v>1850</v>
      </c>
      <c r="D716" s="126" t="s">
        <v>1875</v>
      </c>
      <c r="E716" s="65"/>
      <c r="F716" t="s">
        <v>1878</v>
      </c>
      <c r="G716" s="161">
        <f>MONTH(EJECUTADO[[#This Row],[FECHA]])</f>
        <v>2</v>
      </c>
      <c r="H716" s="163" t="str">
        <f>MID(EJECUTADO[[#This Row],[CUENTA]],1,4)</f>
        <v>E-16</v>
      </c>
      <c r="I716" s="163" t="str">
        <f>INDEX(CATALOGO[Descripción],MATCH(EJECUTADO[[#This Row],[APLICACIÓN]]&amp;"-00-00-00",CATALOGO[Código],0))</f>
        <v xml:space="preserve">PRE-ESPECIALIDAD </v>
      </c>
      <c r="J7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ND</v>
      </c>
      <c r="K716" s="161" t="str">
        <f>IF((EJECUTADO[[#This Row],[MONTO DISPONIBLE ]]-EJECUTADO[[#This Row],[MONTO SOLICITADO]])&gt;=0,"PRESUPUESTO: SI","PRESUPUESTO: NO")</f>
        <v>PRESUPUESTO: NO</v>
      </c>
      <c r="L716" s="162">
        <f>SUMIF(PRESUPUESTO[CUENTA],EJECUTADO[[#This Row],[CUENTA]],PRESUPUESTO[MONTO])-SUMIF($F$1:F715,EJECUTADO[[#This Row],[CUENTA]],$M$1:M715)</f>
        <v>0</v>
      </c>
      <c r="M716" s="2">
        <v>1485</v>
      </c>
      <c r="N716" s="84"/>
      <c r="O716" s="84"/>
      <c r="P716" s="162">
        <f>+EJECUTADO[[#This Row],[MONTO SOLICITADO]]-EJECUTADO[[#This Row],[RETENCION IVA]]-EJECUTADO[[#This Row],[RETENCION ISR]]</f>
        <v>1485</v>
      </c>
      <c r="Q716" s="84" t="s">
        <v>1000</v>
      </c>
      <c r="R716" s="84"/>
      <c r="S716">
        <v>1</v>
      </c>
      <c r="T716" s="168" t="str">
        <f t="shared" si="22"/>
        <v>PRE-ESPECIALIDAD  - ND Disponible $0 Solicitado $1485 PRESUPUESTO: NO</v>
      </c>
    </row>
    <row r="717" spans="1:20" ht="30" x14ac:dyDescent="0.25">
      <c r="A717" s="6">
        <f t="shared" si="23"/>
        <v>712</v>
      </c>
      <c r="B717" s="21">
        <v>45351</v>
      </c>
      <c r="C717" s="109" t="s">
        <v>1850</v>
      </c>
      <c r="D717" s="126" t="s">
        <v>1879</v>
      </c>
      <c r="E717" s="65"/>
      <c r="F717" s="106" t="s">
        <v>1880</v>
      </c>
      <c r="G717" s="161">
        <f>MONTH(EJECUTADO[[#This Row],[FECHA]])</f>
        <v>2</v>
      </c>
      <c r="H717" s="163" t="str">
        <f>MID(EJECUTADO[[#This Row],[CUENTA]],1,4)</f>
        <v>E-13</v>
      </c>
      <c r="I717" s="163" t="str">
        <f>INDEX(CATALOGO[Descripción],MATCH(EJECUTADO[[#This Row],[APLICACIÓN]]&amp;"-00-00-00",CATALOGO[Código],0))</f>
        <v>MAESTRIAS Y POSTGRADOS</v>
      </c>
      <c r="J7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Procesos de Graduación</v>
      </c>
      <c r="K717" s="161" t="str">
        <f>IF((EJECUTADO[[#This Row],[MONTO DISPONIBLE ]]-EJECUTADO[[#This Row],[MONTO SOLICITADO]])&gt;=0,"PRESUPUESTO: SI","PRESUPUESTO: NO")</f>
        <v>PRESUPUESTO: SI</v>
      </c>
      <c r="L717" s="162">
        <f>SUMIF(PRESUPUESTO[CUENTA],EJECUTADO[[#This Row],[CUENTA]],PRESUPUESTO[MONTO])-SUMIF($F$1:F716,EJECUTADO[[#This Row],[CUENTA]],$M$1:M716)</f>
        <v>26520</v>
      </c>
      <c r="M717" s="2">
        <v>6390.4</v>
      </c>
      <c r="N717" s="2"/>
      <c r="O717" s="84"/>
      <c r="P717" s="162">
        <f>+EJECUTADO[[#This Row],[MONTO SOLICITADO]]-EJECUTADO[[#This Row],[RETENCION IVA]]-EJECUTADO[[#This Row],[RETENCION ISR]]</f>
        <v>6390.4</v>
      </c>
      <c r="Q717" s="84" t="s">
        <v>1000</v>
      </c>
      <c r="R717" s="84"/>
      <c r="S717">
        <v>1</v>
      </c>
      <c r="T717" s="168" t="str">
        <f t="shared" si="22"/>
        <v>MAESTRIAS Y POSTGRADOS - Horas clase Procesos de Graduación Disponible $26520 Solicitado $6390.4 PRESUPUESTO: SI</v>
      </c>
    </row>
    <row r="718" spans="1:20" ht="30" x14ac:dyDescent="0.25">
      <c r="A718" s="187" t="s">
        <v>1881</v>
      </c>
      <c r="B718" s="21">
        <v>45351</v>
      </c>
      <c r="C718" s="107" t="s">
        <v>1850</v>
      </c>
      <c r="D718" s="126" t="s">
        <v>1879</v>
      </c>
      <c r="E718" s="65"/>
      <c r="F718" t="s">
        <v>1882</v>
      </c>
      <c r="G718" s="161">
        <f>MONTH(EJECUTADO[[#This Row],[FECHA]])</f>
        <v>2</v>
      </c>
      <c r="H718" s="163" t="str">
        <f>MID(EJECUTADO[[#This Row],[CUENTA]],1,4)</f>
        <v>E-13</v>
      </c>
      <c r="I718" s="163" t="str">
        <f>INDEX(CATALOGO[Descripción],MATCH(EJECUTADO[[#This Row],[APLICACIÓN]]&amp;"-00-00-00",CATALOGO[Código],0))</f>
        <v>MAESTRIAS Y POSTGRADOS</v>
      </c>
      <c r="J7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POSTGRADOS - HORA CLASE</v>
      </c>
      <c r="K718" s="161" t="str">
        <f>IF((EJECUTADO[[#This Row],[MONTO DISPONIBLE ]]-EJECUTADO[[#This Row],[MONTO SOLICITADO]])&gt;=0,"PRESUPUESTO: SI","PRESUPUESTO: NO")</f>
        <v>PRESUPUESTO: SI</v>
      </c>
      <c r="L718" s="162">
        <f>SUMIF(PRESUPUESTO[CUENTA],EJECUTADO[[#This Row],[CUENTA]],PRESUPUESTO[MONTO])-SUMIF($F$1:F717,EJECUTADO[[#This Row],[CUENTA]],$M$1:M717)</f>
        <v>21440</v>
      </c>
      <c r="M718" s="2">
        <v>9700</v>
      </c>
      <c r="N718" s="188"/>
      <c r="O718" s="188"/>
      <c r="P718" s="166">
        <f>+EJECUTADO[[#This Row],[MONTO SOLICITADO]]-EJECUTADO[[#This Row],[RETENCION IVA]]-EJECUTADO[[#This Row],[RETENCION ISR]]</f>
        <v>9700</v>
      </c>
      <c r="Q718" s="188"/>
      <c r="R718" s="188"/>
      <c r="S718">
        <v>1</v>
      </c>
      <c r="T718" s="168" t="str">
        <f t="shared" si="22"/>
        <v>MAESTRIAS Y POSTGRADOS - POSTGRADOS - HORA CLASE Disponible $21440 Solicitado $9700 PRESUPUESTO: SI</v>
      </c>
    </row>
    <row r="719" spans="1:20" ht="30" x14ac:dyDescent="0.25">
      <c r="A719" s="187" t="s">
        <v>1883</v>
      </c>
      <c r="B719" s="21">
        <v>45351</v>
      </c>
      <c r="C719" s="107" t="s">
        <v>1850</v>
      </c>
      <c r="D719" s="126" t="s">
        <v>1879</v>
      </c>
      <c r="E719" s="65"/>
      <c r="F719" t="s">
        <v>1884</v>
      </c>
      <c r="G719" s="161">
        <f>MONTH(EJECUTADO[[#This Row],[FECHA]])</f>
        <v>2</v>
      </c>
      <c r="H719" s="163" t="str">
        <f>MID(EJECUTADO[[#This Row],[CUENTA]],1,4)</f>
        <v>E-13</v>
      </c>
      <c r="I719" s="163" t="str">
        <f>INDEX(CATALOGO[Descripción],MATCH(EJECUTADO[[#This Row],[APLICACIÓN]]&amp;"-00-00-00",CATALOGO[Código],0))</f>
        <v>MAESTRIAS Y POSTGRADOS</v>
      </c>
      <c r="J7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 módulos</v>
      </c>
      <c r="K719" s="161" t="str">
        <f>IF((EJECUTADO[[#This Row],[MONTO DISPONIBLE ]]-EJECUTADO[[#This Row],[MONTO SOLICITADO]])&gt;=0,"PRESUPUESTO: SI","PRESUPUESTO: NO")</f>
        <v>PRESUPUESTO: SI</v>
      </c>
      <c r="L719" s="162">
        <f>SUMIF(PRESUPUESTO[CUENTA],EJECUTADO[[#This Row],[CUENTA]],PRESUPUESTO[MONTO])-SUMIF($F$1:F718,EJECUTADO[[#This Row],[CUENTA]],$M$1:M718)</f>
        <v>176840</v>
      </c>
      <c r="M719" s="2">
        <v>49574.400000000001</v>
      </c>
      <c r="N719" s="188"/>
      <c r="O719" s="188"/>
      <c r="P719" s="166">
        <f>+EJECUTADO[[#This Row],[MONTO SOLICITADO]]-EJECUTADO[[#This Row],[RETENCION IVA]]-EJECUTADO[[#This Row],[RETENCION ISR]]</f>
        <v>49574.400000000001</v>
      </c>
      <c r="Q719" s="188"/>
      <c r="R719" s="188"/>
      <c r="S719">
        <v>1</v>
      </c>
      <c r="T719" s="168" t="str">
        <f t="shared" si="22"/>
        <v>MAESTRIAS Y POSTGRADOS - Horas Clase  módulos Disponible $176840 Solicitado $49574.4 PRESUPUESTO: SI</v>
      </c>
    </row>
    <row r="720" spans="1:20" x14ac:dyDescent="0.25">
      <c r="A720" s="6">
        <f>+A717+1</f>
        <v>713</v>
      </c>
      <c r="B720" s="21">
        <v>45351</v>
      </c>
      <c r="C720" s="108" t="s">
        <v>1885</v>
      </c>
      <c r="D720" s="126" t="s">
        <v>1642</v>
      </c>
      <c r="E720" s="65"/>
      <c r="F720" t="s">
        <v>1643</v>
      </c>
      <c r="G720" s="161">
        <f>MONTH(EJECUTADO[[#This Row],[FECHA]])</f>
        <v>2</v>
      </c>
      <c r="H720" s="163" t="str">
        <f>MID(EJECUTADO[[#This Row],[CUENTA]],1,4)</f>
        <v>E-02</v>
      </c>
      <c r="I720" s="163" t="str">
        <f>INDEX(CATALOGO[Descripción],MATCH(EJECUTADO[[#This Row],[APLICACIÓN]]&amp;"-00-00-00",CATALOGO[Código],0))</f>
        <v>PRESTAMOS BANCARIOS</v>
      </c>
      <c r="J7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720" s="161" t="str">
        <f>IF((EJECUTADO[[#This Row],[MONTO DISPONIBLE ]]-EJECUTADO[[#This Row],[MONTO SOLICITADO]])&gt;=0,"PRESUPUESTO: SI","PRESUPUESTO: NO")</f>
        <v>PRESUPUESTO: SI</v>
      </c>
      <c r="L720" s="162">
        <f>SUMIF(PRESUPUESTO[CUENTA],EJECUTADO[[#This Row],[CUENTA]],PRESUPUESTO[MONTO])-SUMIF($F$1:F719,EJECUTADO[[#This Row],[CUENTA]],$M$1:M719)</f>
        <v>409805.28</v>
      </c>
      <c r="M720" s="2">
        <v>19646.82</v>
      </c>
      <c r="N720" s="2"/>
      <c r="O720" s="2"/>
      <c r="P720" s="162">
        <f>+EJECUTADO[[#This Row],[MONTO SOLICITADO]]-EJECUTADO[[#This Row],[RETENCION IVA]]-EJECUTADO[[#This Row],[RETENCION ISR]]</f>
        <v>19646.82</v>
      </c>
      <c r="Q720" s="2" t="s">
        <v>1000</v>
      </c>
      <c r="R720" s="2"/>
      <c r="S720">
        <v>1</v>
      </c>
      <c r="T720" s="168" t="str">
        <f t="shared" si="22"/>
        <v>PRESTAMOS BANCARIOS - BANCO PROMERICA REF 784005 Disponible $409805.28 Solicitado $19646.82 PRESUPUESTO: SI</v>
      </c>
    </row>
    <row r="721" spans="1:20" ht="30" x14ac:dyDescent="0.25">
      <c r="A721" s="6">
        <f>+A720+1</f>
        <v>714</v>
      </c>
      <c r="B721" s="21">
        <v>45351</v>
      </c>
      <c r="C721" s="107" t="s">
        <v>1885</v>
      </c>
      <c r="D721" s="126" t="s">
        <v>1886</v>
      </c>
      <c r="E721" s="65"/>
      <c r="F721" t="s">
        <v>1643</v>
      </c>
      <c r="G721" s="161">
        <f>MONTH(EJECUTADO[[#This Row],[FECHA]])</f>
        <v>2</v>
      </c>
      <c r="H721" s="163" t="str">
        <f>MID(EJECUTADO[[#This Row],[CUENTA]],1,4)</f>
        <v>E-02</v>
      </c>
      <c r="I721" s="163" t="str">
        <f>INDEX(CATALOGO[Descripción],MATCH(EJECUTADO[[#This Row],[APLICACIÓN]]&amp;"-00-00-00",CATALOGO[Código],0))</f>
        <v>PRESTAMOS BANCARIOS</v>
      </c>
      <c r="J7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721" s="161" t="str">
        <f>IF((EJECUTADO[[#This Row],[MONTO DISPONIBLE ]]-EJECUTADO[[#This Row],[MONTO SOLICITADO]])&gt;=0,"PRESUPUESTO: SI","PRESUPUESTO: NO")</f>
        <v>PRESUPUESTO: SI</v>
      </c>
      <c r="L721" s="162">
        <f>SUMIF(PRESUPUESTO[CUENTA],EJECUTADO[[#This Row],[CUENTA]],PRESUPUESTO[MONTO])-SUMIF($F$1:F720,EJECUTADO[[#This Row],[CUENTA]],$M$1:M720)</f>
        <v>390158.45999999996</v>
      </c>
      <c r="M721" s="2">
        <v>19230.54</v>
      </c>
      <c r="N721" s="2"/>
      <c r="O721" s="2"/>
      <c r="P721" s="162">
        <f>+EJECUTADO[[#This Row],[MONTO SOLICITADO]]-EJECUTADO[[#This Row],[RETENCION IVA]]-EJECUTADO[[#This Row],[RETENCION ISR]]</f>
        <v>19230.54</v>
      </c>
      <c r="Q721" s="2" t="s">
        <v>1000</v>
      </c>
      <c r="R721" s="2"/>
      <c r="S721">
        <v>1</v>
      </c>
      <c r="T721" s="168" t="str">
        <f t="shared" si="22"/>
        <v>PRESTAMOS BANCARIOS - BANCO PROMERICA REF 784005 Disponible $390158.46 Solicitado $19230.54 PRESUPUESTO: SI</v>
      </c>
    </row>
    <row r="722" spans="1:20" x14ac:dyDescent="0.25">
      <c r="A722" s="6">
        <f>+A721+1</f>
        <v>715</v>
      </c>
      <c r="B722" s="21">
        <v>45351</v>
      </c>
      <c r="C722" s="110" t="s">
        <v>1885</v>
      </c>
      <c r="D722" s="126" t="s">
        <v>1887</v>
      </c>
      <c r="E722" s="65"/>
      <c r="F722" t="s">
        <v>1643</v>
      </c>
      <c r="G722" s="161">
        <f>MONTH(EJECUTADO[[#This Row],[FECHA]])</f>
        <v>2</v>
      </c>
      <c r="H722" s="163" t="str">
        <f>MID(EJECUTADO[[#This Row],[CUENTA]],1,4)</f>
        <v>E-02</v>
      </c>
      <c r="I722" s="163" t="str">
        <f>INDEX(CATALOGO[Descripción],MATCH(EJECUTADO[[#This Row],[APLICACIÓN]]&amp;"-00-00-00",CATALOGO[Código],0))</f>
        <v>PRESTAMOS BANCARIOS</v>
      </c>
      <c r="J7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722" s="161" t="str">
        <f>IF((EJECUTADO[[#This Row],[MONTO DISPONIBLE ]]-EJECUTADO[[#This Row],[MONTO SOLICITADO]])&gt;=0,"PRESUPUESTO: SI","PRESUPUESTO: NO")</f>
        <v>PRESUPUESTO: SI</v>
      </c>
      <c r="L722" s="162">
        <f>SUMIF(PRESUPUESTO[CUENTA],EJECUTADO[[#This Row],[CUENTA]],PRESUPUESTO[MONTO])-SUMIF($F$1:F721,EJECUTADO[[#This Row],[CUENTA]],$M$1:M721)</f>
        <v>370927.92</v>
      </c>
      <c r="M722" s="2">
        <v>1226.28</v>
      </c>
      <c r="N722" s="84"/>
      <c r="O722" s="84"/>
      <c r="P722" s="162">
        <f>+EJECUTADO[[#This Row],[MONTO SOLICITADO]]-EJECUTADO[[#This Row],[RETENCION IVA]]-EJECUTADO[[#This Row],[RETENCION ISR]]</f>
        <v>1226.28</v>
      </c>
      <c r="Q722" s="84" t="s">
        <v>1000</v>
      </c>
      <c r="R722" s="84"/>
      <c r="S722">
        <v>1</v>
      </c>
      <c r="T722" s="168" t="str">
        <f t="shared" si="22"/>
        <v>PRESTAMOS BANCARIOS - BANCO PROMERICA REF 784005 Disponible $370927.92 Solicitado $1226.28 PRESUPUESTO: SI</v>
      </c>
    </row>
    <row r="723" spans="1:20" ht="60" x14ac:dyDescent="0.25">
      <c r="A723" s="6">
        <f t="shared" si="23"/>
        <v>716</v>
      </c>
      <c r="B723" s="21">
        <v>45352</v>
      </c>
      <c r="C723" s="109" t="s">
        <v>1512</v>
      </c>
      <c r="D723" s="126" t="s">
        <v>1888</v>
      </c>
      <c r="E723" s="65"/>
      <c r="F723" t="s">
        <v>1889</v>
      </c>
      <c r="G723" s="161">
        <f>MONTH(EJECUTADO[[#This Row],[FECHA]])</f>
        <v>3</v>
      </c>
      <c r="H723" s="163" t="str">
        <f>MID(EJECUTADO[[#This Row],[CUENTA]],1,4)</f>
        <v>E-19</v>
      </c>
      <c r="I723" s="163" t="str">
        <f>INDEX(CATALOGO[Descripción],MATCH(EJECUTADO[[#This Row],[APLICACIÓN]]&amp;"-00-00-00",CATALOGO[Código],0))</f>
        <v>MANTENIMIENTO</v>
      </c>
      <c r="J7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23" s="161" t="str">
        <f>IF((EJECUTADO[[#This Row],[MONTO DISPONIBLE ]]-EJECUTADO[[#This Row],[MONTO SOLICITADO]])&gt;=0,"PRESUPUESTO: SI","PRESUPUESTO: NO")</f>
        <v>PRESUPUESTO: NO</v>
      </c>
      <c r="L723" s="162">
        <f>SUMIF(PRESUPUESTO[CUENTA],EJECUTADO[[#This Row],[CUENTA]],PRESUPUESTO[MONTO])-SUMIF($F$1:F722,EJECUTADO[[#This Row],[CUENTA]],$M$1:M722)</f>
        <v>0</v>
      </c>
      <c r="M723" s="2">
        <v>1703.2</v>
      </c>
      <c r="N723" s="84"/>
      <c r="O723" s="84"/>
      <c r="P723" s="162">
        <f>+EJECUTADO[[#This Row],[MONTO SOLICITADO]]-EJECUTADO[[#This Row],[RETENCION IVA]]-EJECUTADO[[#This Row],[RETENCION ISR]]</f>
        <v>1703.2</v>
      </c>
      <c r="Q723" s="84" t="s">
        <v>1000</v>
      </c>
      <c r="R723" s="84"/>
      <c r="S723">
        <v>1875478</v>
      </c>
      <c r="T723" s="168" t="e">
        <f t="shared" si="22"/>
        <v>#N/A</v>
      </c>
    </row>
    <row r="724" spans="1:20" ht="45" x14ac:dyDescent="0.25">
      <c r="A724" s="6">
        <f t="shared" si="23"/>
        <v>717</v>
      </c>
      <c r="B724" s="21">
        <v>45352</v>
      </c>
      <c r="C724" s="110" t="s">
        <v>1890</v>
      </c>
      <c r="D724" s="126" t="s">
        <v>1891</v>
      </c>
      <c r="E724" s="65"/>
      <c r="F724" t="s">
        <v>1892</v>
      </c>
      <c r="G724" s="161">
        <f>MONTH(EJECUTADO[[#This Row],[FECHA]])</f>
        <v>3</v>
      </c>
      <c r="H724" s="163" t="str">
        <f>MID(EJECUTADO[[#This Row],[CUENTA]],1,4)</f>
        <v>E-31</v>
      </c>
      <c r="I724" s="163" t="str">
        <f>INDEX(CATALOGO[Descripción],MATCH(EJECUTADO[[#This Row],[APLICACIÓN]]&amp;"-00-00-00",CATALOGO[Código],0))</f>
        <v>DONACIONES</v>
      </c>
      <c r="J7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24" s="161" t="str">
        <f>IF((EJECUTADO[[#This Row],[MONTO DISPONIBLE ]]-EJECUTADO[[#This Row],[MONTO SOLICITADO]])&gt;=0,"PRESUPUESTO: SI","PRESUPUESTO: NO")</f>
        <v>PRESUPUESTO: NO</v>
      </c>
      <c r="L724" s="162">
        <f>SUMIF(PRESUPUESTO[CUENTA],EJECUTADO[[#This Row],[CUENTA]],PRESUPUESTO[MONTO])-SUMIF($F$1:F723,EJECUTADO[[#This Row],[CUENTA]],$M$1:M723)</f>
        <v>0</v>
      </c>
      <c r="M724" s="2">
        <v>574.27</v>
      </c>
      <c r="N724" s="84"/>
      <c r="O724" s="84"/>
      <c r="P724" s="162">
        <f>+EJECUTADO[[#This Row],[MONTO SOLICITADO]]-EJECUTADO[[#This Row],[RETENCION IVA]]-EJECUTADO[[#This Row],[RETENCION ISR]]</f>
        <v>574.27</v>
      </c>
      <c r="Q724" s="84" t="s">
        <v>1000</v>
      </c>
      <c r="R724" s="84"/>
      <c r="S724">
        <v>1875477</v>
      </c>
      <c r="T724" s="168" t="e">
        <f t="shared" si="22"/>
        <v>#N/A</v>
      </c>
    </row>
    <row r="725" spans="1:20" ht="45" x14ac:dyDescent="0.25">
      <c r="A725" s="6">
        <f t="shared" si="23"/>
        <v>718</v>
      </c>
      <c r="B725" s="21">
        <v>45352</v>
      </c>
      <c r="C725" s="109" t="s">
        <v>1893</v>
      </c>
      <c r="D725" s="126" t="s">
        <v>1894</v>
      </c>
      <c r="E725" s="65"/>
      <c r="F725" t="s">
        <v>1777</v>
      </c>
      <c r="G725" s="161">
        <f>MONTH(EJECUTADO[[#This Row],[FECHA]])</f>
        <v>3</v>
      </c>
      <c r="H725" s="163" t="str">
        <f>MID(EJECUTADO[[#This Row],[CUENTA]],1,4)</f>
        <v>E-07</v>
      </c>
      <c r="I725" s="163" t="str">
        <f>INDEX(CATALOGO[Descripción],MATCH(EJECUTADO[[#This Row],[APLICACIÓN]]&amp;"-00-00-00",CATALOGO[Código],0))</f>
        <v>SERVICIOS TECNOLOGICOS</v>
      </c>
      <c r="J7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 CUENTA SELECCIONADA NO PERMITE MOVIMIENTO</v>
      </c>
      <c r="K725" s="161" t="str">
        <f>IF((EJECUTADO[[#This Row],[MONTO DISPONIBLE ]]-EJECUTADO[[#This Row],[MONTO SOLICITADO]])&gt;=0,"PRESUPUESTO: SI","PRESUPUESTO: NO")</f>
        <v>PRESUPUESTO: NO</v>
      </c>
      <c r="L725" s="162">
        <f>SUMIF(PRESUPUESTO[CUENTA],EJECUTADO[[#This Row],[CUENTA]],PRESUPUESTO[MONTO])-SUMIF($F$1:F724,EJECUTADO[[#This Row],[CUENTA]],$M$1:M724)</f>
        <v>-3203.83</v>
      </c>
      <c r="M725" s="2">
        <v>11689.85</v>
      </c>
      <c r="N725" s="84"/>
      <c r="O725" s="84"/>
      <c r="P725" s="162">
        <f>+EJECUTADO[[#This Row],[MONTO SOLICITADO]]-EJECUTADO[[#This Row],[RETENCION IVA]]-EJECUTADO[[#This Row],[RETENCION ISR]]</f>
        <v>11689.85</v>
      </c>
      <c r="Q725" s="84" t="s">
        <v>1000</v>
      </c>
      <c r="R725" s="84"/>
      <c r="S725">
        <v>810766</v>
      </c>
      <c r="T725" s="168" t="str">
        <f t="shared" si="22"/>
        <v>SERVICIOS TECNOLOGICOS - LA CUENTA SELECCIONADA NO PERMITE MOVIMIENTO Disponible $-3203.83 Solicitado $11689.85 PRESUPUESTO: NO</v>
      </c>
    </row>
    <row r="726" spans="1:20" ht="45" x14ac:dyDescent="0.25">
      <c r="A726" s="6">
        <f t="shared" si="23"/>
        <v>719</v>
      </c>
      <c r="B726" s="21">
        <v>45352</v>
      </c>
      <c r="C726" s="110" t="s">
        <v>1893</v>
      </c>
      <c r="D726" s="126" t="s">
        <v>1894</v>
      </c>
      <c r="E726" s="65"/>
      <c r="F726" t="s">
        <v>1592</v>
      </c>
      <c r="G726" s="161">
        <f>MONTH(EJECUTADO[[#This Row],[FECHA]])</f>
        <v>3</v>
      </c>
      <c r="H726" s="163" t="str">
        <f>MID(EJECUTADO[[#This Row],[CUENTA]],1,4)</f>
        <v>E-13</v>
      </c>
      <c r="I726" s="163" t="str">
        <f>INDEX(CATALOGO[Descripción],MATCH(EJECUTADO[[#This Row],[APLICACIÓN]]&amp;"-00-00-00",CATALOGO[Código],0))</f>
        <v>MAESTRIAS Y POSTGRADOS</v>
      </c>
      <c r="J7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INTERNET COLUMBUS</v>
      </c>
      <c r="K726" s="161" t="str">
        <f>IF((EJECUTADO[[#This Row],[MONTO DISPONIBLE ]]-EJECUTADO[[#This Row],[MONTO SOLICITADO]])&gt;=0,"PRESUPUESTO: SI","PRESUPUESTO: NO")</f>
        <v>PRESUPUESTO: SI</v>
      </c>
      <c r="L726" s="162">
        <f>SUMIF(PRESUPUESTO[CUENTA],EJECUTADO[[#This Row],[CUENTA]],PRESUPUESTO[MONTO])-SUMIF($F$1:F725,EJECUTADO[[#This Row],[CUENTA]],$M$1:M725)</f>
        <v>28063.75</v>
      </c>
      <c r="M726" s="2">
        <v>2853.25</v>
      </c>
      <c r="N726" s="84"/>
      <c r="O726" s="84"/>
      <c r="P726" s="162">
        <f>+EJECUTADO[[#This Row],[MONTO SOLICITADO]]-EJECUTADO[[#This Row],[RETENCION IVA]]-EJECUTADO[[#This Row],[RETENCION ISR]]</f>
        <v>2853.25</v>
      </c>
      <c r="Q726" s="84" t="s">
        <v>1000</v>
      </c>
      <c r="R726" s="84"/>
      <c r="S726">
        <v>810766</v>
      </c>
      <c r="T726" s="168" t="str">
        <f t="shared" si="22"/>
        <v>MAESTRIAS Y POSTGRADOS - SERVICIO DE INTERNET COLUMBUS Disponible $28063.75 Solicitado $2853.25 PRESUPUESTO: SI</v>
      </c>
    </row>
    <row r="727" spans="1:20" ht="30" x14ac:dyDescent="0.25">
      <c r="A727" s="6">
        <f t="shared" si="23"/>
        <v>720</v>
      </c>
      <c r="B727" s="21">
        <v>45352</v>
      </c>
      <c r="C727" s="109" t="s">
        <v>1895</v>
      </c>
      <c r="D727" s="126" t="s">
        <v>1896</v>
      </c>
      <c r="E727" s="65"/>
      <c r="F727" t="s">
        <v>1126</v>
      </c>
      <c r="G727" s="161">
        <f>MONTH(EJECUTADO[[#This Row],[FECHA]])</f>
        <v>3</v>
      </c>
      <c r="H727" s="163" t="str">
        <f>MID(EJECUTADO[[#This Row],[CUENTA]],1,4)</f>
        <v>E-15</v>
      </c>
      <c r="I727" s="163" t="str">
        <f>INDEX(CATALOGO[Descripción],MATCH(EJECUTADO[[#This Row],[APLICACIÓN]]&amp;"-00-00-00",CATALOGO[Código],0))</f>
        <v>ALQUILERES</v>
      </c>
      <c r="J7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727" s="161" t="str">
        <f>IF((EJECUTADO[[#This Row],[MONTO DISPONIBLE ]]-EJECUTADO[[#This Row],[MONTO SOLICITADO]])&gt;=0,"PRESUPUESTO: SI","PRESUPUESTO: NO")</f>
        <v>PRESUPUESTO: SI</v>
      </c>
      <c r="L727" s="162">
        <f>SUMIF(PRESUPUESTO[CUENTA],EJECUTADO[[#This Row],[CUENTA]],PRESUPUESTO[MONTO])-SUMIF($F$1:F726,EJECUTADO[[#This Row],[CUENTA]],$M$1:M726)</f>
        <v>47000</v>
      </c>
      <c r="M727" s="2">
        <v>1200</v>
      </c>
      <c r="N727" s="84">
        <v>10.62</v>
      </c>
      <c r="O727" s="84">
        <v>106.2</v>
      </c>
      <c r="P727" s="162">
        <f>+EJECUTADO[[#This Row],[MONTO SOLICITADO]]-EJECUTADO[[#This Row],[RETENCION IVA]]-EJECUTADO[[#This Row],[RETENCION ISR]]</f>
        <v>1083.18</v>
      </c>
      <c r="Q727" s="84" t="s">
        <v>1000</v>
      </c>
      <c r="R727" s="84"/>
      <c r="S727">
        <v>1560215</v>
      </c>
      <c r="T727" s="168" t="str">
        <f t="shared" si="22"/>
        <v>ALQUILERES - Alquiler de edificio Thomas Jefferson Disponible $47000 Solicitado $1200 PRESUPUESTO: SI</v>
      </c>
    </row>
    <row r="728" spans="1:20" ht="30" x14ac:dyDescent="0.25">
      <c r="A728" s="6">
        <f t="shared" si="23"/>
        <v>721</v>
      </c>
      <c r="B728" s="21">
        <v>45352</v>
      </c>
      <c r="C728" s="110" t="s">
        <v>1897</v>
      </c>
      <c r="D728" s="126" t="s">
        <v>1898</v>
      </c>
      <c r="E728" s="65"/>
      <c r="F728" t="s">
        <v>1300</v>
      </c>
      <c r="G728" s="161">
        <f>MONTH(EJECUTADO[[#This Row],[FECHA]])</f>
        <v>3</v>
      </c>
      <c r="H728" s="163" t="str">
        <f>MID(EJECUTADO[[#This Row],[CUENTA]],1,4)</f>
        <v>E-18</v>
      </c>
      <c r="I728" s="163" t="str">
        <f>INDEX(CATALOGO[Descripción],MATCH(EJECUTADO[[#This Row],[APLICACIÓN]]&amp;"-00-00-00",CATALOGO[Código],0))</f>
        <v>COMUNICACIÓN INSTITUCIONAL</v>
      </c>
      <c r="J7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Sitio web y redes sociales - Desarrollador y administrador de S. Web (Trend) $ 802.00</v>
      </c>
      <c r="K728" s="161" t="str">
        <f>IF((EJECUTADO[[#This Row],[MONTO DISPONIBLE ]]-EJECUTADO[[#This Row],[MONTO SOLICITADO]])&gt;=0,"PRESUPUESTO: SI","PRESUPUESTO: NO")</f>
        <v>PRESUPUESTO: SI</v>
      </c>
      <c r="L728" s="162">
        <f>SUMIF(PRESUPUESTO[CUENTA],EJECUTADO[[#This Row],[CUENTA]],PRESUPUESTO[MONTO])-SUMIF($F$1:F727,EJECUTADO[[#This Row],[CUENTA]],$M$1:M727)</f>
        <v>8837.7000000000007</v>
      </c>
      <c r="M728" s="2">
        <v>802.3</v>
      </c>
      <c r="N728" s="84"/>
      <c r="O728" s="84"/>
      <c r="P728" s="162">
        <f>+EJECUTADO[[#This Row],[MONTO SOLICITADO]]-EJECUTADO[[#This Row],[RETENCION IVA]]-EJECUTADO[[#This Row],[RETENCION ISR]]</f>
        <v>802.3</v>
      </c>
      <c r="Q728" s="84" t="s">
        <v>1000</v>
      </c>
      <c r="R728" s="84"/>
      <c r="S728">
        <v>1875476</v>
      </c>
      <c r="T728" s="168" t="str">
        <f t="shared" si="22"/>
        <v>COMUNICACIÓN INSTITUCIONAL - Sitio web y redes sociales - Desarrollador y administrador de S. Web (Trend) $ 802.00 Disponible $8837.7 Solicitado $802.3 PRESUPUESTO: SI</v>
      </c>
    </row>
    <row r="729" spans="1:20" ht="30" x14ac:dyDescent="0.25">
      <c r="A729" s="6">
        <f t="shared" si="23"/>
        <v>722</v>
      </c>
      <c r="B729" s="21">
        <v>45352</v>
      </c>
      <c r="C729" s="109" t="s">
        <v>1897</v>
      </c>
      <c r="D729" s="126" t="s">
        <v>1899</v>
      </c>
      <c r="E729" s="65"/>
      <c r="F729" t="s">
        <v>1301</v>
      </c>
      <c r="G729" s="161">
        <f>MONTH(EJECUTADO[[#This Row],[FECHA]])</f>
        <v>3</v>
      </c>
      <c r="H729" s="163" t="str">
        <f>MID(EJECUTADO[[#This Row],[CUENTA]],1,4)</f>
        <v>E-28</v>
      </c>
      <c r="I729" s="163" t="str">
        <f>INDEX(CATALOGO[Descripción],MATCH(EJECUTADO[[#This Row],[APLICACIÓN]]&amp;"-00-00-00",CATALOGO[Código],0))</f>
        <v>INSTITUTO DE GRADUADOS</v>
      </c>
      <c r="J7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Pagina Web Trend $ 339*12</v>
      </c>
      <c r="K729" s="161" t="str">
        <f>IF((EJECUTADO[[#This Row],[MONTO DISPONIBLE ]]-EJECUTADO[[#This Row],[MONTO SOLICITADO]])&gt;=0,"PRESUPUESTO: SI","PRESUPUESTO: NO")</f>
        <v>PRESUPUESTO: SI</v>
      </c>
      <c r="L729" s="162">
        <f>SUMIF(PRESUPUESTO[CUENTA],EJECUTADO[[#This Row],[CUENTA]],PRESUPUESTO[MONTO])-SUMIF($F$1:F728,EJECUTADO[[#This Row],[CUENTA]],$M$1:M728)</f>
        <v>3761</v>
      </c>
      <c r="M729" s="2">
        <v>339</v>
      </c>
      <c r="N729" s="84"/>
      <c r="O729" s="84"/>
      <c r="P729" s="162">
        <f>+EJECUTADO[[#This Row],[MONTO SOLICITADO]]-EJECUTADO[[#This Row],[RETENCION IVA]]-EJECUTADO[[#This Row],[RETENCION ISR]]</f>
        <v>339</v>
      </c>
      <c r="Q729" s="84" t="s">
        <v>1000</v>
      </c>
      <c r="R729" s="84"/>
      <c r="S729">
        <v>1875476</v>
      </c>
      <c r="T729" s="168" t="str">
        <f t="shared" si="22"/>
        <v>INSTITUTO DE GRADUADOS - Pagina Web Trend $ 339*12 Disponible $3761 Solicitado $339 PRESUPUESTO: SI</v>
      </c>
    </row>
    <row r="730" spans="1:20" ht="45" x14ac:dyDescent="0.25">
      <c r="A730" s="6">
        <f t="shared" si="23"/>
        <v>723</v>
      </c>
      <c r="B730" s="21">
        <v>45352</v>
      </c>
      <c r="C730" s="110" t="s">
        <v>1021</v>
      </c>
      <c r="D730" s="126" t="s">
        <v>1900</v>
      </c>
      <c r="E730" s="65"/>
      <c r="F730" t="s">
        <v>1901</v>
      </c>
      <c r="G730" s="161">
        <f>MONTH(EJECUTADO[[#This Row],[FECHA]])</f>
        <v>3</v>
      </c>
      <c r="H730" s="163" t="str">
        <f>MID(EJECUTADO[[#This Row],[CUENTA]],1,4)</f>
        <v>E-12</v>
      </c>
      <c r="I730" s="163" t="str">
        <f>INDEX(CATALOGO[Descripción],MATCH(EJECUTADO[[#This Row],[APLICACIÓN]]&amp;"-00-00-00",CATALOGO[Código],0))</f>
        <v>PROYECCION SOCIAL</v>
      </c>
      <c r="J7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DIFUSION- Boletin informativo 2024</v>
      </c>
      <c r="K730" s="161" t="str">
        <f>IF((EJECUTADO[[#This Row],[MONTO DISPONIBLE ]]-EJECUTADO[[#This Row],[MONTO SOLICITADO]])&gt;=0,"PRESUPUESTO: SI","PRESUPUESTO: NO")</f>
        <v>PRESUPUESTO: SI</v>
      </c>
      <c r="L730" s="162">
        <f>SUMIF(PRESUPUESTO[CUENTA],EJECUTADO[[#This Row],[CUENTA]],PRESUPUESTO[MONTO])-SUMIF($F$1:F729,EJECUTADO[[#This Row],[CUENTA]],$M$1:M729)</f>
        <v>3500</v>
      </c>
      <c r="M730" s="2">
        <v>100</v>
      </c>
      <c r="N730" s="84"/>
      <c r="O730" s="84"/>
      <c r="P730" s="162">
        <f>+EJECUTADO[[#This Row],[MONTO SOLICITADO]]-EJECUTADO[[#This Row],[RETENCION IVA]]-EJECUTADO[[#This Row],[RETENCION ISR]]</f>
        <v>100</v>
      </c>
      <c r="Q730" s="84" t="s">
        <v>1000</v>
      </c>
      <c r="R730" s="84"/>
      <c r="S730">
        <v>1560216</v>
      </c>
      <c r="T730" s="168" t="str">
        <f t="shared" si="22"/>
        <v>PROYECCION SOCIAL - DIFUSION- Boletin informativo 2024 Disponible $3500 Solicitado $100 PRESUPUESTO: SI</v>
      </c>
    </row>
    <row r="731" spans="1:20" ht="45" x14ac:dyDescent="0.25">
      <c r="A731" s="6">
        <f t="shared" si="23"/>
        <v>724</v>
      </c>
      <c r="B731" s="21">
        <v>45352</v>
      </c>
      <c r="C731" s="109" t="s">
        <v>1902</v>
      </c>
      <c r="D731" s="126" t="s">
        <v>1903</v>
      </c>
      <c r="E731" s="65"/>
      <c r="F731" t="s">
        <v>1014</v>
      </c>
      <c r="G731" s="161">
        <f>MONTH(EJECUTADO[[#This Row],[FECHA]])</f>
        <v>3</v>
      </c>
      <c r="H731" s="163" t="str">
        <f>MID(EJECUTADO[[#This Row],[CUENTA]],1,4)</f>
        <v>E-01</v>
      </c>
      <c r="I731" s="163" t="str">
        <f>INDEX(CATALOGO[Descripción],MATCH(EJECUTADO[[#This Row],[APLICACIÓN]]&amp;"-00-00-00",CATALOGO[Código],0))</f>
        <v>SERVICIOS PROFESIONALES</v>
      </c>
      <c r="J7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Corporativa Lic. Medrano   $ 1,509.00 X 12</v>
      </c>
      <c r="K731" s="161" t="str">
        <f>IF((EJECUTADO[[#This Row],[MONTO DISPONIBLE ]]-EJECUTADO[[#This Row],[MONTO SOLICITADO]])&gt;=0,"PRESUPUESTO: SI","PRESUPUESTO: NO")</f>
        <v>PRESUPUESTO: SI</v>
      </c>
      <c r="L731" s="162">
        <f>SUMIF(PRESUPUESTO[CUENTA],EJECUTADO[[#This Row],[CUENTA]],PRESUPUESTO[MONTO])-SUMIF($F$1:F730,EJECUTADO[[#This Row],[CUENTA]],$M$1:M730)</f>
        <v>14053</v>
      </c>
      <c r="M731" s="2">
        <v>1508.5</v>
      </c>
      <c r="N731" s="84"/>
      <c r="O731" s="84"/>
      <c r="P731" s="162">
        <f>+EJECUTADO[[#This Row],[MONTO SOLICITADO]]-EJECUTADO[[#This Row],[RETENCION IVA]]-EJECUTADO[[#This Row],[RETENCION ISR]]</f>
        <v>1508.5</v>
      </c>
      <c r="Q731" s="84" t="s">
        <v>1000</v>
      </c>
      <c r="R731" s="84"/>
      <c r="S731">
        <v>1875473</v>
      </c>
      <c r="T731" s="168" t="str">
        <f t="shared" si="22"/>
        <v>SERVICIOS PROFESIONALES - Asesoria Corporativa Lic. Medrano   $ 1,509.00 X 12 Disponible $14053 Solicitado $1508.5 PRESUPUESTO: SI</v>
      </c>
    </row>
    <row r="732" spans="1:20" ht="45" x14ac:dyDescent="0.25">
      <c r="A732" s="6">
        <f t="shared" si="23"/>
        <v>725</v>
      </c>
      <c r="B732" s="21">
        <v>45352</v>
      </c>
      <c r="C732" s="110" t="s">
        <v>1904</v>
      </c>
      <c r="D732" s="126" t="s">
        <v>1905</v>
      </c>
      <c r="E732" s="65"/>
      <c r="F732" t="s">
        <v>1003</v>
      </c>
      <c r="G732" s="161">
        <f>MONTH(EJECUTADO[[#This Row],[FECHA]])</f>
        <v>3</v>
      </c>
      <c r="H732" s="163" t="str">
        <f>MID(EJECUTADO[[#This Row],[CUENTA]],1,4)</f>
        <v>E-13</v>
      </c>
      <c r="I732" s="163" t="str">
        <f>INDEX(CATALOGO[Descripción],MATCH(EJECUTADO[[#This Row],[APLICACIÓN]]&amp;"-00-00-00",CATALOGO[Código],0))</f>
        <v>MAESTRIAS Y POSTGRADOS</v>
      </c>
      <c r="J7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732" s="161" t="str">
        <f>IF((EJECUTADO[[#This Row],[MONTO DISPONIBLE ]]-EJECUTADO[[#This Row],[MONTO SOLICITADO]])&gt;=0,"PRESUPUESTO: SI","PRESUPUESTO: NO")</f>
        <v>PRESUPUESTO: SI</v>
      </c>
      <c r="L732" s="162">
        <f>SUMIF(PRESUPUESTO[CUENTA],EJECUTADO[[#This Row],[CUENTA]],PRESUPUESTO[MONTO])-SUMIF($F$1:F731,EJECUTADO[[#This Row],[CUENTA]],$M$1:M731)</f>
        <v>2098.4</v>
      </c>
      <c r="M732" s="2">
        <v>130.4</v>
      </c>
      <c r="N732" s="84"/>
      <c r="O732" s="84"/>
      <c r="P732" s="162">
        <f>+EJECUTADO[[#This Row],[MONTO SOLICITADO]]-EJECUTADO[[#This Row],[RETENCION IVA]]-EJECUTADO[[#This Row],[RETENCION ISR]]</f>
        <v>130.4</v>
      </c>
      <c r="Q732" s="84" t="s">
        <v>1000</v>
      </c>
      <c r="R732" s="84"/>
      <c r="S732">
        <v>1875474</v>
      </c>
      <c r="T732" s="168" t="str">
        <f t="shared" si="22"/>
        <v>MAESTRIAS Y POSTGRADOS - MANTENIMIENTO ASENSORES  Disponible $2098.4 Solicitado $130.4 PRESUPUESTO: SI</v>
      </c>
    </row>
    <row r="733" spans="1:20" ht="45" x14ac:dyDescent="0.25">
      <c r="A733" s="6">
        <f t="shared" si="23"/>
        <v>726</v>
      </c>
      <c r="B733" s="21">
        <v>45352</v>
      </c>
      <c r="C733" s="109" t="s">
        <v>1372</v>
      </c>
      <c r="D733" s="126" t="s">
        <v>1906</v>
      </c>
      <c r="E733" s="65"/>
      <c r="F733" t="s">
        <v>1374</v>
      </c>
      <c r="G733" s="161">
        <f>MONTH(EJECUTADO[[#This Row],[FECHA]])</f>
        <v>3</v>
      </c>
      <c r="H733" s="163" t="str">
        <f>MID(EJECUTADO[[#This Row],[CUENTA]],1,4)</f>
        <v>E-19</v>
      </c>
      <c r="I733" s="163" t="str">
        <f>INDEX(CATALOGO[Descripción],MATCH(EJECUTADO[[#This Row],[APLICACIÓN]]&amp;"-00-00-00",CATALOGO[Código],0))</f>
        <v>MANTENIMIENTO</v>
      </c>
      <c r="J7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Materiales Mantenimiento A/A</v>
      </c>
      <c r="K733" s="161" t="str">
        <f>IF((EJECUTADO[[#This Row],[MONTO DISPONIBLE ]]-EJECUTADO[[#This Row],[MONTO SOLICITADO]])&gt;=0,"PRESUPUESTO: SI","PRESUPUESTO: NO")</f>
        <v>PRESUPUESTO: SI</v>
      </c>
      <c r="L733" s="162">
        <f>SUMIF(PRESUPUESTO[CUENTA],EJECUTADO[[#This Row],[CUENTA]],PRESUPUESTO[MONTO])-SUMIF($F$1:F732,EJECUTADO[[#This Row],[CUENTA]],$M$1:M732)</f>
        <v>7560.55</v>
      </c>
      <c r="M733" s="2">
        <v>226.06</v>
      </c>
      <c r="N733" s="84"/>
      <c r="O733" s="84"/>
      <c r="P733" s="162">
        <f>+EJECUTADO[[#This Row],[MONTO SOLICITADO]]-EJECUTADO[[#This Row],[RETENCION IVA]]-EJECUTADO[[#This Row],[RETENCION ISR]]</f>
        <v>226.06</v>
      </c>
      <c r="Q733" s="84" t="s">
        <v>1000</v>
      </c>
      <c r="R733" s="84"/>
      <c r="S733">
        <v>1875475</v>
      </c>
      <c r="T733" s="168" t="str">
        <f t="shared" si="22"/>
        <v>MANTENIMIENTO - Dir. Mantenimiento - Materiales Mantenimiento A/A Disponible $7560.55 Solicitado $226.06 PRESUPUESTO: SI</v>
      </c>
    </row>
    <row r="734" spans="1:20" ht="30" x14ac:dyDescent="0.25">
      <c r="A734" s="6">
        <f t="shared" si="23"/>
        <v>727</v>
      </c>
      <c r="B734" s="21">
        <v>45352</v>
      </c>
      <c r="C734" s="110" t="s">
        <v>1907</v>
      </c>
      <c r="D734" s="126" t="s">
        <v>1769</v>
      </c>
      <c r="E734" s="65"/>
      <c r="F734" t="s">
        <v>1355</v>
      </c>
      <c r="G734" s="161">
        <f>MONTH(EJECUTADO[[#This Row],[FECHA]])</f>
        <v>3</v>
      </c>
      <c r="H734" s="163" t="str">
        <f>MID(EJECUTADO[[#This Row],[CUENTA]],1,4)</f>
        <v>E-19</v>
      </c>
      <c r="I734" s="163" t="str">
        <f>INDEX(CATALOGO[Descripción],MATCH(EJECUTADO[[#This Row],[APLICACIÓN]]&amp;"-00-00-00",CATALOGO[Código],0))</f>
        <v>MANTENIMIENTO</v>
      </c>
      <c r="J73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34" s="161" t="str">
        <f>IF((EJECUTADO[[#This Row],[MONTO DISPONIBLE ]]-EJECUTADO[[#This Row],[MONTO SOLICITADO]])&gt;=0,"PRESUPUESTO: SI","PRESUPUESTO: NO")</f>
        <v>PRESUPUESTO: NO</v>
      </c>
      <c r="L734" s="162">
        <f>SUMIF(PRESUPUESTO[CUENTA],EJECUTADO[[#This Row],[CUENTA]],PRESUPUESTO[MONTO])-SUMIF($F$1:F733,EJECUTADO[[#This Row],[CUENTA]],$M$1:M733)</f>
        <v>-7002.2599999999993</v>
      </c>
      <c r="M734" s="2">
        <v>165.04</v>
      </c>
      <c r="N734" s="84"/>
      <c r="O734" s="84"/>
      <c r="P734" s="162">
        <f>+EJECUTADO[[#This Row],[MONTO SOLICITADO]]-EJECUTADO[[#This Row],[RETENCION IVA]]-EJECUTADO[[#This Row],[RETENCION ISR]]</f>
        <v>165.04</v>
      </c>
      <c r="Q734" s="84" t="s">
        <v>1000</v>
      </c>
      <c r="R734" s="84"/>
      <c r="S734">
        <v>1560213</v>
      </c>
      <c r="T734" s="168" t="e">
        <f t="shared" si="22"/>
        <v>#N/A</v>
      </c>
    </row>
    <row r="735" spans="1:20" ht="30" x14ac:dyDescent="0.25">
      <c r="A735" s="6">
        <f t="shared" si="23"/>
        <v>728</v>
      </c>
      <c r="B735" s="21">
        <v>45352</v>
      </c>
      <c r="C735" s="109" t="s">
        <v>1907</v>
      </c>
      <c r="D735" s="126" t="s">
        <v>1816</v>
      </c>
      <c r="E735" s="65"/>
      <c r="F735" t="s">
        <v>1768</v>
      </c>
      <c r="G735" s="161">
        <f>MONTH(EJECUTADO[[#This Row],[FECHA]])</f>
        <v>3</v>
      </c>
      <c r="H735" s="163" t="str">
        <f>MID(EJECUTADO[[#This Row],[CUENTA]],1,4)</f>
        <v>E-19</v>
      </c>
      <c r="I735" s="163" t="str">
        <f>INDEX(CATALOGO[Descripción],MATCH(EJECUTADO[[#This Row],[APLICACIÓN]]&amp;"-00-00-00",CATALOGO[Código],0))</f>
        <v>MANTENIMIENTO</v>
      </c>
      <c r="J7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735" s="161" t="str">
        <f>IF((EJECUTADO[[#This Row],[MONTO DISPONIBLE ]]-EJECUTADO[[#This Row],[MONTO SOLICITADO]])&gt;=0,"PRESUPUESTO: SI","PRESUPUESTO: NO")</f>
        <v>PRESUPUESTO: SI</v>
      </c>
      <c r="L735" s="162">
        <f>SUMIF(PRESUPUESTO[CUENTA],EJECUTADO[[#This Row],[CUENTA]],PRESUPUESTO[MONTO])-SUMIF($F$1:F734,EJECUTADO[[#This Row],[CUENTA]],$M$1:M734)</f>
        <v>6029.33</v>
      </c>
      <c r="M735" s="2">
        <v>192.48</v>
      </c>
      <c r="N735" s="84"/>
      <c r="O735" s="84"/>
      <c r="P735" s="162">
        <f>+EJECUTADO[[#This Row],[MONTO SOLICITADO]]-EJECUTADO[[#This Row],[RETENCION IVA]]-EJECUTADO[[#This Row],[RETENCION ISR]]</f>
        <v>192.48</v>
      </c>
      <c r="Q735" s="84" t="s">
        <v>1000</v>
      </c>
      <c r="R735" s="84"/>
      <c r="S735">
        <v>1560213</v>
      </c>
      <c r="T735" s="168" t="str">
        <f t="shared" si="22"/>
        <v>MANTENIMIENTO - Dir. Mantenimiento - Materiales para Construcción  Disponible $6029.33 Solicitado $192.48 PRESUPUESTO: SI</v>
      </c>
    </row>
    <row r="736" spans="1:20" ht="30" x14ac:dyDescent="0.25">
      <c r="A736" s="6">
        <f t="shared" si="23"/>
        <v>729</v>
      </c>
      <c r="B736" s="21">
        <v>45352</v>
      </c>
      <c r="C736" s="110" t="s">
        <v>1045</v>
      </c>
      <c r="D736" s="126" t="s">
        <v>1769</v>
      </c>
      <c r="E736" s="65"/>
      <c r="F736" t="s">
        <v>1355</v>
      </c>
      <c r="G736" s="161">
        <f>MONTH(EJECUTADO[[#This Row],[FECHA]])</f>
        <v>3</v>
      </c>
      <c r="H736" s="163" t="str">
        <f>MID(EJECUTADO[[#This Row],[CUENTA]],1,4)</f>
        <v>E-19</v>
      </c>
      <c r="I736" s="163" t="str">
        <f>INDEX(CATALOGO[Descripción],MATCH(EJECUTADO[[#This Row],[APLICACIÓN]]&amp;"-00-00-00",CATALOGO[Código],0))</f>
        <v>MANTENIMIENTO</v>
      </c>
      <c r="J73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36" s="161" t="str">
        <f>IF((EJECUTADO[[#This Row],[MONTO DISPONIBLE ]]-EJECUTADO[[#This Row],[MONTO SOLICITADO]])&gt;=0,"PRESUPUESTO: SI","PRESUPUESTO: NO")</f>
        <v>PRESUPUESTO: NO</v>
      </c>
      <c r="L736" s="162">
        <f>SUMIF(PRESUPUESTO[CUENTA],EJECUTADO[[#This Row],[CUENTA]],PRESUPUESTO[MONTO])-SUMIF($F$1:F735,EJECUTADO[[#This Row],[CUENTA]],$M$1:M735)</f>
        <v>-7167.2999999999993</v>
      </c>
      <c r="M736" s="2">
        <v>14.65</v>
      </c>
      <c r="N736" s="84"/>
      <c r="O736" s="84"/>
      <c r="P736" s="162">
        <f>+EJECUTADO[[#This Row],[MONTO SOLICITADO]]-EJECUTADO[[#This Row],[RETENCION IVA]]-EJECUTADO[[#This Row],[RETENCION ISR]]</f>
        <v>14.65</v>
      </c>
      <c r="Q736" s="84" t="s">
        <v>1000</v>
      </c>
      <c r="R736" s="84"/>
      <c r="S736">
        <v>1560214</v>
      </c>
      <c r="T736" s="168" t="e">
        <f t="shared" si="22"/>
        <v>#N/A</v>
      </c>
    </row>
    <row r="737" spans="1:20" ht="30" x14ac:dyDescent="0.25">
      <c r="A737" s="6">
        <f t="shared" si="23"/>
        <v>730</v>
      </c>
      <c r="B737" s="21">
        <v>45352</v>
      </c>
      <c r="C737" s="109" t="s">
        <v>1045</v>
      </c>
      <c r="D737" s="126" t="s">
        <v>1581</v>
      </c>
      <c r="E737" s="65"/>
      <c r="F737" t="s">
        <v>1582</v>
      </c>
      <c r="G737" s="161">
        <f>MONTH(EJECUTADO[[#This Row],[FECHA]])</f>
        <v>3</v>
      </c>
      <c r="H737" s="163" t="str">
        <f>MID(EJECUTADO[[#This Row],[CUENTA]],1,4)</f>
        <v>E-19</v>
      </c>
      <c r="I737" s="163" t="str">
        <f>INDEX(CATALOGO[Descripción],MATCH(EJECUTADO[[#This Row],[APLICACIÓN]]&amp;"-00-00-00",CATALOGO[Código],0))</f>
        <v>MANTENIMIENTO</v>
      </c>
      <c r="J7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737" s="161" t="str">
        <f>IF((EJECUTADO[[#This Row],[MONTO DISPONIBLE ]]-EJECUTADO[[#This Row],[MONTO SOLICITADO]])&gt;=0,"PRESUPUESTO: SI","PRESUPUESTO: NO")</f>
        <v>PRESUPUESTO: SI</v>
      </c>
      <c r="L737" s="162">
        <f>SUMIF(PRESUPUESTO[CUENTA],EJECUTADO[[#This Row],[CUENTA]],PRESUPUESTO[MONTO])-SUMIF($F$1:F736,EJECUTADO[[#This Row],[CUENTA]],$M$1:M736)</f>
        <v>5345.85</v>
      </c>
      <c r="M737" s="2">
        <v>376</v>
      </c>
      <c r="N737" s="84"/>
      <c r="O737" s="84"/>
      <c r="P737" s="162">
        <f>+EJECUTADO[[#This Row],[MONTO SOLICITADO]]-EJECUTADO[[#This Row],[RETENCION IVA]]-EJECUTADO[[#This Row],[RETENCION ISR]]</f>
        <v>376</v>
      </c>
      <c r="Q737" s="84" t="s">
        <v>1000</v>
      </c>
      <c r="R737" s="84"/>
      <c r="S737">
        <v>1560214</v>
      </c>
      <c r="T737" s="168" t="str">
        <f t="shared" si="22"/>
        <v>MANTENIMIENTO - Dir. Mantenimiento - Materiales Eléctricos  Disponible $5345.85 Solicitado $376 PRESUPUESTO: SI</v>
      </c>
    </row>
    <row r="738" spans="1:20" ht="30" x14ac:dyDescent="0.25">
      <c r="A738" s="6">
        <f t="shared" si="23"/>
        <v>731</v>
      </c>
      <c r="B738" s="21">
        <v>45352</v>
      </c>
      <c r="C738" s="110" t="s">
        <v>1045</v>
      </c>
      <c r="D738" s="126" t="s">
        <v>1908</v>
      </c>
      <c r="E738" s="65"/>
      <c r="F738" t="s">
        <v>1355</v>
      </c>
      <c r="G738" s="161">
        <f>MONTH(EJECUTADO[[#This Row],[FECHA]])</f>
        <v>3</v>
      </c>
      <c r="H738" s="163" t="str">
        <f>MID(EJECUTADO[[#This Row],[CUENTA]],1,4)</f>
        <v>E-19</v>
      </c>
      <c r="I738" s="163" t="str">
        <f>INDEX(CATALOGO[Descripción],MATCH(EJECUTADO[[#This Row],[APLICACIÓN]]&amp;"-00-00-00",CATALOGO[Código],0))</f>
        <v>MANTENIMIENTO</v>
      </c>
      <c r="J73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38" s="161" t="str">
        <f>IF((EJECUTADO[[#This Row],[MONTO DISPONIBLE ]]-EJECUTADO[[#This Row],[MONTO SOLICITADO]])&gt;=0,"PRESUPUESTO: SI","PRESUPUESTO: NO")</f>
        <v>PRESUPUESTO: NO</v>
      </c>
      <c r="L738" s="162">
        <f>SUMIF(PRESUPUESTO[CUENTA],EJECUTADO[[#This Row],[CUENTA]],PRESUPUESTO[MONTO])-SUMIF($F$1:F737,EJECUTADO[[#This Row],[CUENTA]],$M$1:M737)</f>
        <v>-7181.9499999999989</v>
      </c>
      <c r="M738" s="2">
        <v>54.5</v>
      </c>
      <c r="N738" s="84"/>
      <c r="O738" s="84"/>
      <c r="P738" s="162">
        <f>+EJECUTADO[[#This Row],[MONTO SOLICITADO]]-EJECUTADO[[#This Row],[RETENCION IVA]]-EJECUTADO[[#This Row],[RETENCION ISR]]</f>
        <v>54.5</v>
      </c>
      <c r="Q738" s="84" t="s">
        <v>1000</v>
      </c>
      <c r="R738" s="84"/>
      <c r="S738">
        <v>1560214</v>
      </c>
      <c r="T738" s="168" t="e">
        <f t="shared" si="22"/>
        <v>#N/A</v>
      </c>
    </row>
    <row r="739" spans="1:20" ht="30" x14ac:dyDescent="0.25">
      <c r="A739" s="6">
        <f t="shared" si="23"/>
        <v>732</v>
      </c>
      <c r="B739" s="21">
        <v>45352</v>
      </c>
      <c r="C739" s="109" t="s">
        <v>1045</v>
      </c>
      <c r="D739" s="126" t="s">
        <v>1909</v>
      </c>
      <c r="E739" s="65"/>
      <c r="F739" t="s">
        <v>1622</v>
      </c>
      <c r="G739" s="161">
        <f>MONTH(EJECUTADO[[#This Row],[FECHA]])</f>
        <v>3</v>
      </c>
      <c r="H739" s="163" t="str">
        <f>MID(EJECUTADO[[#This Row],[CUENTA]],1,4)</f>
        <v>E-19</v>
      </c>
      <c r="I739" s="163" t="str">
        <f>INDEX(CATALOGO[Descripción],MATCH(EJECUTADO[[#This Row],[APLICACIÓN]]&amp;"-00-00-00",CATALOGO[Código],0))</f>
        <v>MANTENIMIENTO</v>
      </c>
      <c r="J7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Mantenimiento de Jardines</v>
      </c>
      <c r="K739" s="161" t="str">
        <f>IF((EJECUTADO[[#This Row],[MONTO DISPONIBLE ]]-EJECUTADO[[#This Row],[MONTO SOLICITADO]])&gt;=0,"PRESUPUESTO: SI","PRESUPUESTO: NO")</f>
        <v>PRESUPUESTO: SI</v>
      </c>
      <c r="L739" s="162">
        <f>SUMIF(PRESUPUESTO[CUENTA],EJECUTADO[[#This Row],[CUENTA]],PRESUPUESTO[MONTO])-SUMIF($F$1:F738,EJECUTADO[[#This Row],[CUENTA]],$M$1:M738)</f>
        <v>1380</v>
      </c>
      <c r="M739" s="2">
        <v>124.2</v>
      </c>
      <c r="N739" s="84"/>
      <c r="O739" s="84"/>
      <c r="P739" s="162">
        <f>+EJECUTADO[[#This Row],[MONTO SOLICITADO]]-EJECUTADO[[#This Row],[RETENCION IVA]]-EJECUTADO[[#This Row],[RETENCION ISR]]</f>
        <v>124.2</v>
      </c>
      <c r="Q739" s="84" t="s">
        <v>1000</v>
      </c>
      <c r="R739" s="84"/>
      <c r="S739">
        <v>1560214</v>
      </c>
      <c r="T739" s="168" t="str">
        <f t="shared" si="22"/>
        <v>MANTENIMIENTO - Dir. Mantenimiento - Mantenimiento de Jardines Disponible $1380 Solicitado $124.2 PRESUPUESTO: SI</v>
      </c>
    </row>
    <row r="740" spans="1:20" ht="30" x14ac:dyDescent="0.25">
      <c r="A740" s="6">
        <f t="shared" si="23"/>
        <v>733</v>
      </c>
      <c r="B740" s="21">
        <v>45352</v>
      </c>
      <c r="C740" s="110" t="s">
        <v>1045</v>
      </c>
      <c r="D740" s="126" t="s">
        <v>1816</v>
      </c>
      <c r="E740" s="65"/>
      <c r="F740" t="s">
        <v>1768</v>
      </c>
      <c r="G740" s="161">
        <f>MONTH(EJECUTADO[[#This Row],[FECHA]])</f>
        <v>3</v>
      </c>
      <c r="H740" s="163" t="str">
        <f>MID(EJECUTADO[[#This Row],[CUENTA]],1,4)</f>
        <v>E-19</v>
      </c>
      <c r="I740" s="163" t="str">
        <f>INDEX(CATALOGO[Descripción],MATCH(EJECUTADO[[#This Row],[APLICACIÓN]]&amp;"-00-00-00",CATALOGO[Código],0))</f>
        <v>MANTENIMIENTO</v>
      </c>
      <c r="J7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740" s="161" t="str">
        <f>IF((EJECUTADO[[#This Row],[MONTO DISPONIBLE ]]-EJECUTADO[[#This Row],[MONTO SOLICITADO]])&gt;=0,"PRESUPUESTO: SI","PRESUPUESTO: NO")</f>
        <v>PRESUPUESTO: SI</v>
      </c>
      <c r="L740" s="162">
        <f>SUMIF(PRESUPUESTO[CUENTA],EJECUTADO[[#This Row],[CUENTA]],PRESUPUESTO[MONTO])-SUMIF($F$1:F739,EJECUTADO[[#This Row],[CUENTA]],$M$1:M739)</f>
        <v>5836.85</v>
      </c>
      <c r="M740" s="2">
        <v>2.6</v>
      </c>
      <c r="N740" s="84"/>
      <c r="O740" s="84"/>
      <c r="P740" s="162">
        <f>+EJECUTADO[[#This Row],[MONTO SOLICITADO]]-EJECUTADO[[#This Row],[RETENCION IVA]]-EJECUTADO[[#This Row],[RETENCION ISR]]</f>
        <v>2.6</v>
      </c>
      <c r="Q740" s="84" t="s">
        <v>1000</v>
      </c>
      <c r="R740" s="84"/>
      <c r="S740">
        <v>1560214</v>
      </c>
      <c r="T740" s="168" t="str">
        <f t="shared" si="22"/>
        <v>MANTENIMIENTO - Dir. Mantenimiento - Materiales para Construcción  Disponible $5836.85 Solicitado $2.6 PRESUPUESTO: SI</v>
      </c>
    </row>
    <row r="741" spans="1:20" ht="60" x14ac:dyDescent="0.25">
      <c r="A741" s="6">
        <f t="shared" si="23"/>
        <v>734</v>
      </c>
      <c r="B741" s="21">
        <v>45352</v>
      </c>
      <c r="C741" s="109" t="s">
        <v>1045</v>
      </c>
      <c r="D741" s="126" t="s">
        <v>1910</v>
      </c>
      <c r="E741" s="65"/>
      <c r="F741" t="s">
        <v>1911</v>
      </c>
      <c r="G741" s="161">
        <f>MONTH(EJECUTADO[[#This Row],[FECHA]])</f>
        <v>3</v>
      </c>
      <c r="H741" s="163" t="str">
        <f>MID(EJECUTADO[[#This Row],[CUENTA]],1,4)</f>
        <v>E-19</v>
      </c>
      <c r="I741" s="163" t="str">
        <f>INDEX(CATALOGO[Descripción],MATCH(EJECUTADO[[#This Row],[APLICACIÓN]]&amp;"-00-00-00",CATALOGO[Código],0))</f>
        <v>MANTENIMIENTO</v>
      </c>
      <c r="J7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Herramientas (carpinteros, mecánicos, pintores, fontaneros, jardineros, varias)</v>
      </c>
      <c r="K741" s="161" t="str">
        <f>IF((EJECUTADO[[#This Row],[MONTO DISPONIBLE ]]-EJECUTADO[[#This Row],[MONTO SOLICITADO]])&gt;=0,"PRESUPUESTO: SI","PRESUPUESTO: NO")</f>
        <v>PRESUPUESTO: SI</v>
      </c>
      <c r="L741" s="162">
        <f>SUMIF(PRESUPUESTO[CUENTA],EJECUTADO[[#This Row],[CUENTA]],PRESUPUESTO[MONTO])-SUMIF($F$1:F740,EJECUTADO[[#This Row],[CUENTA]],$M$1:M740)</f>
        <v>10000</v>
      </c>
      <c r="M741" s="2">
        <v>124</v>
      </c>
      <c r="N741" s="84"/>
      <c r="O741" s="84"/>
      <c r="P741" s="162">
        <f>+EJECUTADO[[#This Row],[MONTO SOLICITADO]]-EJECUTADO[[#This Row],[RETENCION IVA]]-EJECUTADO[[#This Row],[RETENCION ISR]]</f>
        <v>124</v>
      </c>
      <c r="Q741" s="84" t="s">
        <v>1000</v>
      </c>
      <c r="R741" s="84"/>
      <c r="S741">
        <v>1560214</v>
      </c>
      <c r="T741" s="168" t="str">
        <f t="shared" si="22"/>
        <v>MANTENIMIENTO - Dir. Mantenimiento - Herramientas (carpinteros, mecánicos, pintores, fontaneros, jardineros, varias) Disponible $10000 Solicitado $124 PRESUPUESTO: SI</v>
      </c>
    </row>
    <row r="742" spans="1:20" ht="30" x14ac:dyDescent="0.25">
      <c r="A742" s="6">
        <f t="shared" si="23"/>
        <v>735</v>
      </c>
      <c r="B742" s="21">
        <v>45352</v>
      </c>
      <c r="C742" s="110" t="s">
        <v>1045</v>
      </c>
      <c r="D742" s="126" t="s">
        <v>1912</v>
      </c>
      <c r="E742" s="65"/>
      <c r="F742" t="s">
        <v>1911</v>
      </c>
      <c r="G742" s="161">
        <f>MONTH(EJECUTADO[[#This Row],[FECHA]])</f>
        <v>3</v>
      </c>
      <c r="H742" s="163" t="str">
        <f>MID(EJECUTADO[[#This Row],[CUENTA]],1,4)</f>
        <v>E-19</v>
      </c>
      <c r="I742" s="163" t="str">
        <f>INDEX(CATALOGO[Descripción],MATCH(EJECUTADO[[#This Row],[APLICACIÓN]]&amp;"-00-00-00",CATALOGO[Código],0))</f>
        <v>MANTENIMIENTO</v>
      </c>
      <c r="J7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Herramientas (carpinteros, mecánicos, pintores, fontaneros, jardineros, varias)</v>
      </c>
      <c r="K742" s="161" t="str">
        <f>IF((EJECUTADO[[#This Row],[MONTO DISPONIBLE ]]-EJECUTADO[[#This Row],[MONTO SOLICITADO]])&gt;=0,"PRESUPUESTO: SI","PRESUPUESTO: NO")</f>
        <v>PRESUPUESTO: SI</v>
      </c>
      <c r="L742" s="162">
        <f>SUMIF(PRESUPUESTO[CUENTA],EJECUTADO[[#This Row],[CUENTA]],PRESUPUESTO[MONTO])-SUMIF($F$1:F741,EJECUTADO[[#This Row],[CUENTA]],$M$1:M741)</f>
        <v>9876</v>
      </c>
      <c r="M742" s="2">
        <v>164</v>
      </c>
      <c r="N742" s="84"/>
      <c r="O742" s="84"/>
      <c r="P742" s="162">
        <f>+EJECUTADO[[#This Row],[MONTO SOLICITADO]]-EJECUTADO[[#This Row],[RETENCION IVA]]-EJECUTADO[[#This Row],[RETENCION ISR]]</f>
        <v>164</v>
      </c>
      <c r="Q742" s="84" t="s">
        <v>1000</v>
      </c>
      <c r="R742" s="84"/>
      <c r="S742">
        <v>1560214</v>
      </c>
      <c r="T742" s="168" t="str">
        <f t="shared" si="22"/>
        <v>MANTENIMIENTO - Dir. Mantenimiento - Herramientas (carpinteros, mecánicos, pintores, fontaneros, jardineros, varias) Disponible $9876 Solicitado $164 PRESUPUESTO: SI</v>
      </c>
    </row>
    <row r="743" spans="1:20" ht="45" x14ac:dyDescent="0.25">
      <c r="A743" s="130">
        <f t="shared" si="23"/>
        <v>736</v>
      </c>
      <c r="B743" s="111">
        <v>45352</v>
      </c>
      <c r="C743" s="131" t="s">
        <v>1045</v>
      </c>
      <c r="D743" s="132" t="s">
        <v>324</v>
      </c>
      <c r="E743" s="133"/>
      <c r="F743" s="68" t="s">
        <v>1058</v>
      </c>
      <c r="G743" s="161">
        <f>MONTH(EJECUTADO[[#This Row],[FECHA]])</f>
        <v>3</v>
      </c>
      <c r="H743" s="163" t="str">
        <f>MID(EJECUTADO[[#This Row],[CUENTA]],1,4)</f>
        <v>E-13</v>
      </c>
      <c r="I743" s="163" t="str">
        <f>INDEX(CATALOGO[Descripción],MATCH(EJECUTADO[[#This Row],[APLICACIÓN]]&amp;"-00-00-00",CATALOGO[Código],0))</f>
        <v>MAESTRIAS Y POSTGRADOS</v>
      </c>
      <c r="J7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AIRE ACONDICIONADO </v>
      </c>
      <c r="K743" s="161" t="str">
        <f>IF((EJECUTADO[[#This Row],[MONTO DISPONIBLE ]]-EJECUTADO[[#This Row],[MONTO SOLICITADO]])&gt;=0,"PRESUPUESTO: SI","PRESUPUESTO: NO")</f>
        <v>PRESUPUESTO: SI</v>
      </c>
      <c r="L743" s="162">
        <f>SUMIF(PRESUPUESTO[CUENTA],EJECUTADO[[#This Row],[CUENTA]],PRESUPUESTO[MONTO])-SUMIF($F$1:F742,EJECUTADO[[#This Row],[CUENTA]],$M$1:M742)</f>
        <v>820</v>
      </c>
      <c r="M743" s="69">
        <v>152.65</v>
      </c>
      <c r="N743" s="84"/>
      <c r="O743" s="84"/>
      <c r="P743" s="162">
        <f>+EJECUTADO[[#This Row],[MONTO SOLICITADO]]-EJECUTADO[[#This Row],[RETENCION IVA]]-EJECUTADO[[#This Row],[RETENCION ISR]]</f>
        <v>152.65</v>
      </c>
      <c r="Q743" s="84" t="s">
        <v>1000</v>
      </c>
      <c r="R743" s="84"/>
      <c r="S743">
        <v>1560214</v>
      </c>
      <c r="T743" s="168" t="str">
        <f t="shared" si="22"/>
        <v>MAESTRIAS Y POSTGRADOS - MANTENIMIENTO AIRE ACONDICIONADO  Disponible $820 Solicitado $152.65 PRESUPUESTO: SI</v>
      </c>
    </row>
    <row r="744" spans="1:20" ht="90" x14ac:dyDescent="0.25">
      <c r="A744" s="6">
        <f t="shared" si="23"/>
        <v>737</v>
      </c>
      <c r="B744" s="21">
        <v>45352</v>
      </c>
      <c r="C744" s="110" t="s">
        <v>1913</v>
      </c>
      <c r="D744" s="126" t="s">
        <v>1914</v>
      </c>
      <c r="E744" s="65" t="s">
        <v>1915</v>
      </c>
      <c r="F744" t="s">
        <v>1916</v>
      </c>
      <c r="G744" s="161">
        <f>MONTH(EJECUTADO[[#This Row],[FECHA]])</f>
        <v>3</v>
      </c>
      <c r="H744" s="163" t="str">
        <f>MID(EJECUTADO[[#This Row],[CUENTA]],1,4)</f>
        <v>E-25</v>
      </c>
      <c r="I744" s="163" t="str">
        <f>INDEX(CATALOGO[Descripción],MATCH(EJECUTADO[[#This Row],[APLICACIÓN]]&amp;"-00-00-00",CATALOGO[Código],0))</f>
        <v>DECANATO DE ESTUDIANTES</v>
      </c>
      <c r="J7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Implementos deportivos</v>
      </c>
      <c r="K744" s="161" t="str">
        <f>IF((EJECUTADO[[#This Row],[MONTO DISPONIBLE ]]-EJECUTADO[[#This Row],[MONTO SOLICITADO]])&gt;=0,"PRESUPUESTO: SI","PRESUPUESTO: NO")</f>
        <v>PRESUPUESTO: SI</v>
      </c>
      <c r="L744" s="162">
        <f>SUMIF(PRESUPUESTO[CUENTA],EJECUTADO[[#This Row],[CUENTA]],PRESUPUESTO[MONTO])-SUMIF($F$1:F743,EJECUTADO[[#This Row],[CUENTA]],$M$1:M743)</f>
        <v>4500</v>
      </c>
      <c r="M744" s="2">
        <v>3772.21</v>
      </c>
      <c r="N744" s="84">
        <v>33.39</v>
      </c>
      <c r="O744" s="84"/>
      <c r="P744" s="162">
        <f>+EJECUTADO[[#This Row],[MONTO SOLICITADO]]-EJECUTADO[[#This Row],[RETENCION IVA]]-EJECUTADO[[#This Row],[RETENCION ISR]]</f>
        <v>3738.82</v>
      </c>
      <c r="Q744" s="84" t="s">
        <v>1554</v>
      </c>
      <c r="R744" s="84"/>
      <c r="S744">
        <v>3239</v>
      </c>
      <c r="T744" s="168" t="str">
        <f t="shared" si="22"/>
        <v>DECANATO DE ESTUDIANTES - U. recreación y deportes - Implementos deportivos Disponible $4500 Solicitado $3772.21 PRESUPUESTO: SI</v>
      </c>
    </row>
    <row r="745" spans="1:20" ht="45" x14ac:dyDescent="0.25">
      <c r="A745" s="6">
        <f t="shared" si="23"/>
        <v>738</v>
      </c>
      <c r="B745" s="21">
        <v>45349</v>
      </c>
      <c r="C745" s="126" t="s">
        <v>1917</v>
      </c>
      <c r="D745" s="65" t="s">
        <v>1918</v>
      </c>
      <c r="E745" s="65" t="s">
        <v>1919</v>
      </c>
      <c r="F745" t="s">
        <v>1099</v>
      </c>
      <c r="G745" s="161">
        <f>MONTH(EJECUTADO[[#This Row],[FECHA]])</f>
        <v>2</v>
      </c>
      <c r="H745" s="163" t="str">
        <f>MID(EJECUTADO[[#This Row],[CUENTA]],1,4)</f>
        <v>E-01</v>
      </c>
      <c r="I745" s="163" t="str">
        <f>INDEX(CATALOGO[Descripción],MATCH(EJECUTADO[[#This Row],[APLICACIÓN]]&amp;"-00-00-00",CATALOGO[Código],0))</f>
        <v>SERVICIOS PROFESIONALES</v>
      </c>
      <c r="J7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Soporte  equipo Didáctica $ 10,000.00</v>
      </c>
      <c r="K745" s="161" t="str">
        <f>IF((EJECUTADO[[#This Row],[MONTO DISPONIBLE ]]-EJECUTADO[[#This Row],[MONTO SOLICITADO]])&gt;=0,"PRESUPUESTO: SI","PRESUPUESTO: NO")</f>
        <v>PRESUPUESTO: SI</v>
      </c>
      <c r="L745" s="162">
        <f>SUMIF(PRESUPUESTO[CUENTA],EJECUTADO[[#This Row],[CUENTA]],PRESUPUESTO[MONTO])-SUMIF($F$1:F744,EJECUTADO[[#This Row],[CUENTA]],$M$1:M744)</f>
        <v>110000</v>
      </c>
      <c r="M745" s="2">
        <v>10000</v>
      </c>
      <c r="N745" s="84">
        <v>88.5</v>
      </c>
      <c r="O745" s="84"/>
      <c r="P745" s="162">
        <f>+EJECUTADO[[#This Row],[MONTO SOLICITADO]]-EJECUTADO[[#This Row],[RETENCION IVA]]-EJECUTADO[[#This Row],[RETENCION ISR]]</f>
        <v>9911.5</v>
      </c>
      <c r="Q745" s="84" t="s">
        <v>1920</v>
      </c>
      <c r="R745" s="84"/>
      <c r="S745">
        <v>1875497</v>
      </c>
      <c r="T745" s="168" t="str">
        <f t="shared" si="22"/>
        <v>SERVICIOS PROFESIONALES - Honorarios Soporte  equipo Didáctica $ 10,000.00 Disponible $110000 Solicitado $10000 PRESUPUESTO: SI</v>
      </c>
    </row>
    <row r="746" spans="1:20" ht="60" x14ac:dyDescent="0.25">
      <c r="A746" s="6">
        <f t="shared" si="23"/>
        <v>739</v>
      </c>
      <c r="B746" s="21">
        <v>45355</v>
      </c>
      <c r="C746" s="126" t="s">
        <v>1714</v>
      </c>
      <c r="D746" s="65" t="s">
        <v>1921</v>
      </c>
      <c r="E746" s="65" t="s">
        <v>1915</v>
      </c>
      <c r="F746" s="37" t="s">
        <v>1154</v>
      </c>
      <c r="G746" s="161">
        <f>MONTH(EJECUTADO[[#This Row],[FECHA]])</f>
        <v>3</v>
      </c>
      <c r="H746" s="163" t="str">
        <f>MID(EJECUTADO[[#This Row],[CUENTA]],1,4)</f>
        <v>E-09</v>
      </c>
      <c r="I746" s="163" t="str">
        <f>INDEX(CATALOGO[Descripción],MATCH(EJECUTADO[[#This Row],[APLICACIÓN]]&amp;"-00-00-00",CATALOGO[Código],0))</f>
        <v>PRESTACIONES AL PERSONAL</v>
      </c>
      <c r="J7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746" s="161" t="str">
        <f>IF((EJECUTADO[[#This Row],[MONTO DISPONIBLE ]]-EJECUTADO[[#This Row],[MONTO SOLICITADO]])&gt;=0,"PRESUPUESTO: SI","PRESUPUESTO: NO")</f>
        <v>PRESUPUESTO: SI</v>
      </c>
      <c r="L746" s="162">
        <f>SUMIF(PRESUPUESTO[CUENTA],EJECUTADO[[#This Row],[CUENTA]],PRESUPUESTO[MONTO])-SUMIF($F$1:F745,EJECUTADO[[#This Row],[CUENTA]],$M$1:M745)</f>
        <v>193655.48</v>
      </c>
      <c r="M746" s="2">
        <v>1136.5999999999999</v>
      </c>
      <c r="N746" s="84"/>
      <c r="O746" s="84"/>
      <c r="P746" s="162">
        <f>+EJECUTADO[[#This Row],[MONTO SOLICITADO]]-EJECUTADO[[#This Row],[RETENCION IVA]]-EJECUTADO[[#This Row],[RETENCION ISR]]</f>
        <v>1136.5999999999999</v>
      </c>
      <c r="Q746" s="84" t="s">
        <v>1786</v>
      </c>
      <c r="R746" s="84"/>
      <c r="S746">
        <v>3230</v>
      </c>
      <c r="T746" s="168" t="str">
        <f t="shared" si="22"/>
        <v>PRESTACIONES AL PERSONAL - GASTOS MÉDICOS  Disponible $193655.48 Solicitado $1136.6 PRESUPUESTO: SI</v>
      </c>
    </row>
    <row r="747" spans="1:20" ht="60" x14ac:dyDescent="0.25">
      <c r="A747" s="6">
        <f t="shared" si="23"/>
        <v>740</v>
      </c>
      <c r="B747" s="21">
        <v>45355</v>
      </c>
      <c r="C747" s="127" t="s">
        <v>1922</v>
      </c>
      <c r="D747" s="127" t="s">
        <v>1923</v>
      </c>
      <c r="E747" s="65" t="s">
        <v>1915</v>
      </c>
      <c r="F747" s="37" t="s">
        <v>1924</v>
      </c>
      <c r="G747" s="161">
        <f>MONTH(EJECUTADO[[#This Row],[FECHA]])</f>
        <v>3</v>
      </c>
      <c r="H747" s="163" t="str">
        <f>MID(EJECUTADO[[#This Row],[CUENTA]],1,4)</f>
        <v>I-01</v>
      </c>
      <c r="I747" s="163" t="str">
        <f>INDEX(CATALOGO[Descripción],MATCH(EJECUTADO[[#This Row],[APLICACIÓN]]&amp;"-00-00-00",CATALOGO[Código],0))</f>
        <v>CUOTAS DE ENSEÑANZA</v>
      </c>
      <c r="J7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FCCE PREGRADO</v>
      </c>
      <c r="K747" s="161" t="str">
        <f>IF((EJECUTADO[[#This Row],[MONTO DISPONIBLE ]]-EJECUTADO[[#This Row],[MONTO SOLICITADO]])&gt;=0,"PRESUPUESTO: SI","PRESUPUESTO: NO")</f>
        <v>PRESUPUESTO: SI</v>
      </c>
      <c r="L747" s="162">
        <f>SUMIF(PRESUPUESTO[CUENTA],EJECUTADO[[#This Row],[CUENTA]],PRESUPUESTO[MONTO])-SUMIF($F$1:F746,EJECUTADO[[#This Row],[CUENTA]],$M$1:M746)</f>
        <v>4404471.99</v>
      </c>
      <c r="M747" s="2">
        <v>35</v>
      </c>
      <c r="N747" s="84"/>
      <c r="O747" s="84">
        <v>3.5</v>
      </c>
      <c r="P747" s="162">
        <f>+EJECUTADO[[#This Row],[MONTO SOLICITADO]]-EJECUTADO[[#This Row],[RETENCION IVA]]-EJECUTADO[[#This Row],[RETENCION ISR]]</f>
        <v>31.5</v>
      </c>
      <c r="Q747" s="84" t="s">
        <v>1786</v>
      </c>
      <c r="R747" s="84"/>
      <c r="S747" s="112">
        <v>3231</v>
      </c>
      <c r="T747" s="168" t="str">
        <f t="shared" si="22"/>
        <v>CUOTAS DE ENSEÑANZA - CUOTAS FCCE PREGRADO Disponible $4404471.99 Solicitado $35 PRESUPUESTO: SI</v>
      </c>
    </row>
    <row r="748" spans="1:20" ht="30" x14ac:dyDescent="0.25">
      <c r="A748" s="6">
        <f t="shared" si="23"/>
        <v>741</v>
      </c>
      <c r="B748" s="21">
        <v>45355</v>
      </c>
      <c r="C748" s="126" t="s">
        <v>1925</v>
      </c>
      <c r="D748" s="65" t="s">
        <v>1926</v>
      </c>
      <c r="E748" s="65" t="s">
        <v>1927</v>
      </c>
      <c r="F748" t="s">
        <v>1112</v>
      </c>
      <c r="G748" s="161">
        <f>MONTH(EJECUTADO[[#This Row],[FECHA]])</f>
        <v>3</v>
      </c>
      <c r="H748" s="163" t="str">
        <f>MID(EJECUTADO[[#This Row],[CUENTA]],1,4)</f>
        <v>E-18</v>
      </c>
      <c r="I748" s="163" t="str">
        <f>INDEX(CATALOGO[Descripción],MATCH(EJECUTADO[[#This Row],[APLICACIÓN]]&amp;"-00-00-00",CATALOGO[Código],0))</f>
        <v>COMUNICACIÓN INSTITUCIONAL</v>
      </c>
      <c r="J7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Rotulación interna</v>
      </c>
      <c r="K748" s="161" t="str">
        <f>IF((EJECUTADO[[#This Row],[MONTO DISPONIBLE ]]-EJECUTADO[[#This Row],[MONTO SOLICITADO]])&gt;=0,"PRESUPUESTO: SI","PRESUPUESTO: NO")</f>
        <v>PRESUPUESTO: SI</v>
      </c>
      <c r="L748" s="162">
        <f>SUMIF(PRESUPUESTO[CUENTA],EJECUTADO[[#This Row],[CUENTA]],PRESUPUESTO[MONTO])-SUMIF($F$1:F747,EJECUTADO[[#This Row],[CUENTA]],$M$1:M747)</f>
        <v>14740</v>
      </c>
      <c r="M748" s="2">
        <v>9869.1</v>
      </c>
      <c r="N748" s="84"/>
      <c r="O748" s="84"/>
      <c r="P748" s="162">
        <f>+EJECUTADO[[#This Row],[MONTO SOLICITADO]]-EJECUTADO[[#This Row],[RETENCION IVA]]-EJECUTADO[[#This Row],[RETENCION ISR]]</f>
        <v>9869.1</v>
      </c>
      <c r="Q748" s="84" t="s">
        <v>1786</v>
      </c>
      <c r="R748" s="84"/>
      <c r="S748" s="112">
        <v>810763</v>
      </c>
      <c r="T748" s="168" t="str">
        <f t="shared" si="22"/>
        <v>COMUNICACIÓN INSTITUCIONAL - Com. Interna - Rotulación interna Disponible $14740 Solicitado $9869.1 PRESUPUESTO: SI</v>
      </c>
    </row>
    <row r="749" spans="1:20" ht="75" x14ac:dyDescent="0.25">
      <c r="A749" s="6">
        <f t="shared" si="23"/>
        <v>742</v>
      </c>
      <c r="B749" s="21">
        <v>45355</v>
      </c>
      <c r="C749" s="126" t="s">
        <v>1130</v>
      </c>
      <c r="D749" s="65" t="s">
        <v>1928</v>
      </c>
      <c r="E749" s="65" t="s">
        <v>1915</v>
      </c>
      <c r="F749" t="s">
        <v>1929</v>
      </c>
      <c r="G749" s="161">
        <f>MONTH(EJECUTADO[[#This Row],[FECHA]])</f>
        <v>3</v>
      </c>
      <c r="H749" s="163" t="str">
        <f>MID(EJECUTADO[[#This Row],[CUENTA]],1,4)</f>
        <v>E-09</v>
      </c>
      <c r="I749" s="163" t="str">
        <f>INDEX(CATALOGO[Descripción],MATCH(EJECUTADO[[#This Row],[APLICACIÓN]]&amp;"-00-00-00",CATALOGO[Código],0))</f>
        <v>PRESTACIONES AL PERSONAL</v>
      </c>
      <c r="J7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SEGUROS DE VEHICULO Y VIVIENDA FUNCIONARIOS</v>
      </c>
      <c r="K749" s="161" t="str">
        <f>IF((EJECUTADO[[#This Row],[MONTO DISPONIBLE ]]-EJECUTADO[[#This Row],[MONTO SOLICITADO]])&gt;=0,"PRESUPUESTO: SI","PRESUPUESTO: NO")</f>
        <v>PRESUPUESTO: SI</v>
      </c>
      <c r="L749" s="162">
        <f>SUMIF(PRESUPUESTO[CUENTA],EJECUTADO[[#This Row],[CUENTA]],PRESUPUESTO[MONTO])-SUMIF($F$1:F748,EJECUTADO[[#This Row],[CUENTA]],$M$1:M748)</f>
        <v>2100</v>
      </c>
      <c r="M749" s="2">
        <v>532.16</v>
      </c>
      <c r="N749" s="84"/>
      <c r="O749" s="84"/>
      <c r="P749" s="162">
        <f>+EJECUTADO[[#This Row],[MONTO SOLICITADO]]-EJECUTADO[[#This Row],[RETENCION IVA]]-EJECUTADO[[#This Row],[RETENCION ISR]]</f>
        <v>532.16</v>
      </c>
      <c r="Q749" s="84" t="s">
        <v>1930</v>
      </c>
      <c r="R749" s="84"/>
      <c r="S749" s="112">
        <v>3236</v>
      </c>
      <c r="T749" s="168" t="str">
        <f t="shared" si="22"/>
        <v>PRESTACIONES AL PERSONAL - SEGUROS DE VEHICULO Y VIVIENDA FUNCIONARIOS Disponible $2100 Solicitado $532.16 PRESUPUESTO: SI</v>
      </c>
    </row>
    <row r="750" spans="1:20" ht="75" x14ac:dyDescent="0.25">
      <c r="A750" s="6">
        <f t="shared" si="23"/>
        <v>743</v>
      </c>
      <c r="B750" s="21">
        <v>45355</v>
      </c>
      <c r="C750" s="126" t="s">
        <v>1738</v>
      </c>
      <c r="D750" s="65" t="s">
        <v>1931</v>
      </c>
      <c r="E750" s="65" t="s">
        <v>1915</v>
      </c>
      <c r="F750" s="37" t="s">
        <v>1929</v>
      </c>
      <c r="G750" s="161">
        <f>MONTH(EJECUTADO[[#This Row],[FECHA]])</f>
        <v>3</v>
      </c>
      <c r="H750" s="163" t="str">
        <f>MID(EJECUTADO[[#This Row],[CUENTA]],1,4)</f>
        <v>E-09</v>
      </c>
      <c r="I750" s="163" t="str">
        <f>INDEX(CATALOGO[Descripción],MATCH(EJECUTADO[[#This Row],[APLICACIÓN]]&amp;"-00-00-00",CATALOGO[Código],0))</f>
        <v>PRESTACIONES AL PERSONAL</v>
      </c>
      <c r="J7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SEGUROS DE VEHICULO Y VIVIENDA FUNCIONARIOS</v>
      </c>
      <c r="K750" s="161" t="str">
        <f>IF((EJECUTADO[[#This Row],[MONTO DISPONIBLE ]]-EJECUTADO[[#This Row],[MONTO SOLICITADO]])&gt;=0,"PRESUPUESTO: SI","PRESUPUESTO: NO")</f>
        <v>PRESUPUESTO: SI</v>
      </c>
      <c r="L750" s="162">
        <f>SUMIF(PRESUPUESTO[CUENTA],EJECUTADO[[#This Row],[CUENTA]],PRESUPUESTO[MONTO])-SUMIF($F$1:F749,EJECUTADO[[#This Row],[CUENTA]],$M$1:M749)</f>
        <v>1567.8400000000001</v>
      </c>
      <c r="M750" s="2">
        <v>1382</v>
      </c>
      <c r="N750" s="84"/>
      <c r="O750" s="84"/>
      <c r="P750" s="162">
        <f>+EJECUTADO[[#This Row],[MONTO SOLICITADO]]-EJECUTADO[[#This Row],[RETENCION IVA]]-EJECUTADO[[#This Row],[RETENCION ISR]]</f>
        <v>1382</v>
      </c>
      <c r="Q750" s="84" t="s">
        <v>1930</v>
      </c>
      <c r="R750" s="84"/>
      <c r="S750" s="112">
        <v>3235</v>
      </c>
      <c r="T750" s="168" t="str">
        <f t="shared" si="22"/>
        <v>PRESTACIONES AL PERSONAL - SEGUROS DE VEHICULO Y VIVIENDA FUNCIONARIOS Disponible $1567.84 Solicitado $1382 PRESUPUESTO: SI</v>
      </c>
    </row>
    <row r="751" spans="1:20" ht="60" x14ac:dyDescent="0.25">
      <c r="A751" s="6">
        <f t="shared" si="23"/>
        <v>744</v>
      </c>
      <c r="B751" s="21">
        <v>45349</v>
      </c>
      <c r="C751" s="126" t="s">
        <v>1932</v>
      </c>
      <c r="D751" s="127" t="s">
        <v>1933</v>
      </c>
      <c r="E751" s="65" t="s">
        <v>1934</v>
      </c>
      <c r="F751" t="s">
        <v>1101</v>
      </c>
      <c r="G751" s="161">
        <f>MONTH(EJECUTADO[[#This Row],[FECHA]])</f>
        <v>2</v>
      </c>
      <c r="H751" s="163" t="str">
        <f>MID(EJECUTADO[[#This Row],[CUENTA]],1,4)</f>
        <v>E-07</v>
      </c>
      <c r="I751" s="163" t="str">
        <f>INDEX(CATALOGO[Descripción],MATCH(EJECUTADO[[#This Row],[APLICACIÓN]]&amp;"-00-00-00",CATALOGO[Código],0))</f>
        <v>SERVICIOS TECNOLOGICOS</v>
      </c>
      <c r="J7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Proyecto de AZURE BACKUP Y AZURE SITERECOVERY </v>
      </c>
      <c r="K751" s="161" t="str">
        <f>IF((EJECUTADO[[#This Row],[MONTO DISPONIBLE ]]-EJECUTADO[[#This Row],[MONTO SOLICITADO]])&gt;=0,"PRESUPUESTO: SI","PRESUPUESTO: NO")</f>
        <v>PRESUPUESTO: SI</v>
      </c>
      <c r="L751" s="162">
        <f>SUMIF(PRESUPUESTO[CUENTA],EJECUTADO[[#This Row],[CUENTA]],PRESUPUESTO[MONTO])-SUMIF($F$1:F750,EJECUTADO[[#This Row],[CUENTA]],$M$1:M750)</f>
        <v>94545</v>
      </c>
      <c r="M751" s="2">
        <v>8595</v>
      </c>
      <c r="N751" s="84">
        <v>76.06</v>
      </c>
      <c r="O751" s="84"/>
      <c r="P751" s="162">
        <f>+EJECUTADO[[#This Row],[MONTO SOLICITADO]]-EJECUTADO[[#This Row],[RETENCION IVA]]-EJECUTADO[[#This Row],[RETENCION ISR]]</f>
        <v>8518.94</v>
      </c>
      <c r="Q751" s="84" t="s">
        <v>1920</v>
      </c>
      <c r="R751" s="84"/>
      <c r="S751">
        <v>1875497</v>
      </c>
      <c r="T751" s="168" t="str">
        <f t="shared" si="22"/>
        <v>SERVICIOS TECNOLOGICOS - Proyecto de AZURE BACKUP Y AZURE SITERECOVERY  Disponible $94545 Solicitado $8595 PRESUPUESTO: SI</v>
      </c>
    </row>
    <row r="752" spans="1:20" ht="60" x14ac:dyDescent="0.25">
      <c r="A752" s="6">
        <f t="shared" si="23"/>
        <v>745</v>
      </c>
      <c r="B752" s="21">
        <v>45355</v>
      </c>
      <c r="C752" s="126" t="s">
        <v>1935</v>
      </c>
      <c r="D752" s="127" t="s">
        <v>1923</v>
      </c>
      <c r="E752" s="65" t="s">
        <v>1915</v>
      </c>
      <c r="F752" s="37" t="s">
        <v>1924</v>
      </c>
      <c r="G752" s="161">
        <f>MONTH(EJECUTADO[[#This Row],[FECHA]])</f>
        <v>3</v>
      </c>
      <c r="H752" s="163" t="str">
        <f>MID(EJECUTADO[[#This Row],[CUENTA]],1,4)</f>
        <v>I-01</v>
      </c>
      <c r="I752" s="163" t="str">
        <f>INDEX(CATALOGO[Descripción],MATCH(EJECUTADO[[#This Row],[APLICACIÓN]]&amp;"-00-00-00",CATALOGO[Código],0))</f>
        <v>CUOTAS DE ENSEÑANZA</v>
      </c>
      <c r="J7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FCCE PREGRADO</v>
      </c>
      <c r="K752" s="161" t="str">
        <f>IF((EJECUTADO[[#This Row],[MONTO DISPONIBLE ]]-EJECUTADO[[#This Row],[MONTO SOLICITADO]])&gt;=0,"PRESUPUESTO: SI","PRESUPUESTO: NO")</f>
        <v>PRESUPUESTO: SI</v>
      </c>
      <c r="L752" s="162">
        <f>SUMIF(PRESUPUESTO[CUENTA],EJECUTADO[[#This Row],[CUENTA]],PRESUPUESTO[MONTO])-SUMIF($F$1:F751,EJECUTADO[[#This Row],[CUENTA]],$M$1:M751)</f>
        <v>4404436.99</v>
      </c>
      <c r="M752" s="2">
        <v>50</v>
      </c>
      <c r="N752" s="84"/>
      <c r="O752" s="84"/>
      <c r="P752" s="162">
        <f>+EJECUTADO[[#This Row],[MONTO SOLICITADO]]-EJECUTADO[[#This Row],[RETENCION IVA]]-EJECUTADO[[#This Row],[RETENCION ISR]]</f>
        <v>50</v>
      </c>
      <c r="Q752" s="84"/>
      <c r="R752" s="84"/>
      <c r="S752" s="112">
        <v>3232</v>
      </c>
      <c r="T752" s="168" t="str">
        <f t="shared" si="22"/>
        <v>CUOTAS DE ENSEÑANZA - CUOTAS FCCE PREGRADO Disponible $4404436.99 Solicitado $50 PRESUPUESTO: SI</v>
      </c>
    </row>
    <row r="753" spans="1:20" ht="45" x14ac:dyDescent="0.25">
      <c r="A753" s="6">
        <f t="shared" si="23"/>
        <v>746</v>
      </c>
      <c r="B753" s="21">
        <v>45349</v>
      </c>
      <c r="C753" s="126" t="s">
        <v>1917</v>
      </c>
      <c r="D753" s="65" t="s">
        <v>1936</v>
      </c>
      <c r="E753" s="65" t="s">
        <v>1937</v>
      </c>
      <c r="F753" t="s">
        <v>1099</v>
      </c>
      <c r="G753" s="161">
        <f>MONTH(EJECUTADO[[#This Row],[FECHA]])</f>
        <v>2</v>
      </c>
      <c r="H753" s="163" t="str">
        <f>MID(EJECUTADO[[#This Row],[CUENTA]],1,4)</f>
        <v>E-01</v>
      </c>
      <c r="I753" s="163" t="str">
        <f>INDEX(CATALOGO[Descripción],MATCH(EJECUTADO[[#This Row],[APLICACIÓN]]&amp;"-00-00-00",CATALOGO[Código],0))</f>
        <v>SERVICIOS PROFESIONALES</v>
      </c>
      <c r="J7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Soporte  equipo Didáctica $ 10,000.00</v>
      </c>
      <c r="K753" s="161" t="str">
        <f>IF((EJECUTADO[[#This Row],[MONTO DISPONIBLE ]]-EJECUTADO[[#This Row],[MONTO SOLICITADO]])&gt;=0,"PRESUPUESTO: SI","PRESUPUESTO: NO")</f>
        <v>PRESUPUESTO: SI</v>
      </c>
      <c r="L753" s="162">
        <f>SUMIF(PRESUPUESTO[CUENTA],EJECUTADO[[#This Row],[CUENTA]],PRESUPUESTO[MONTO])-SUMIF($F$1:F752,EJECUTADO[[#This Row],[CUENTA]],$M$1:M752)</f>
        <v>100000</v>
      </c>
      <c r="M753" s="2">
        <v>10000</v>
      </c>
      <c r="N753" s="84">
        <v>88.5</v>
      </c>
      <c r="O753" s="84"/>
      <c r="P753" s="162">
        <f>+EJECUTADO[[#This Row],[MONTO SOLICITADO]]-EJECUTADO[[#This Row],[RETENCION IVA]]-EJECUTADO[[#This Row],[RETENCION ISR]]</f>
        <v>9911.5</v>
      </c>
      <c r="Q753" s="84" t="s">
        <v>1920</v>
      </c>
      <c r="R753" s="84"/>
      <c r="T753" s="168" t="str">
        <f t="shared" si="22"/>
        <v>SERVICIOS PROFESIONALES - Honorarios Soporte  equipo Didáctica $ 10,000.00 Disponible $100000 Solicitado $10000 PRESUPUESTO: SI</v>
      </c>
    </row>
    <row r="754" spans="1:20" ht="60" x14ac:dyDescent="0.25">
      <c r="A754" s="6">
        <f t="shared" si="23"/>
        <v>747</v>
      </c>
      <c r="B754" s="21">
        <v>45349</v>
      </c>
      <c r="C754" s="126" t="s">
        <v>1932</v>
      </c>
      <c r="D754" s="127" t="s">
        <v>1933</v>
      </c>
      <c r="E754" s="65" t="s">
        <v>1934</v>
      </c>
      <c r="F754" t="s">
        <v>1101</v>
      </c>
      <c r="G754" s="161">
        <f>MONTH(EJECUTADO[[#This Row],[FECHA]])</f>
        <v>2</v>
      </c>
      <c r="H754" s="163" t="str">
        <f>MID(EJECUTADO[[#This Row],[CUENTA]],1,4)</f>
        <v>E-07</v>
      </c>
      <c r="I754" s="163" t="str">
        <f>INDEX(CATALOGO[Descripción],MATCH(EJECUTADO[[#This Row],[APLICACIÓN]]&amp;"-00-00-00",CATALOGO[Código],0))</f>
        <v>SERVICIOS TECNOLOGICOS</v>
      </c>
      <c r="J7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Proyecto de AZURE BACKUP Y AZURE SITERECOVERY </v>
      </c>
      <c r="K754" s="161" t="str">
        <f>IF((EJECUTADO[[#This Row],[MONTO DISPONIBLE ]]-EJECUTADO[[#This Row],[MONTO SOLICITADO]])&gt;=0,"PRESUPUESTO: SI","PRESUPUESTO: NO")</f>
        <v>PRESUPUESTO: SI</v>
      </c>
      <c r="L754" s="162">
        <f>SUMIF(PRESUPUESTO[CUENTA],EJECUTADO[[#This Row],[CUENTA]],PRESUPUESTO[MONTO])-SUMIF($F$1:F753,EJECUTADO[[#This Row],[CUENTA]],$M$1:M753)</f>
        <v>85950</v>
      </c>
      <c r="M754" s="2">
        <v>8595</v>
      </c>
      <c r="N754" s="84">
        <v>76.06</v>
      </c>
      <c r="O754" s="84"/>
      <c r="P754" s="162">
        <f>+EJECUTADO[[#This Row],[MONTO SOLICITADO]]-EJECUTADO[[#This Row],[RETENCION IVA]]-EJECUTADO[[#This Row],[RETENCION ISR]]</f>
        <v>8518.94</v>
      </c>
      <c r="Q754" s="84" t="s">
        <v>1920</v>
      </c>
      <c r="R754" s="84"/>
      <c r="T754" s="168" t="str">
        <f t="shared" si="22"/>
        <v>SERVICIOS TECNOLOGICOS - Proyecto de AZURE BACKUP Y AZURE SITERECOVERY  Disponible $85950 Solicitado $8595 PRESUPUESTO: SI</v>
      </c>
    </row>
    <row r="755" spans="1:20" ht="45" x14ac:dyDescent="0.25">
      <c r="A755" s="6">
        <f t="shared" si="23"/>
        <v>748</v>
      </c>
      <c r="B755" s="21">
        <v>45355</v>
      </c>
      <c r="C755" s="126" t="s">
        <v>1938</v>
      </c>
      <c r="D755" s="65" t="s">
        <v>1616</v>
      </c>
      <c r="E755" s="65"/>
      <c r="G755" s="161">
        <f>MONTH(EJECUTADO[[#This Row],[FECHA]])</f>
        <v>3</v>
      </c>
      <c r="H755" s="163" t="str">
        <f>MID(EJECUTADO[[#This Row],[CUENTA]],1,4)</f>
        <v/>
      </c>
      <c r="I755" s="163" t="e">
        <f>INDEX(CATALOGO[Descripción],MATCH(EJECUTADO[[#This Row],[APLICACIÓN]]&amp;"-00-00-00",CATALOGO[Código],0))</f>
        <v>#N/A</v>
      </c>
      <c r="J75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755" s="161" t="str">
        <f>IF((EJECUTADO[[#This Row],[MONTO DISPONIBLE ]]-EJECUTADO[[#This Row],[MONTO SOLICITADO]])&gt;=0,"PRESUPUESTO: SI","PRESUPUESTO: NO")</f>
        <v>PRESUPUESTO: SI</v>
      </c>
      <c r="L755" s="162">
        <f>SUMIF(PRESUPUESTO[CUENTA],EJECUTADO[[#This Row],[CUENTA]],PRESUPUESTO[MONTO])-SUMIF($F$1:F754,EJECUTADO[[#This Row],[CUENTA]],$M$1:M754)</f>
        <v>0</v>
      </c>
      <c r="M755" s="2"/>
      <c r="N755" s="84"/>
      <c r="O755" s="84"/>
      <c r="P755" s="162">
        <f>+EJECUTADO[[#This Row],[MONTO SOLICITADO]]-EJECUTADO[[#This Row],[RETENCION IVA]]-EJECUTADO[[#This Row],[RETENCION ISR]]</f>
        <v>0</v>
      </c>
      <c r="Q755" s="84"/>
      <c r="R755" s="84"/>
      <c r="S755">
        <v>1</v>
      </c>
      <c r="T755" s="168" t="e">
        <f t="shared" si="22"/>
        <v>#N/A</v>
      </c>
    </row>
    <row r="756" spans="1:20" ht="45" x14ac:dyDescent="0.25">
      <c r="A756" s="6">
        <f t="shared" si="23"/>
        <v>749</v>
      </c>
      <c r="B756" s="21">
        <v>45355</v>
      </c>
      <c r="C756" s="126" t="s">
        <v>1939</v>
      </c>
      <c r="D756" s="65" t="s">
        <v>1940</v>
      </c>
      <c r="E756" s="65" t="s">
        <v>1915</v>
      </c>
      <c r="F756" t="s">
        <v>1032</v>
      </c>
      <c r="G756" s="161">
        <f>MONTH(EJECUTADO[[#This Row],[FECHA]])</f>
        <v>3</v>
      </c>
      <c r="H756" s="163" t="str">
        <f>MID(EJECUTADO[[#This Row],[CUENTA]],1,4)</f>
        <v>E-09</v>
      </c>
      <c r="I756" s="163" t="str">
        <f>INDEX(CATALOGO[Descripción],MATCH(EJECUTADO[[#This Row],[APLICACIÓN]]&amp;"-00-00-00",CATALOGO[Código],0))</f>
        <v>PRESTACIONES AL PERSONAL</v>
      </c>
      <c r="J7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756" s="161" t="str">
        <f>IF((EJECUTADO[[#This Row],[MONTO DISPONIBLE ]]-EJECUTADO[[#This Row],[MONTO SOLICITADO]])&gt;=0,"PRESUPUESTO: SI","PRESUPUESTO: NO")</f>
        <v>PRESUPUESTO: SI</v>
      </c>
      <c r="L756" s="162">
        <f>SUMIF(PRESUPUESTO[CUENTA],EJECUTADO[[#This Row],[CUENTA]],PRESUPUESTO[MONTO])-SUMIF($F$1:F755,EJECUTADO[[#This Row],[CUENTA]],$M$1:M755)</f>
        <v>112360.56</v>
      </c>
      <c r="M756" s="2">
        <v>6597.36</v>
      </c>
      <c r="N756" s="84"/>
      <c r="O756" s="84"/>
      <c r="P756" s="162">
        <f>+EJECUTADO[[#This Row],[MONTO SOLICITADO]]-EJECUTADO[[#This Row],[RETENCION IVA]]-EJECUTADO[[#This Row],[RETENCION ISR]]</f>
        <v>6597.36</v>
      </c>
      <c r="Q756" s="84" t="s">
        <v>1930</v>
      </c>
      <c r="R756" s="84"/>
      <c r="S756" s="112">
        <v>752</v>
      </c>
      <c r="T756" s="168" t="str">
        <f t="shared" si="22"/>
        <v>PRESTACIONES AL PERSONAL - Liquidaciones laborales y compensaciones Disponible $112360.56 Solicitado $6597.36 PRESUPUESTO: SI</v>
      </c>
    </row>
    <row r="757" spans="1:20" ht="75" x14ac:dyDescent="0.25">
      <c r="A757" s="6">
        <f t="shared" si="23"/>
        <v>750</v>
      </c>
      <c r="B757" s="21">
        <v>45355</v>
      </c>
      <c r="C757" s="126" t="s">
        <v>1941</v>
      </c>
      <c r="D757" s="65" t="s">
        <v>1942</v>
      </c>
      <c r="E757" s="65" t="s">
        <v>1915</v>
      </c>
      <c r="F757" t="s">
        <v>1032</v>
      </c>
      <c r="G757" s="161">
        <f>MONTH(EJECUTADO[[#This Row],[FECHA]])</f>
        <v>3</v>
      </c>
      <c r="H757" s="163" t="str">
        <f>MID(EJECUTADO[[#This Row],[CUENTA]],1,4)</f>
        <v>E-09</v>
      </c>
      <c r="I757" s="163" t="str">
        <f>INDEX(CATALOGO[Descripción],MATCH(EJECUTADO[[#This Row],[APLICACIÓN]]&amp;"-00-00-00",CATALOGO[Código],0))</f>
        <v>PRESTACIONES AL PERSONAL</v>
      </c>
      <c r="J7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757" s="161" t="str">
        <f>IF((EJECUTADO[[#This Row],[MONTO DISPONIBLE ]]-EJECUTADO[[#This Row],[MONTO SOLICITADO]])&gt;=0,"PRESUPUESTO: SI","PRESUPUESTO: NO")</f>
        <v>PRESUPUESTO: SI</v>
      </c>
      <c r="L757" s="162">
        <f>SUMIF(PRESUPUESTO[CUENTA],EJECUTADO[[#This Row],[CUENTA]],PRESUPUESTO[MONTO])-SUMIF($F$1:F756,EJECUTADO[[#This Row],[CUENTA]],$M$1:M756)</f>
        <v>105763.2</v>
      </c>
      <c r="M757" s="2">
        <v>2832.28</v>
      </c>
      <c r="N757" s="84"/>
      <c r="O757" s="84"/>
      <c r="P757" s="162">
        <f>+EJECUTADO[[#This Row],[MONTO SOLICITADO]]-EJECUTADO[[#This Row],[RETENCION IVA]]-EJECUTADO[[#This Row],[RETENCION ISR]]</f>
        <v>2832.28</v>
      </c>
      <c r="Q757" s="84" t="s">
        <v>1930</v>
      </c>
      <c r="R757" s="84"/>
      <c r="S757" s="112">
        <v>753</v>
      </c>
      <c r="T757" s="168" t="str">
        <f t="shared" si="22"/>
        <v>PRESTACIONES AL PERSONAL - Liquidaciones laborales y compensaciones Disponible $105763.2 Solicitado $2832.28 PRESUPUESTO: SI</v>
      </c>
    </row>
    <row r="758" spans="1:20" ht="105" x14ac:dyDescent="0.25">
      <c r="A758" s="6">
        <f t="shared" si="23"/>
        <v>751</v>
      </c>
      <c r="B758" s="21">
        <v>45356</v>
      </c>
      <c r="C758" s="126" t="s">
        <v>1943</v>
      </c>
      <c r="D758" s="65" t="s">
        <v>1944</v>
      </c>
      <c r="E758" s="65" t="s">
        <v>1915</v>
      </c>
      <c r="F758" t="s">
        <v>1032</v>
      </c>
      <c r="G758" s="161">
        <f>MONTH(EJECUTADO[[#This Row],[FECHA]])</f>
        <v>3</v>
      </c>
      <c r="H758" s="163" t="str">
        <f>MID(EJECUTADO[[#This Row],[CUENTA]],1,4)</f>
        <v>E-09</v>
      </c>
      <c r="I758" s="163" t="str">
        <f>INDEX(CATALOGO[Descripción],MATCH(EJECUTADO[[#This Row],[APLICACIÓN]]&amp;"-00-00-00",CATALOGO[Código],0))</f>
        <v>PRESTACIONES AL PERSONAL</v>
      </c>
      <c r="J7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758" s="161" t="str">
        <f>IF((EJECUTADO[[#This Row],[MONTO DISPONIBLE ]]-EJECUTADO[[#This Row],[MONTO SOLICITADO]])&gt;=0,"PRESUPUESTO: SI","PRESUPUESTO: NO")</f>
        <v>PRESUPUESTO: SI</v>
      </c>
      <c r="L758" s="162">
        <f>SUMIF(PRESUPUESTO[CUENTA],EJECUTADO[[#This Row],[CUENTA]],PRESUPUESTO[MONTO])-SUMIF($F$1:F757,EJECUTADO[[#This Row],[CUENTA]],$M$1:M757)</f>
        <v>102930.92</v>
      </c>
      <c r="M758" s="2">
        <v>4723.76</v>
      </c>
      <c r="N758" s="84"/>
      <c r="O758" s="84"/>
      <c r="P758" s="162">
        <f>+EJECUTADO[[#This Row],[MONTO SOLICITADO]]-EJECUTADO[[#This Row],[RETENCION IVA]]-EJECUTADO[[#This Row],[RETENCION ISR]]</f>
        <v>4723.76</v>
      </c>
      <c r="Q758" s="84" t="s">
        <v>1930</v>
      </c>
      <c r="R758" s="84"/>
      <c r="S758">
        <v>3234</v>
      </c>
      <c r="T758" s="168" t="str">
        <f t="shared" si="22"/>
        <v>PRESTACIONES AL PERSONAL - Liquidaciones laborales y compensaciones Disponible $102930.92 Solicitado $4723.76 PRESUPUESTO: SI</v>
      </c>
    </row>
    <row r="759" spans="1:20" ht="105" x14ac:dyDescent="0.25">
      <c r="A759" s="6">
        <f t="shared" si="23"/>
        <v>752</v>
      </c>
      <c r="B759" s="21">
        <v>45356</v>
      </c>
      <c r="C759" s="126" t="s">
        <v>1945</v>
      </c>
      <c r="D759" s="65" t="s">
        <v>1946</v>
      </c>
      <c r="E759" s="65" t="s">
        <v>1915</v>
      </c>
      <c r="F759" t="s">
        <v>1032</v>
      </c>
      <c r="G759" s="161">
        <f>MONTH(EJECUTADO[[#This Row],[FECHA]])</f>
        <v>3</v>
      </c>
      <c r="H759" s="163" t="str">
        <f>MID(EJECUTADO[[#This Row],[CUENTA]],1,4)</f>
        <v>E-09</v>
      </c>
      <c r="I759" s="163" t="str">
        <f>INDEX(CATALOGO[Descripción],MATCH(EJECUTADO[[#This Row],[APLICACIÓN]]&amp;"-00-00-00",CATALOGO[Código],0))</f>
        <v>PRESTACIONES AL PERSONAL</v>
      </c>
      <c r="J7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759" s="161" t="str">
        <f>IF((EJECUTADO[[#This Row],[MONTO DISPONIBLE ]]-EJECUTADO[[#This Row],[MONTO SOLICITADO]])&gt;=0,"PRESUPUESTO: SI","PRESUPUESTO: NO")</f>
        <v>PRESUPUESTO: SI</v>
      </c>
      <c r="L759" s="162">
        <f>SUMIF(PRESUPUESTO[CUENTA],EJECUTADO[[#This Row],[CUENTA]],PRESUPUESTO[MONTO])-SUMIF($F$1:F758,EJECUTADO[[#This Row],[CUENTA]],$M$1:M758)</f>
        <v>98207.16</v>
      </c>
      <c r="M759" s="2">
        <v>3224.95</v>
      </c>
      <c r="N759" s="84"/>
      <c r="O759" s="84"/>
      <c r="P759" s="162">
        <f>+EJECUTADO[[#This Row],[MONTO SOLICITADO]]-EJECUTADO[[#This Row],[RETENCION IVA]]-EJECUTADO[[#This Row],[RETENCION ISR]]</f>
        <v>3224.95</v>
      </c>
      <c r="Q759" s="84" t="s">
        <v>1930</v>
      </c>
      <c r="R759" s="84"/>
      <c r="S759" s="112">
        <v>3233</v>
      </c>
      <c r="T759" s="168" t="str">
        <f t="shared" si="22"/>
        <v>PRESTACIONES AL PERSONAL - Liquidaciones laborales y compensaciones Disponible $98207.16 Solicitado $3224.95 PRESUPUESTO: SI</v>
      </c>
    </row>
    <row r="760" spans="1:20" ht="105" x14ac:dyDescent="0.25">
      <c r="A760" s="6">
        <f t="shared" si="23"/>
        <v>753</v>
      </c>
      <c r="B760" s="21">
        <v>45356</v>
      </c>
      <c r="C760" s="126" t="s">
        <v>1947</v>
      </c>
      <c r="D760" s="65" t="s">
        <v>1948</v>
      </c>
      <c r="E760" s="65" t="s">
        <v>1915</v>
      </c>
      <c r="F760" t="s">
        <v>1032</v>
      </c>
      <c r="G760" s="161">
        <f>MONTH(EJECUTADO[[#This Row],[FECHA]])</f>
        <v>3</v>
      </c>
      <c r="H760" s="163" t="str">
        <f>MID(EJECUTADO[[#This Row],[CUENTA]],1,4)</f>
        <v>E-09</v>
      </c>
      <c r="I760" s="163" t="str">
        <f>INDEX(CATALOGO[Descripción],MATCH(EJECUTADO[[#This Row],[APLICACIÓN]]&amp;"-00-00-00",CATALOGO[Código],0))</f>
        <v>PRESTACIONES AL PERSONAL</v>
      </c>
      <c r="J7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760" s="161" t="str">
        <f>IF((EJECUTADO[[#This Row],[MONTO DISPONIBLE ]]-EJECUTADO[[#This Row],[MONTO SOLICITADO]])&gt;=0,"PRESUPUESTO: SI","PRESUPUESTO: NO")</f>
        <v>PRESUPUESTO: SI</v>
      </c>
      <c r="L760" s="162">
        <f>SUMIF(PRESUPUESTO[CUENTA],EJECUTADO[[#This Row],[CUENTA]],PRESUPUESTO[MONTO])-SUMIF($F$1:F759,EJECUTADO[[#This Row],[CUENTA]],$M$1:M759)</f>
        <v>94982.21</v>
      </c>
      <c r="M760" s="2">
        <v>104.71</v>
      </c>
      <c r="N760" s="84"/>
      <c r="O760" s="84"/>
      <c r="P760" s="162">
        <f>+EJECUTADO[[#This Row],[MONTO SOLICITADO]]-EJECUTADO[[#This Row],[RETENCION IVA]]-EJECUTADO[[#This Row],[RETENCION ISR]]</f>
        <v>104.71</v>
      </c>
      <c r="Q760" s="84"/>
      <c r="R760" s="84"/>
      <c r="S760" s="112">
        <v>754</v>
      </c>
      <c r="T760" s="168" t="str">
        <f t="shared" si="22"/>
        <v>PRESTACIONES AL PERSONAL - Liquidaciones laborales y compensaciones Disponible $94982.21 Solicitado $104.71 PRESUPUESTO: SI</v>
      </c>
    </row>
    <row r="761" spans="1:20" ht="45" x14ac:dyDescent="0.25">
      <c r="A761" s="6">
        <f t="shared" si="23"/>
        <v>754</v>
      </c>
      <c r="B761" s="21">
        <v>45344</v>
      </c>
      <c r="C761" s="126" t="s">
        <v>1949</v>
      </c>
      <c r="D761" s="65" t="s">
        <v>1950</v>
      </c>
      <c r="E761" s="65" t="s">
        <v>1951</v>
      </c>
      <c r="F761" t="s">
        <v>1952</v>
      </c>
      <c r="G761" s="161">
        <f>MONTH(EJECUTADO[[#This Row],[FECHA]])</f>
        <v>2</v>
      </c>
      <c r="H761" s="163" t="str">
        <f>MID(EJECUTADO[[#This Row],[CUENTA]],1,4)</f>
        <v>E-19</v>
      </c>
      <c r="I761" s="163" t="str">
        <f>INDEX(CATALOGO[Descripción],MATCH(EJECUTADO[[#This Row],[APLICACIÓN]]&amp;"-00-00-00",CATALOGO[Código],0))</f>
        <v>MANTENIMIENTO</v>
      </c>
      <c r="J7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Extintores</v>
      </c>
      <c r="K761" s="161" t="str">
        <f>IF((EJECUTADO[[#This Row],[MONTO DISPONIBLE ]]-EJECUTADO[[#This Row],[MONTO SOLICITADO]])&gt;=0,"PRESUPUESTO: SI","PRESUPUESTO: NO")</f>
        <v>PRESUPUESTO: SI</v>
      </c>
      <c r="L761" s="162">
        <f>SUMIF(PRESUPUESTO[CUENTA],EJECUTADO[[#This Row],[CUENTA]],PRESUPUESTO[MONTO])-SUMIF($F$1:F760,EJECUTADO[[#This Row],[CUENTA]],$M$1:M760)</f>
        <v>2400</v>
      </c>
      <c r="M761" s="2">
        <v>951.46</v>
      </c>
      <c r="N761" s="84">
        <v>8.42</v>
      </c>
      <c r="O761" s="84"/>
      <c r="P761" s="162">
        <f>+EJECUTADO[[#This Row],[MONTO SOLICITADO]]-EJECUTADO[[#This Row],[RETENCION IVA]]-EJECUTADO[[#This Row],[RETENCION ISR]]</f>
        <v>943.04000000000008</v>
      </c>
      <c r="Q761" s="84" t="s">
        <v>1920</v>
      </c>
      <c r="R761" s="84"/>
      <c r="S761" s="112">
        <v>1875491</v>
      </c>
      <c r="T761" s="168" t="str">
        <f t="shared" si="22"/>
        <v>MANTENIMIENTO - Mantenimiento de Extintores Disponible $2400 Solicitado $951.46 PRESUPUESTO: SI</v>
      </c>
    </row>
    <row r="762" spans="1:20" ht="60" x14ac:dyDescent="0.25">
      <c r="A762" s="6">
        <f t="shared" si="23"/>
        <v>755</v>
      </c>
      <c r="B762" s="21">
        <v>45344</v>
      </c>
      <c r="C762" s="126" t="s">
        <v>1949</v>
      </c>
      <c r="D762" s="65" t="s">
        <v>1953</v>
      </c>
      <c r="E762" s="65" t="s">
        <v>1954</v>
      </c>
      <c r="F762" t="s">
        <v>1952</v>
      </c>
      <c r="G762" s="161">
        <f>MONTH(EJECUTADO[[#This Row],[FECHA]])</f>
        <v>2</v>
      </c>
      <c r="H762" s="163" t="str">
        <f>MID(EJECUTADO[[#This Row],[CUENTA]],1,4)</f>
        <v>E-19</v>
      </c>
      <c r="I762" s="163" t="str">
        <f>INDEX(CATALOGO[Descripción],MATCH(EJECUTADO[[#This Row],[APLICACIÓN]]&amp;"-00-00-00",CATALOGO[Código],0))</f>
        <v>MANTENIMIENTO</v>
      </c>
      <c r="J7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Extintores</v>
      </c>
      <c r="K762" s="161" t="str">
        <f>IF((EJECUTADO[[#This Row],[MONTO DISPONIBLE ]]-EJECUTADO[[#This Row],[MONTO SOLICITADO]])&gt;=0,"PRESUPUESTO: SI","PRESUPUESTO: NO")</f>
        <v>PRESUPUESTO: SI</v>
      </c>
      <c r="L762" s="162">
        <f>SUMIF(PRESUPUESTO[CUENTA],EJECUTADO[[#This Row],[CUENTA]],PRESUPUESTO[MONTO])-SUMIF($F$1:F761,EJECUTADO[[#This Row],[CUENTA]],$M$1:M761)</f>
        <v>1448.54</v>
      </c>
      <c r="M762" s="2">
        <v>128.82</v>
      </c>
      <c r="N762" s="84">
        <v>1.1399999999999999</v>
      </c>
      <c r="O762" s="84"/>
      <c r="P762" s="162">
        <f>+EJECUTADO[[#This Row],[MONTO SOLICITADO]]-EJECUTADO[[#This Row],[RETENCION IVA]]-EJECUTADO[[#This Row],[RETENCION ISR]]</f>
        <v>127.67999999999999</v>
      </c>
      <c r="Q762" s="84" t="s">
        <v>1920</v>
      </c>
      <c r="R762" s="84"/>
      <c r="S762" s="112">
        <v>1875491</v>
      </c>
      <c r="T762" s="168" t="str">
        <f t="shared" si="22"/>
        <v>MANTENIMIENTO - Mantenimiento de Extintores Disponible $1448.54 Solicitado $128.82 PRESUPUESTO: SI</v>
      </c>
    </row>
    <row r="763" spans="1:20" ht="45" x14ac:dyDescent="0.25">
      <c r="A763" s="6">
        <f t="shared" si="23"/>
        <v>756</v>
      </c>
      <c r="B763" s="21">
        <v>45356</v>
      </c>
      <c r="C763" s="128" t="s">
        <v>1263</v>
      </c>
      <c r="D763" s="128" t="s">
        <v>1955</v>
      </c>
      <c r="E763" s="65" t="s">
        <v>1956</v>
      </c>
      <c r="F763" t="s">
        <v>1119</v>
      </c>
      <c r="G763" s="161">
        <f>MONTH(EJECUTADO[[#This Row],[FECHA]])</f>
        <v>3</v>
      </c>
      <c r="H763" s="163" t="str">
        <f>MID(EJECUTADO[[#This Row],[CUENTA]],1,4)</f>
        <v>E-10</v>
      </c>
      <c r="I763" s="163" t="str">
        <f>INDEX(CATALOGO[Descripción],MATCH(EJECUTADO[[#This Row],[APLICACIÓN]]&amp;"-00-00-00",CATALOGO[Código],0))</f>
        <v>SERVICIOS PUBLICOS</v>
      </c>
      <c r="J7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</v>
      </c>
      <c r="K763" s="161" t="str">
        <f>IF((EJECUTADO[[#This Row],[MONTO DISPONIBLE ]]-EJECUTADO[[#This Row],[MONTO SOLICITADO]])&gt;=0,"PRESUPUESTO: SI","PRESUPUESTO: NO")</f>
        <v>PRESUPUESTO: NO</v>
      </c>
      <c r="L763" s="162">
        <f>SUMIF(PRESUPUESTO[CUENTA],EJECUTADO[[#This Row],[CUENTA]],PRESUPUESTO[MONTO])-SUMIF($F$1:F762,EJECUTADO[[#This Row],[CUENTA]],$M$1:M762)</f>
        <v>-13257.053</v>
      </c>
      <c r="M763" s="2">
        <v>1293.3800000000001</v>
      </c>
      <c r="N763" s="84"/>
      <c r="O763" s="84"/>
      <c r="P763" s="162">
        <f>+EJECUTADO[[#This Row],[MONTO SOLICITADO]]-EJECUTADO[[#This Row],[RETENCION IVA]]-EJECUTADO[[#This Row],[RETENCION ISR]]</f>
        <v>1293.3800000000001</v>
      </c>
      <c r="Q763" s="84" t="s">
        <v>1786</v>
      </c>
      <c r="R763" s="84"/>
      <c r="S763" s="112">
        <v>3238</v>
      </c>
      <c r="T763" s="168" t="str">
        <f t="shared" si="22"/>
        <v>SERVICIOS PUBLICOS - IMPUESTOS MUNICIPALES Disponible $-13257.053 Solicitado $1293.38 PRESUPUESTO: NO</v>
      </c>
    </row>
    <row r="764" spans="1:20" ht="30" x14ac:dyDescent="0.25">
      <c r="A764" s="6">
        <f t="shared" si="23"/>
        <v>757</v>
      </c>
      <c r="B764" s="21">
        <v>45356</v>
      </c>
      <c r="C764" s="107" t="s">
        <v>1957</v>
      </c>
      <c r="D764" s="107" t="s">
        <v>1958</v>
      </c>
      <c r="E764" s="65" t="s">
        <v>1915</v>
      </c>
      <c r="F764" s="106" t="s">
        <v>1265</v>
      </c>
      <c r="G764" s="161">
        <f>MONTH(EJECUTADO[[#This Row],[FECHA]])</f>
        <v>3</v>
      </c>
      <c r="H764" s="163" t="str">
        <f>MID(EJECUTADO[[#This Row],[CUENTA]],1,4)</f>
        <v>E-23</v>
      </c>
      <c r="I764" s="163" t="str">
        <f>INDEX(CATALOGO[Descripción],MATCH(EJECUTADO[[#This Row],[APLICACIÓN]]&amp;"-00-00-00",CATALOGO[Código],0))</f>
        <v>GASTOS DE VIAJE</v>
      </c>
      <c r="J7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764" s="161" t="str">
        <f>IF((EJECUTADO[[#This Row],[MONTO DISPONIBLE ]]-EJECUTADO[[#This Row],[MONTO SOLICITADO]])&gt;=0,"PRESUPUESTO: SI","PRESUPUESTO: NO")</f>
        <v>PRESUPUESTO: SI</v>
      </c>
      <c r="L764" s="162">
        <f>SUMIF(PRESUPUESTO[CUENTA],EJECUTADO[[#This Row],[CUENTA]],PRESUPUESTO[MONTO])-SUMIF($F$1:F763,EJECUTADO[[#This Row],[CUENTA]],$M$1:M763)</f>
        <v>23255.51</v>
      </c>
      <c r="M764" s="2">
        <v>100</v>
      </c>
      <c r="N764" s="84"/>
      <c r="O764" s="84"/>
      <c r="P764" s="162">
        <f>+EJECUTADO[[#This Row],[MONTO SOLICITADO]]-EJECUTADO[[#This Row],[RETENCION IVA]]-EJECUTADO[[#This Row],[RETENCION ISR]]</f>
        <v>100</v>
      </c>
      <c r="Q764" s="84" t="s">
        <v>1786</v>
      </c>
      <c r="R764" s="84"/>
      <c r="S764" s="112">
        <v>3237</v>
      </c>
      <c r="T764" s="168" t="str">
        <f t="shared" si="22"/>
        <v>GASTOS DE VIAJE - Servicio combustible Disponible $23255.51 Solicitado $100 PRESUPUESTO: SI</v>
      </c>
    </row>
    <row r="765" spans="1:20" ht="45" x14ac:dyDescent="0.25">
      <c r="A765" s="6">
        <f t="shared" si="23"/>
        <v>758</v>
      </c>
      <c r="B765" s="21">
        <v>45344</v>
      </c>
      <c r="C765" s="126" t="s">
        <v>1938</v>
      </c>
      <c r="E765" s="65" t="s">
        <v>1959</v>
      </c>
      <c r="F765" t="s">
        <v>1184</v>
      </c>
      <c r="G765" s="161">
        <f>MONTH(EJECUTADO[[#This Row],[FECHA]])</f>
        <v>2</v>
      </c>
      <c r="H765" s="163" t="str">
        <f>MID(EJECUTADO[[#This Row],[CUENTA]],1,4)</f>
        <v>E-22</v>
      </c>
      <c r="I765" s="163" t="str">
        <f>INDEX(CATALOGO[Descripción],MATCH(EJECUTADO[[#This Row],[APLICACIÓN]]&amp;"-00-00-00",CATALOGO[Código],0))</f>
        <v>CAPACITACIÓN AL PERSONAL</v>
      </c>
      <c r="J7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varias</v>
      </c>
      <c r="K765" s="161" t="str">
        <f>IF((EJECUTADO[[#This Row],[MONTO DISPONIBLE ]]-EJECUTADO[[#This Row],[MONTO SOLICITADO]])&gt;=0,"PRESUPUESTO: SI","PRESUPUESTO: NO")</f>
        <v>PRESUPUESTO: SI</v>
      </c>
      <c r="L765" s="162">
        <f>SUMIF(PRESUPUESTO[CUENTA],EJECUTADO[[#This Row],[CUENTA]],PRESUPUESTO[MONTO])-SUMIF($F$1:F764,EJECUTADO[[#This Row],[CUENTA]],$M$1:M764)</f>
        <v>5888</v>
      </c>
      <c r="M765" s="2">
        <v>124.3</v>
      </c>
      <c r="N765" s="84">
        <v>1.1000000000000001</v>
      </c>
      <c r="O765" s="84"/>
      <c r="P765" s="162">
        <f>+EJECUTADO[[#This Row],[MONTO SOLICITADO]]-EJECUTADO[[#This Row],[RETENCION IVA]]-EJECUTADO[[#This Row],[RETENCION ISR]]</f>
        <v>123.2</v>
      </c>
      <c r="Q765" s="84" t="s">
        <v>1960</v>
      </c>
      <c r="R765" s="84"/>
      <c r="S765" s="112">
        <v>1875496</v>
      </c>
      <c r="T765" s="168" t="str">
        <f t="shared" si="22"/>
        <v>CAPACITACIÓN AL PERSONAL - Capacitaciones varias Disponible $5888 Solicitado $124.3 PRESUPUESTO: SI</v>
      </c>
    </row>
    <row r="766" spans="1:20" ht="45" x14ac:dyDescent="0.25">
      <c r="A766" s="6">
        <f t="shared" si="23"/>
        <v>759</v>
      </c>
      <c r="B766" s="21">
        <v>45344</v>
      </c>
      <c r="C766" s="126" t="s">
        <v>1938</v>
      </c>
      <c r="E766" s="65" t="s">
        <v>1961</v>
      </c>
      <c r="F766" t="s">
        <v>1962</v>
      </c>
      <c r="G766" s="161">
        <f>MONTH(EJECUTADO[[#This Row],[FECHA]])</f>
        <v>2</v>
      </c>
      <c r="H766" s="163" t="str">
        <f>MID(EJECUTADO[[#This Row],[CUENTA]],1,4)</f>
        <v>E-22</v>
      </c>
      <c r="I766" s="163" t="str">
        <f>INDEX(CATALOGO[Descripción],MATCH(EJECUTADO[[#This Row],[APLICACIÓN]]&amp;"-00-00-00",CATALOGO[Código],0))</f>
        <v>CAPACITACIÓN AL PERSONAL</v>
      </c>
      <c r="J7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varias- Vr. Investigaciones y Proyección Social</v>
      </c>
      <c r="K766" s="161" t="str">
        <f>IF((EJECUTADO[[#This Row],[MONTO DISPONIBLE ]]-EJECUTADO[[#This Row],[MONTO SOLICITADO]])&gt;=0,"PRESUPUESTO: SI","PRESUPUESTO: NO")</f>
        <v>PRESUPUESTO: SI</v>
      </c>
      <c r="L766" s="162">
        <f>SUMIF(PRESUPUESTO[CUENTA],EJECUTADO[[#This Row],[CUENTA]],PRESUPUESTO[MONTO])-SUMIF($F$1:F765,EJECUTADO[[#This Row],[CUENTA]],$M$1:M765)</f>
        <v>1700</v>
      </c>
      <c r="M766" s="2">
        <v>62.15</v>
      </c>
      <c r="N766" s="84"/>
      <c r="O766" s="84"/>
      <c r="P766" s="162">
        <f>+EJECUTADO[[#This Row],[MONTO SOLICITADO]]-EJECUTADO[[#This Row],[RETENCION IVA]]-EJECUTADO[[#This Row],[RETENCION ISR]]</f>
        <v>62.15</v>
      </c>
      <c r="Q766" s="84" t="s">
        <v>1960</v>
      </c>
      <c r="R766" s="84"/>
      <c r="S766" s="112">
        <v>1875496</v>
      </c>
      <c r="T766" s="168" t="str">
        <f t="shared" si="22"/>
        <v>CAPACITACIÓN AL PERSONAL - Capacitaciones varias- Vr. Investigaciones y Proyección Social Disponible $1700 Solicitado $62.15 PRESUPUESTO: SI</v>
      </c>
    </row>
    <row r="767" spans="1:20" s="117" customFormat="1" ht="105" x14ac:dyDescent="0.25">
      <c r="A767" s="115">
        <f t="shared" si="23"/>
        <v>760</v>
      </c>
      <c r="B767" s="118">
        <v>45324</v>
      </c>
      <c r="C767" s="129" t="s">
        <v>1963</v>
      </c>
      <c r="D767" s="116" t="s">
        <v>1964</v>
      </c>
      <c r="E767" s="116" t="s">
        <v>1965</v>
      </c>
      <c r="F767" s="117" t="s">
        <v>1966</v>
      </c>
      <c r="G767" s="161">
        <f>MONTH(EJECUTADO[[#This Row],[FECHA]])</f>
        <v>2</v>
      </c>
      <c r="H767" s="163" t="str">
        <f>MID(EJECUTADO[[#This Row],[CUENTA]],1,4)</f>
        <v>E-12</v>
      </c>
      <c r="I767" s="163" t="str">
        <f>INDEX(CATALOGO[Descripción],MATCH(EJECUTADO[[#This Row],[APLICACIÓN]]&amp;"-00-00-00",CATALOGO[Código],0))</f>
        <v>PROYECCION SOCIAL</v>
      </c>
      <c r="J7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MEMBRESIAS FUNDEMAS</v>
      </c>
      <c r="K767" s="161" t="str">
        <f>IF((EJECUTADO[[#This Row],[MONTO DISPONIBLE ]]-EJECUTADO[[#This Row],[MONTO SOLICITADO]])&gt;=0,"PRESUPUESTO: SI","PRESUPUESTO: NO")</f>
        <v>PRESUPUESTO: SI</v>
      </c>
      <c r="L767" s="162">
        <f>SUMIF(PRESUPUESTO[CUENTA],EJECUTADO[[#This Row],[CUENTA]],PRESUPUESTO[MONTO])-SUMIF($F$1:F766,EJECUTADO[[#This Row],[CUENTA]],$M$1:M766)</f>
        <v>600</v>
      </c>
      <c r="M767" s="119">
        <v>571.42999999999995</v>
      </c>
      <c r="N767" s="120"/>
      <c r="O767" s="120"/>
      <c r="P767" s="165">
        <f>+EJECUTADO[[#This Row],[MONTO SOLICITADO]]-EJECUTADO[[#This Row],[RETENCION IVA]]-EJECUTADO[[#This Row],[RETENCION ISR]]</f>
        <v>571.42999999999995</v>
      </c>
      <c r="Q767" s="120" t="s">
        <v>1967</v>
      </c>
      <c r="R767" s="120" t="s">
        <v>1968</v>
      </c>
      <c r="S767" s="112">
        <v>1875492</v>
      </c>
      <c r="T767" s="168" t="str">
        <f t="shared" si="22"/>
        <v>PROYECCION SOCIAL - MEMBRESIAS FUNDEMAS Disponible $600 Solicitado $571.43 PRESUPUESTO: SI</v>
      </c>
    </row>
    <row r="768" spans="1:20" ht="45" x14ac:dyDescent="0.25">
      <c r="A768" s="6">
        <f>+A767+1</f>
        <v>761</v>
      </c>
      <c r="B768" s="21">
        <v>45356</v>
      </c>
      <c r="C768" s="126" t="s">
        <v>1382</v>
      </c>
      <c r="D768" s="65" t="s">
        <v>1969</v>
      </c>
      <c r="E768" s="65" t="s">
        <v>1970</v>
      </c>
      <c r="F768" t="s">
        <v>1384</v>
      </c>
      <c r="G768" s="161">
        <f>MONTH(EJECUTADO[[#This Row],[FECHA]])</f>
        <v>3</v>
      </c>
      <c r="H768" s="163" t="str">
        <f>MID(EJECUTADO[[#This Row],[CUENTA]],1,4)</f>
        <v>E-19</v>
      </c>
      <c r="I768" s="163" t="str">
        <f>INDEX(CATALOGO[Descripción],MATCH(EJECUTADO[[#This Row],[APLICACIÓN]]&amp;"-00-00-00",CATALOGO[Código],0))</f>
        <v>MANTENIMIENTO</v>
      </c>
      <c r="J7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768" s="161" t="str">
        <f>IF((EJECUTADO[[#This Row],[MONTO DISPONIBLE ]]-EJECUTADO[[#This Row],[MONTO SOLICITADO]])&gt;=0,"PRESUPUESTO: SI","PRESUPUESTO: NO")</f>
        <v>PRESUPUESTO: SI</v>
      </c>
      <c r="L768" s="162">
        <f>SUMIF(PRESUPUESTO[CUENTA],EJECUTADO[[#This Row],[CUENTA]],PRESUPUESTO[MONTO])-SUMIF($F$1:F767,EJECUTADO[[#This Row],[CUENTA]],$M$1:M767)</f>
        <v>17135.919999999998</v>
      </c>
      <c r="M768" s="2">
        <v>270</v>
      </c>
      <c r="N768" s="84">
        <v>2.39</v>
      </c>
      <c r="O768" s="84">
        <v>23.89</v>
      </c>
      <c r="P768" s="162">
        <f>+EJECUTADO[[#This Row],[MONTO SOLICITADO]]-EJECUTADO[[#This Row],[RETENCION IVA]]-EJECUTADO[[#This Row],[RETENCION ISR]]</f>
        <v>243.72000000000003</v>
      </c>
      <c r="Q768" s="84" t="s">
        <v>1971</v>
      </c>
      <c r="R768" s="84" t="s">
        <v>1968</v>
      </c>
      <c r="S768" s="112">
        <v>1875489</v>
      </c>
      <c r="T768" s="168" t="str">
        <f t="shared" si="22"/>
        <v>MANTENIMIENTO - Mantenimiento de Limpieza Disponible $17135.92 Solicitado $270 PRESUPUESTO: SI</v>
      </c>
    </row>
    <row r="769" spans="1:20" ht="45" x14ac:dyDescent="0.25">
      <c r="A769" s="121" t="s">
        <v>1972</v>
      </c>
      <c r="B769" s="21">
        <v>45356</v>
      </c>
      <c r="C769" s="126" t="s">
        <v>1382</v>
      </c>
      <c r="D769" s="65" t="s">
        <v>1969</v>
      </c>
      <c r="E769" s="65" t="s">
        <v>1970</v>
      </c>
      <c r="F769" s="37" t="s">
        <v>1973</v>
      </c>
      <c r="G769" s="161">
        <f>MONTH(EJECUTADO[[#This Row],[FECHA]])</f>
        <v>3</v>
      </c>
      <c r="H769" s="163" t="str">
        <f>MID(EJECUTADO[[#This Row],[CUENTA]],1,4)</f>
        <v>E-13</v>
      </c>
      <c r="I769" s="163" t="str">
        <f>INDEX(CATALOGO[Descripción],MATCH(EJECUTADO[[#This Row],[APLICACIÓN]]&amp;"-00-00-00",CATALOGO[Código],0))</f>
        <v>MAESTRIAS Y POSTGRADOS</v>
      </c>
      <c r="J7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MATERIAL DE LIMPIEZA</v>
      </c>
      <c r="K769" s="161" t="str">
        <f>IF((EJECUTADO[[#This Row],[MONTO DISPONIBLE ]]-EJECUTADO[[#This Row],[MONTO SOLICITADO]])&gt;=0,"PRESUPUESTO: SI","PRESUPUESTO: NO")</f>
        <v>PRESUPUESTO: SI</v>
      </c>
      <c r="L769" s="162">
        <f>SUMIF(PRESUPUESTO[CUENTA],EJECUTADO[[#This Row],[CUENTA]],PRESUPUESTO[MONTO])-SUMIF($F$1:F768,EJECUTADO[[#This Row],[CUENTA]],$M$1:M768)</f>
        <v>2120</v>
      </c>
      <c r="M769" s="2">
        <v>125</v>
      </c>
      <c r="N769" s="2">
        <v>1.1100000000000001</v>
      </c>
      <c r="O769" s="2">
        <v>11.07</v>
      </c>
      <c r="P769" s="162">
        <f>+EJECUTADO[[#This Row],[MONTO SOLICITADO]]-EJECUTADO[[#This Row],[RETENCION IVA]]-EJECUTADO[[#This Row],[RETENCION ISR]]</f>
        <v>112.82</v>
      </c>
      <c r="Q769" s="2" t="s">
        <v>1971</v>
      </c>
      <c r="R769" s="2" t="s">
        <v>1968</v>
      </c>
      <c r="S769" s="112">
        <v>1875489</v>
      </c>
      <c r="T769" s="168" t="str">
        <f t="shared" si="22"/>
        <v>MAESTRIAS Y POSTGRADOS - MATERIAL DE LIMPIEZA Disponible $2120 Solicitado $125 PRESUPUESTO: SI</v>
      </c>
    </row>
    <row r="770" spans="1:20" s="117" customFormat="1" ht="120" x14ac:dyDescent="0.25">
      <c r="A770" s="115">
        <f>+A768+1</f>
        <v>762</v>
      </c>
      <c r="B770" s="118">
        <v>45356</v>
      </c>
      <c r="C770" s="129" t="s">
        <v>1974</v>
      </c>
      <c r="D770" s="116" t="s">
        <v>1975</v>
      </c>
      <c r="E770" s="116" t="s">
        <v>1976</v>
      </c>
      <c r="F770" s="117" t="s">
        <v>1977</v>
      </c>
      <c r="G770" s="161">
        <f>MONTH(EJECUTADO[[#This Row],[FECHA]])</f>
        <v>3</v>
      </c>
      <c r="H770" s="163" t="str">
        <f>MID(EJECUTADO[[#This Row],[CUENTA]],1,4)</f>
        <v>E-17</v>
      </c>
      <c r="I770" s="163" t="str">
        <f>INDEX(CATALOGO[Descripción],MATCH(EJECUTADO[[#This Row],[APLICACIÓN]]&amp;"-00-00-00",CATALOGO[Código],0))</f>
        <v>MEDIOS DE COMUNICACIÓN</v>
      </c>
      <c r="J7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Medios - Comunicados y esquelas</v>
      </c>
      <c r="K770" s="161" t="str">
        <f>IF((EJECUTADO[[#This Row],[MONTO DISPONIBLE ]]-EJECUTADO[[#This Row],[MONTO SOLICITADO]])&gt;=0,"PRESUPUESTO: SI","PRESUPUESTO: NO")</f>
        <v>PRESUPUESTO: SI</v>
      </c>
      <c r="L770" s="162">
        <f>SUMIF(PRESUPUESTO[CUENTA],EJECUTADO[[#This Row],[CUENTA]],PRESUPUESTO[MONTO])-SUMIF($F$1:F769,EJECUTADO[[#This Row],[CUENTA]],$M$1:M769)</f>
        <v>700</v>
      </c>
      <c r="M770" s="119">
        <v>330.53</v>
      </c>
      <c r="N770" s="120"/>
      <c r="O770" s="120"/>
      <c r="P770" s="165">
        <f>+EJECUTADO[[#This Row],[MONTO SOLICITADO]]-EJECUTADO[[#This Row],[RETENCION IVA]]-EJECUTADO[[#This Row],[RETENCION ISR]]</f>
        <v>330.53</v>
      </c>
      <c r="Q770" s="120" t="s">
        <v>1971</v>
      </c>
      <c r="R770" s="120" t="s">
        <v>1968</v>
      </c>
      <c r="T770" s="168" t="str">
        <f t="shared" si="22"/>
        <v>MEDIOS DE COMUNICACIÓN - Medios - Comunicados y esquelas Disponible $700 Solicitado $330.53 PRESUPUESTO: SI</v>
      </c>
    </row>
    <row r="771" spans="1:20" s="117" customFormat="1" ht="30" x14ac:dyDescent="0.25">
      <c r="A771" s="121" t="s">
        <v>1978</v>
      </c>
      <c r="B771" s="118">
        <v>45356</v>
      </c>
      <c r="C771" s="129" t="s">
        <v>1974</v>
      </c>
      <c r="D771" s="116" t="s">
        <v>1979</v>
      </c>
      <c r="E771" s="116" t="s">
        <v>1980</v>
      </c>
      <c r="F771" s="37" t="s">
        <v>1981</v>
      </c>
      <c r="G771" s="161">
        <f>MONTH(EJECUTADO[[#This Row],[FECHA]])</f>
        <v>3</v>
      </c>
      <c r="H771" s="163" t="str">
        <f>MID(EJECUTADO[[#This Row],[CUENTA]],1,4)</f>
        <v>E-17</v>
      </c>
      <c r="I771" s="163" t="str">
        <f>INDEX(CATALOGO[Descripción],MATCH(EJECUTADO[[#This Row],[APLICACIÓN]]&amp;"-00-00-00",CATALOGO[Código],0))</f>
        <v>MEDIOS DE COMUNICACIÓN</v>
      </c>
      <c r="J7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Medios - Carteleras en periódicos de actividades (agendas)</v>
      </c>
      <c r="K771" s="161" t="str">
        <f>IF((EJECUTADO[[#This Row],[MONTO DISPONIBLE ]]-EJECUTADO[[#This Row],[MONTO SOLICITADO]])&gt;=0,"PRESUPUESTO: SI","PRESUPUESTO: NO")</f>
        <v>PRESUPUESTO: SI</v>
      </c>
      <c r="L771" s="162">
        <f>SUMIF(PRESUPUESTO[CUENTA],EJECUTADO[[#This Row],[CUENTA]],PRESUPUESTO[MONTO])-SUMIF($F$1:F770,EJECUTADO[[#This Row],[CUENTA]],$M$1:M770)</f>
        <v>20212</v>
      </c>
      <c r="M771" s="119">
        <v>1130</v>
      </c>
      <c r="N771" s="189"/>
      <c r="O771" s="189"/>
      <c r="P771" s="167">
        <f>+EJECUTADO[[#This Row],[MONTO SOLICITADO]]-EJECUTADO[[#This Row],[RETENCION IVA]]-EJECUTADO[[#This Row],[RETENCION ISR]]</f>
        <v>1130</v>
      </c>
      <c r="Q771" s="189" t="s">
        <v>1960</v>
      </c>
      <c r="R771" s="84" t="s">
        <v>1968</v>
      </c>
      <c r="T771" s="168" t="str">
        <f t="shared" si="22"/>
        <v>MEDIOS DE COMUNICACIÓN - Medios - Carteleras en periódicos de actividades (agendas) Disponible $20212 Solicitado $1130 PRESUPUESTO: SI</v>
      </c>
    </row>
    <row r="772" spans="1:20" ht="105" x14ac:dyDescent="0.25">
      <c r="A772" s="6">
        <f>+A770+1</f>
        <v>763</v>
      </c>
      <c r="B772" s="21">
        <v>45356</v>
      </c>
      <c r="C772" s="126" t="s">
        <v>1982</v>
      </c>
      <c r="D772" s="65" t="s">
        <v>1983</v>
      </c>
      <c r="E772" s="65" t="s">
        <v>1984</v>
      </c>
      <c r="F772" t="s">
        <v>1214</v>
      </c>
      <c r="G772" s="161">
        <f>MONTH(EJECUTADO[[#This Row],[FECHA]])</f>
        <v>3</v>
      </c>
      <c r="H772" s="163" t="str">
        <f>MID(EJECUTADO[[#This Row],[CUENTA]],1,4)</f>
        <v>E-19</v>
      </c>
      <c r="I772" s="163" t="str">
        <f>INDEX(CATALOGO[Descripción],MATCH(EJECUTADO[[#This Row],[APLICACIÓN]]&amp;"-00-00-00",CATALOGO[Código],0))</f>
        <v>MANTENIMIENTO</v>
      </c>
      <c r="J7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772" s="161" t="str">
        <f>IF((EJECUTADO[[#This Row],[MONTO DISPONIBLE ]]-EJECUTADO[[#This Row],[MONTO SOLICITADO]])&gt;=0,"PRESUPUESTO: SI","PRESUPUESTO: NO")</f>
        <v>PRESUPUESTO: SI</v>
      </c>
      <c r="L772" s="162">
        <f>SUMIF(PRESUPUESTO[CUENTA],EJECUTADO[[#This Row],[CUENTA]],PRESUPUESTO[MONTO])-SUMIF($F$1:F771,EJECUTADO[[#This Row],[CUENTA]],$M$1:M771)</f>
        <v>34561.82</v>
      </c>
      <c r="M772" s="2">
        <v>262.12</v>
      </c>
      <c r="N772" s="84">
        <v>2.3199999999999998</v>
      </c>
      <c r="O772" s="84">
        <v>23.2</v>
      </c>
      <c r="P772" s="162">
        <f>+EJECUTADO[[#This Row],[MONTO SOLICITADO]]-EJECUTADO[[#This Row],[RETENCION IVA]]-EJECUTADO[[#This Row],[RETENCION ISR]]</f>
        <v>236.60000000000002</v>
      </c>
      <c r="Q772" s="84" t="s">
        <v>1971</v>
      </c>
      <c r="R772" s="84" t="s">
        <v>1968</v>
      </c>
      <c r="S772" s="112">
        <v>1875490</v>
      </c>
      <c r="T772" s="168" t="str">
        <f t="shared" ref="T772:T835" si="24">_xlfn.CONCAT(I772," - ",J772," Disponible $",L772," Solicitado $",M772," ",K772,)</f>
        <v>MANTENIMIENTO - Mantenimiento en talleres (Vehiculos) Disponible $34561.82 Solicitado $262.12 PRESUPUESTO: SI</v>
      </c>
    </row>
    <row r="773" spans="1:20" ht="90" x14ac:dyDescent="0.25">
      <c r="A773" s="121" t="s">
        <v>1985</v>
      </c>
      <c r="B773" s="21">
        <v>45356</v>
      </c>
      <c r="C773" s="126" t="s">
        <v>1982</v>
      </c>
      <c r="D773" s="65" t="s">
        <v>1986</v>
      </c>
      <c r="E773" s="65" t="s">
        <v>1987</v>
      </c>
      <c r="F773" t="s">
        <v>1214</v>
      </c>
      <c r="G773" s="161">
        <f>MONTH(EJECUTADO[[#This Row],[FECHA]])</f>
        <v>3</v>
      </c>
      <c r="H773" s="163" t="str">
        <f>MID(EJECUTADO[[#This Row],[CUENTA]],1,4)</f>
        <v>E-19</v>
      </c>
      <c r="I773" s="163" t="str">
        <f>INDEX(CATALOGO[Descripción],MATCH(EJECUTADO[[#This Row],[APLICACIÓN]]&amp;"-00-00-00",CATALOGO[Código],0))</f>
        <v>MANTENIMIENTO</v>
      </c>
      <c r="J7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773" s="161" t="str">
        <f>IF((EJECUTADO[[#This Row],[MONTO DISPONIBLE ]]-EJECUTADO[[#This Row],[MONTO SOLICITADO]])&gt;=0,"PRESUPUESTO: SI","PRESUPUESTO: NO")</f>
        <v>PRESUPUESTO: SI</v>
      </c>
      <c r="L773" s="162">
        <f>SUMIF(PRESUPUESTO[CUENTA],EJECUTADO[[#This Row],[CUENTA]],PRESUPUESTO[MONTO])-SUMIF($F$1:F772,EJECUTADO[[#This Row],[CUENTA]],$M$1:M772)</f>
        <v>34299.699999999997</v>
      </c>
      <c r="M773" s="2">
        <v>60</v>
      </c>
      <c r="N773" s="2"/>
      <c r="O773" s="2">
        <v>5.31</v>
      </c>
      <c r="P773" s="162">
        <f>+EJECUTADO[[#This Row],[MONTO SOLICITADO]]-EJECUTADO[[#This Row],[RETENCION IVA]]-EJECUTADO[[#This Row],[RETENCION ISR]]</f>
        <v>54.69</v>
      </c>
      <c r="Q773" s="2" t="s">
        <v>1971</v>
      </c>
      <c r="R773" s="2" t="s">
        <v>1968</v>
      </c>
      <c r="S773" s="112">
        <v>1875490</v>
      </c>
      <c r="T773" s="168" t="str">
        <f t="shared" si="24"/>
        <v>MANTENIMIENTO - Mantenimiento en talleres (Vehiculos) Disponible $34299.7 Solicitado $60 PRESUPUESTO: SI</v>
      </c>
    </row>
    <row r="774" spans="1:20" ht="45" x14ac:dyDescent="0.25">
      <c r="A774" s="6">
        <f>+A772+1</f>
        <v>764</v>
      </c>
      <c r="B774" s="21">
        <v>45356</v>
      </c>
      <c r="C774" s="126" t="s">
        <v>1988</v>
      </c>
      <c r="D774" s="65" t="s">
        <v>1989</v>
      </c>
      <c r="E774" s="65" t="s">
        <v>1990</v>
      </c>
      <c r="F774" t="s">
        <v>1991</v>
      </c>
      <c r="G774" s="161">
        <f>MONTH(EJECUTADO[[#This Row],[FECHA]])</f>
        <v>3</v>
      </c>
      <c r="H774" s="163" t="str">
        <f>MID(EJECUTADO[[#This Row],[CUENTA]],1,4)</f>
        <v>E-12</v>
      </c>
      <c r="I774" s="163" t="str">
        <f>INDEX(CATALOGO[Descripción],MATCH(EJECUTADO[[#This Row],[APLICACIÓN]]&amp;"-00-00-00",CATALOGO[Código],0))</f>
        <v>PROYECCION SOCIAL</v>
      </c>
      <c r="J7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y actividades de Facultad Ciencias Sociales</v>
      </c>
      <c r="K774" s="161" t="str">
        <f>IF((EJECUTADO[[#This Row],[MONTO DISPONIBLE ]]-EJECUTADO[[#This Row],[MONTO SOLICITADO]])&gt;=0,"PRESUPUESTO: SI","PRESUPUESTO: NO")</f>
        <v>PRESUPUESTO: SI</v>
      </c>
      <c r="L774" s="162">
        <f>SUMIF(PRESUPUESTO[CUENTA],EJECUTADO[[#This Row],[CUENTA]],PRESUPUESTO[MONTO])-SUMIF($F$1:F773,EJECUTADO[[#This Row],[CUENTA]],$M$1:M773)</f>
        <v>2000</v>
      </c>
      <c r="M774" s="2">
        <v>621.5</v>
      </c>
      <c r="N774" s="84"/>
      <c r="O774" s="84"/>
      <c r="P774" s="162">
        <f>+EJECUTADO[[#This Row],[MONTO SOLICITADO]]-EJECUTADO[[#This Row],[RETENCION IVA]]-EJECUTADO[[#This Row],[RETENCION ISR]]</f>
        <v>621.5</v>
      </c>
      <c r="Q774" s="84" t="s">
        <v>1971</v>
      </c>
      <c r="R774" s="84" t="s">
        <v>1968</v>
      </c>
      <c r="S774" s="112">
        <v>559</v>
      </c>
      <c r="T774" s="168" t="str">
        <f t="shared" si="24"/>
        <v>PROYECCION SOCIAL - Proyectos y actividades de Facultad Ciencias Sociales Disponible $2000 Solicitado $621.5 PRESUPUESTO: SI</v>
      </c>
    </row>
    <row r="775" spans="1:20" s="117" customFormat="1" ht="75" x14ac:dyDescent="0.25">
      <c r="A775" s="115">
        <f t="shared" si="23"/>
        <v>765</v>
      </c>
      <c r="B775" s="118">
        <v>45356</v>
      </c>
      <c r="C775" s="129" t="s">
        <v>1938</v>
      </c>
      <c r="D775" s="116" t="s">
        <v>1992</v>
      </c>
      <c r="E775" s="116" t="s">
        <v>1993</v>
      </c>
      <c r="F775" s="117" t="s">
        <v>1962</v>
      </c>
      <c r="G775" s="161">
        <f>MONTH(EJECUTADO[[#This Row],[FECHA]])</f>
        <v>3</v>
      </c>
      <c r="H775" s="163" t="str">
        <f>MID(EJECUTADO[[#This Row],[CUENTA]],1,4)</f>
        <v>E-22</v>
      </c>
      <c r="I775" s="163" t="str">
        <f>INDEX(CATALOGO[Descripción],MATCH(EJECUTADO[[#This Row],[APLICACIÓN]]&amp;"-00-00-00",CATALOGO[Código],0))</f>
        <v>CAPACITACIÓN AL PERSONAL</v>
      </c>
      <c r="J7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varias- Vr. Investigaciones y Proyección Social</v>
      </c>
      <c r="K775" s="161" t="str">
        <f>IF((EJECUTADO[[#This Row],[MONTO DISPONIBLE ]]-EJECUTADO[[#This Row],[MONTO SOLICITADO]])&gt;=0,"PRESUPUESTO: SI","PRESUPUESTO: NO")</f>
        <v>PRESUPUESTO: SI</v>
      </c>
      <c r="L775" s="162">
        <f>SUMIF(PRESUPUESTO[CUENTA],EJECUTADO[[#This Row],[CUENTA]],PRESUPUESTO[MONTO])-SUMIF($F$1:F774,EJECUTADO[[#This Row],[CUENTA]],$M$1:M774)</f>
        <v>1637.85</v>
      </c>
      <c r="M775" s="119">
        <v>124.3</v>
      </c>
      <c r="N775" s="120">
        <v>1.1000000000000001</v>
      </c>
      <c r="O775" s="120"/>
      <c r="P775" s="165">
        <f>+EJECUTADO[[#This Row],[MONTO SOLICITADO]]-EJECUTADO[[#This Row],[RETENCION IVA]]-EJECUTADO[[#This Row],[RETENCION ISR]]</f>
        <v>123.2</v>
      </c>
      <c r="Q775" s="120" t="s">
        <v>1971</v>
      </c>
      <c r="R775" s="120" t="s">
        <v>1968</v>
      </c>
      <c r="S775" s="112">
        <v>1</v>
      </c>
      <c r="T775" s="168" t="str">
        <f t="shared" si="24"/>
        <v>CAPACITACIÓN AL PERSONAL - Capacitaciones varias- Vr. Investigaciones y Proyección Social Disponible $1637.85 Solicitado $124.3 PRESUPUESTO: SI</v>
      </c>
    </row>
    <row r="776" spans="1:20" ht="45" x14ac:dyDescent="0.25">
      <c r="A776" s="6">
        <f>+A775+1</f>
        <v>766</v>
      </c>
      <c r="B776" s="21">
        <v>45356</v>
      </c>
      <c r="C776" s="126" t="s">
        <v>1994</v>
      </c>
      <c r="D776" s="65" t="s">
        <v>1995</v>
      </c>
      <c r="E776" s="65" t="s">
        <v>1996</v>
      </c>
      <c r="F776" t="s">
        <v>1997</v>
      </c>
      <c r="G776" s="161">
        <f>MONTH(EJECUTADO[[#This Row],[FECHA]])</f>
        <v>3</v>
      </c>
      <c r="H776" s="163" t="str">
        <f>MID(EJECUTADO[[#This Row],[CUENTA]],1,4)</f>
        <v>E-24</v>
      </c>
      <c r="I776" s="163" t="str">
        <f>INDEX(CATALOGO[Descripción],MATCH(EJECUTADO[[#This Row],[APLICACIÓN]]&amp;"-00-00-00",CATALOGO[Código],0))</f>
        <v>NUEVO INGRESO</v>
      </c>
      <c r="J7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Red de colegios -Desayunos  Red Utec </v>
      </c>
      <c r="K776" s="161" t="str">
        <f>IF((EJECUTADO[[#This Row],[MONTO DISPONIBLE ]]-EJECUTADO[[#This Row],[MONTO SOLICITADO]])&gt;=0,"PRESUPUESTO: SI","PRESUPUESTO: NO")</f>
        <v>PRESUPUESTO: SI</v>
      </c>
      <c r="L776" s="162">
        <f>SUMIF(PRESUPUESTO[CUENTA],EJECUTADO[[#This Row],[CUENTA]],PRESUPUESTO[MONTO])-SUMIF($F$1:F775,EJECUTADO[[#This Row],[CUENTA]],$M$1:M775)</f>
        <v>4000</v>
      </c>
      <c r="M776" s="2">
        <v>3563.35</v>
      </c>
      <c r="N776" s="84"/>
      <c r="O776" s="84"/>
      <c r="P776" s="162">
        <f>+EJECUTADO[[#This Row],[MONTO SOLICITADO]]-EJECUTADO[[#This Row],[RETENCION IVA]]-EJECUTADO[[#This Row],[RETENCION ISR]]</f>
        <v>3563.35</v>
      </c>
      <c r="Q776" s="84" t="s">
        <v>1971</v>
      </c>
      <c r="R776" s="84" t="s">
        <v>1968</v>
      </c>
      <c r="S776">
        <v>810761</v>
      </c>
      <c r="T776" s="168" t="str">
        <f t="shared" si="24"/>
        <v>NUEVO INGRESO - Red de colegios -Desayunos  Red Utec  Disponible $4000 Solicitado $3563.35 PRESUPUESTO: SI</v>
      </c>
    </row>
    <row r="777" spans="1:20" ht="18.75" customHeight="1" x14ac:dyDescent="0.25">
      <c r="A777" s="6">
        <f t="shared" si="23"/>
        <v>767</v>
      </c>
      <c r="B777" s="21">
        <v>45356</v>
      </c>
      <c r="C777" s="126" t="s">
        <v>1998</v>
      </c>
      <c r="D777" s="64" t="s">
        <v>1999</v>
      </c>
      <c r="E777" s="65" t="s">
        <v>2000</v>
      </c>
      <c r="F777" s="117" t="s">
        <v>1690</v>
      </c>
      <c r="G777" s="161">
        <f>MONTH(EJECUTADO[[#This Row],[FECHA]])</f>
        <v>3</v>
      </c>
      <c r="H777" s="163" t="str">
        <f>MID(EJECUTADO[[#This Row],[CUENTA]],1,4)</f>
        <v>E-14</v>
      </c>
      <c r="I777" s="163" t="str">
        <f>INDEX(CATALOGO[Descripción],MATCH(EJECUTADO[[#This Row],[APLICACIÓN]]&amp;"-00-00-00",CATALOGO[Código],0))</f>
        <v>MATERIAL DIDÁCTICO</v>
      </c>
      <c r="J7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777" s="161" t="str">
        <f>IF((EJECUTADO[[#This Row],[MONTO DISPONIBLE ]]-EJECUTADO[[#This Row],[MONTO SOLICITADO]])&gt;=0,"PRESUPUESTO: SI","PRESUPUESTO: NO")</f>
        <v>PRESUPUESTO: NO</v>
      </c>
      <c r="L777" s="162">
        <f>SUMIF(PRESUPUESTO[CUENTA],EJECUTADO[[#This Row],[CUENTA]],PRESUPUESTO[MONTO])-SUMIF($F$1:F776,EJECUTADO[[#This Row],[CUENTA]],$M$1:M776)</f>
        <v>-1031.25</v>
      </c>
      <c r="M777" s="2">
        <v>412.5</v>
      </c>
      <c r="N777" s="84"/>
      <c r="O777" s="84"/>
      <c r="P777" s="162">
        <f>+EJECUTADO[[#This Row],[MONTO SOLICITADO]]-EJECUTADO[[#This Row],[RETENCION IVA]]-EJECUTADO[[#This Row],[RETENCION ISR]]</f>
        <v>412.5</v>
      </c>
      <c r="Q777" s="84" t="s">
        <v>1971</v>
      </c>
      <c r="R777" s="84" t="s">
        <v>1968</v>
      </c>
      <c r="T777" s="168" t="str">
        <f t="shared" si="24"/>
        <v>MATERIAL DIDÁCTICO - PAQUETES DIDACTICOS - FACULTAD DE CIENCIAS SOCIALES Disponible $-1031.25 Solicitado $412.5 PRESUPUESTO: NO</v>
      </c>
    </row>
    <row r="778" spans="1:20" ht="18.75" customHeight="1" x14ac:dyDescent="0.25">
      <c r="A778" s="6" t="s">
        <v>2001</v>
      </c>
      <c r="B778" s="21">
        <v>45356</v>
      </c>
      <c r="C778" s="126" t="s">
        <v>1998</v>
      </c>
      <c r="D778" s="64" t="s">
        <v>2002</v>
      </c>
      <c r="E778" s="65" t="s">
        <v>2003</v>
      </c>
      <c r="F778" t="s">
        <v>1106</v>
      </c>
      <c r="G778" s="161">
        <f>MONTH(EJECUTADO[[#This Row],[FECHA]])</f>
        <v>3</v>
      </c>
      <c r="H778" s="163" t="str">
        <f>MID(EJECUTADO[[#This Row],[CUENTA]],1,4)</f>
        <v>E-12</v>
      </c>
      <c r="I778" s="163" t="str">
        <f>INDEX(CATALOGO[Descripción],MATCH(EJECUTADO[[#This Row],[APLICACIÓN]]&amp;"-00-00-00",CATALOGO[Código],0))</f>
        <v>PROYECCION SOCIAL</v>
      </c>
      <c r="J7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INCENTIVOS -Diplomas estudiantes y docentes</v>
      </c>
      <c r="K778" s="161" t="str">
        <f>IF((EJECUTADO[[#This Row],[MONTO DISPONIBLE ]]-EJECUTADO[[#This Row],[MONTO SOLICITADO]])&gt;=0,"PRESUPUESTO: SI","PRESUPUESTO: NO")</f>
        <v>PRESUPUESTO: SI</v>
      </c>
      <c r="L778" s="162">
        <f>SUMIF(PRESUPUESTO[CUENTA],EJECUTADO[[#This Row],[CUENTA]],PRESUPUESTO[MONTO])-SUMIF($F$1:F777,EJECUTADO[[#This Row],[CUENTA]],$M$1:M777)</f>
        <v>2820.8</v>
      </c>
      <c r="M778" s="2">
        <v>4.5</v>
      </c>
      <c r="N778" s="2"/>
      <c r="O778" s="2"/>
      <c r="P778" s="162">
        <f>+EJECUTADO[[#This Row],[MONTO SOLICITADO]]-EJECUTADO[[#This Row],[RETENCION IVA]]-EJECUTADO[[#This Row],[RETENCION ISR]]</f>
        <v>4.5</v>
      </c>
      <c r="Q778" s="2" t="s">
        <v>1971</v>
      </c>
      <c r="R778" s="2" t="s">
        <v>1968</v>
      </c>
      <c r="T778" s="168" t="str">
        <f t="shared" si="24"/>
        <v>PROYECCION SOCIAL - INCENTIVOS -Diplomas estudiantes y docentes Disponible $2820.8 Solicitado $4.5 PRESUPUESTO: SI</v>
      </c>
    </row>
    <row r="779" spans="1:20" ht="18.75" customHeight="1" x14ac:dyDescent="0.25">
      <c r="A779" s="6" t="s">
        <v>2004</v>
      </c>
      <c r="B779" s="21">
        <v>45356</v>
      </c>
      <c r="C779" s="126" t="s">
        <v>1998</v>
      </c>
      <c r="D779" s="64" t="s">
        <v>2005</v>
      </c>
      <c r="E779" s="65" t="s">
        <v>2006</v>
      </c>
      <c r="F779" t="s">
        <v>1106</v>
      </c>
      <c r="G779" s="161">
        <f>MONTH(EJECUTADO[[#This Row],[FECHA]])</f>
        <v>3</v>
      </c>
      <c r="H779" s="163" t="str">
        <f>MID(EJECUTADO[[#This Row],[CUENTA]],1,4)</f>
        <v>E-12</v>
      </c>
      <c r="I779" s="163" t="str">
        <f>INDEX(CATALOGO[Descripción],MATCH(EJECUTADO[[#This Row],[APLICACIÓN]]&amp;"-00-00-00",CATALOGO[Código],0))</f>
        <v>PROYECCION SOCIAL</v>
      </c>
      <c r="J7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INCENTIVOS -Diplomas estudiantes y docentes</v>
      </c>
      <c r="K779" s="161" t="str">
        <f>IF((EJECUTADO[[#This Row],[MONTO DISPONIBLE ]]-EJECUTADO[[#This Row],[MONTO SOLICITADO]])&gt;=0,"PRESUPUESTO: SI","PRESUPUESTO: NO")</f>
        <v>PRESUPUESTO: SI</v>
      </c>
      <c r="L779" s="162">
        <f>SUMIF(PRESUPUESTO[CUENTA],EJECUTADO[[#This Row],[CUENTA]],PRESUPUESTO[MONTO])-SUMIF($F$1:F778,EJECUTADO[[#This Row],[CUENTA]],$M$1:M778)</f>
        <v>2816.3</v>
      </c>
      <c r="M779" s="2">
        <v>2.25</v>
      </c>
      <c r="N779" s="2"/>
      <c r="O779" s="2"/>
      <c r="P779" s="162">
        <f>+EJECUTADO[[#This Row],[MONTO SOLICITADO]]-EJECUTADO[[#This Row],[RETENCION IVA]]-EJECUTADO[[#This Row],[RETENCION ISR]]</f>
        <v>2.25</v>
      </c>
      <c r="Q779" s="2" t="s">
        <v>1971</v>
      </c>
      <c r="R779" s="2" t="s">
        <v>1968</v>
      </c>
      <c r="T779" s="168" t="str">
        <f t="shared" si="24"/>
        <v>PROYECCION SOCIAL - INCENTIVOS -Diplomas estudiantes y docentes Disponible $2816.3 Solicitado $2.25 PRESUPUESTO: SI</v>
      </c>
    </row>
    <row r="780" spans="1:20" ht="75" x14ac:dyDescent="0.25">
      <c r="A780" s="6">
        <f>+A777+1</f>
        <v>768</v>
      </c>
      <c r="B780" s="21">
        <v>45356</v>
      </c>
      <c r="C780" s="126" t="s">
        <v>1230</v>
      </c>
      <c r="D780" s="65" t="s">
        <v>2007</v>
      </c>
      <c r="E780" s="65" t="s">
        <v>2008</v>
      </c>
      <c r="F780" t="s">
        <v>1232</v>
      </c>
      <c r="G780" s="161">
        <f>MONTH(EJECUTADO[[#This Row],[FECHA]])</f>
        <v>3</v>
      </c>
      <c r="H780" s="163" t="str">
        <f>MID(EJECUTADO[[#This Row],[CUENTA]],1,4)</f>
        <v>E-11</v>
      </c>
      <c r="I780" s="163" t="str">
        <f>INDEX(CATALOGO[Descripción],MATCH(EJECUTADO[[#This Row],[APLICACIÓN]]&amp;"-00-00-00",CATALOGO[Código],0))</f>
        <v>INVESTIGACIONES</v>
      </c>
      <c r="J7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780" s="161" t="str">
        <f>IF((EJECUTADO[[#This Row],[MONTO DISPONIBLE ]]-EJECUTADO[[#This Row],[MONTO SOLICITADO]])&gt;=0,"PRESUPUESTO: SI","PRESUPUESTO: NO")</f>
        <v>PRESUPUESTO: SI</v>
      </c>
      <c r="L780" s="162">
        <f>SUMIF(PRESUPUESTO[CUENTA],EJECUTADO[[#This Row],[CUENTA]],PRESUPUESTO[MONTO])-SUMIF($F$1:F779,EJECUTADO[[#This Row],[CUENTA]],$M$1:M779)</f>
        <v>4344</v>
      </c>
      <c r="M780" s="2">
        <v>500</v>
      </c>
      <c r="N780" s="2">
        <f t="shared" ref="N780:N791" si="25">M780/1.13*(0.01)</f>
        <v>4.4247787610619476</v>
      </c>
      <c r="O780" s="84"/>
      <c r="P780" s="162">
        <f>+EJECUTADO[[#This Row],[MONTO SOLICITADO]]-EJECUTADO[[#This Row],[RETENCION IVA]]-EJECUTADO[[#This Row],[RETENCION ISR]]</f>
        <v>495.57522123893807</v>
      </c>
      <c r="Q780" s="84" t="s">
        <v>1971</v>
      </c>
      <c r="R780" s="84" t="s">
        <v>1968</v>
      </c>
      <c r="S780" s="184" t="s">
        <v>2009</v>
      </c>
      <c r="T780" s="168" t="str">
        <f t="shared" si="24"/>
        <v>INVESTIGACIONES - INSUMOS DE OFICINA Disponible $4344 Solicitado $500 PRESUPUESTO: SI</v>
      </c>
    </row>
    <row r="781" spans="1:20" ht="75" x14ac:dyDescent="0.25">
      <c r="A781" s="6" t="s">
        <v>2010</v>
      </c>
      <c r="B781" s="21">
        <v>45356</v>
      </c>
      <c r="C781" s="126" t="s">
        <v>1230</v>
      </c>
      <c r="D781" s="65" t="s">
        <v>2011</v>
      </c>
      <c r="E781" s="65" t="s">
        <v>2008</v>
      </c>
      <c r="F781" t="s">
        <v>1546</v>
      </c>
      <c r="G781" s="161">
        <f>MONTH(EJECUTADO[[#This Row],[FECHA]])</f>
        <v>3</v>
      </c>
      <c r="H781" s="163" t="str">
        <f>MID(EJECUTADO[[#This Row],[CUENTA]],1,4)</f>
        <v>E-12</v>
      </c>
      <c r="I781" s="163" t="str">
        <f>INDEX(CATALOGO[Descripción],MATCH(EJECUTADO[[#This Row],[APLICACIÓN]]&amp;"-00-00-00",CATALOGO[Código],0))</f>
        <v>PROYECCION SOCIAL</v>
      </c>
      <c r="J7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Impresiones$ 500 X 12</v>
      </c>
      <c r="K781" s="161" t="str">
        <f>IF((EJECUTADO[[#This Row],[MONTO DISPONIBLE ]]-EJECUTADO[[#This Row],[MONTO SOLICITADO]])&gt;=0,"PRESUPUESTO: SI","PRESUPUESTO: NO")</f>
        <v>PRESUPUESTO: SI</v>
      </c>
      <c r="L781" s="162">
        <f>SUMIF(PRESUPUESTO[CUENTA],EJECUTADO[[#This Row],[CUENTA]],PRESUPUESTO[MONTO])-SUMIF($F$1:F780,EJECUTADO[[#This Row],[CUENTA]],$M$1:M780)</f>
        <v>4500</v>
      </c>
      <c r="M781" s="2">
        <v>500</v>
      </c>
      <c r="N781" s="2">
        <f t="shared" si="25"/>
        <v>4.4247787610619476</v>
      </c>
      <c r="O781" s="2"/>
      <c r="P781" s="162">
        <f>+EJECUTADO[[#This Row],[MONTO SOLICITADO]]-EJECUTADO[[#This Row],[RETENCION IVA]]-EJECUTADO[[#This Row],[RETENCION ISR]]</f>
        <v>495.57522123893807</v>
      </c>
      <c r="Q781" s="2" t="s">
        <v>1971</v>
      </c>
      <c r="R781" s="2" t="s">
        <v>1968</v>
      </c>
      <c r="S781" s="184" t="s">
        <v>2009</v>
      </c>
      <c r="T781" s="168" t="str">
        <f t="shared" si="24"/>
        <v>PROYECCION SOCIAL - Impresiones$ 500 X 12 Disponible $4500 Solicitado $500 PRESUPUESTO: SI</v>
      </c>
    </row>
    <row r="782" spans="1:20" ht="60" x14ac:dyDescent="0.25">
      <c r="A782" s="6" t="s">
        <v>2012</v>
      </c>
      <c r="B782" s="21">
        <v>45356</v>
      </c>
      <c r="C782" s="126" t="s">
        <v>1230</v>
      </c>
      <c r="D782" s="65" t="s">
        <v>2013</v>
      </c>
      <c r="E782" s="65" t="s">
        <v>2008</v>
      </c>
      <c r="F782" t="s">
        <v>1234</v>
      </c>
      <c r="G782" s="161">
        <f>MONTH(EJECUTADO[[#This Row],[FECHA]])</f>
        <v>3</v>
      </c>
      <c r="H782" s="163" t="str">
        <f>MID(EJECUTADO[[#This Row],[CUENTA]],1,4)</f>
        <v>E-13</v>
      </c>
      <c r="I782" s="163" t="str">
        <f>INDEX(CATALOGO[Descripción],MATCH(EJECUTADO[[#This Row],[APLICACIÓN]]&amp;"-00-00-00",CATALOGO[Código],0))</f>
        <v>MAESTRIAS Y POSTGRADOS</v>
      </c>
      <c r="J7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Impresiones$ 2400.00 X 12</v>
      </c>
      <c r="K782" s="161" t="str">
        <f>IF((EJECUTADO[[#This Row],[MONTO DISPONIBLE ]]-EJECUTADO[[#This Row],[MONTO SOLICITADO]])&gt;=0,"PRESUPUESTO: SI","PRESUPUESTO: NO")</f>
        <v>PRESUPUESTO: SI</v>
      </c>
      <c r="L782" s="162">
        <f>SUMIF(PRESUPUESTO[CUENTA],EJECUTADO[[#This Row],[CUENTA]],PRESUPUESTO[MONTO])-SUMIF($F$1:F781,EJECUTADO[[#This Row],[CUENTA]],$M$1:M781)</f>
        <v>24000</v>
      </c>
      <c r="M782" s="2">
        <v>2400</v>
      </c>
      <c r="N782" s="2">
        <f t="shared" si="25"/>
        <v>21.238938053097346</v>
      </c>
      <c r="O782" s="2"/>
      <c r="P782" s="162">
        <f>+EJECUTADO[[#This Row],[MONTO SOLICITADO]]-EJECUTADO[[#This Row],[RETENCION IVA]]-EJECUTADO[[#This Row],[RETENCION ISR]]</f>
        <v>2378.7610619469028</v>
      </c>
      <c r="Q782" s="2" t="s">
        <v>1971</v>
      </c>
      <c r="R782" s="2" t="s">
        <v>1968</v>
      </c>
      <c r="S782" s="184" t="s">
        <v>2009</v>
      </c>
      <c r="T782" s="168" t="str">
        <f t="shared" si="24"/>
        <v>MAESTRIAS Y POSTGRADOS - Impresiones$ 2400.00 X 12 Disponible $24000 Solicitado $2400 PRESUPUESTO: SI</v>
      </c>
    </row>
    <row r="783" spans="1:20" ht="60" x14ac:dyDescent="0.25">
      <c r="A783" s="6" t="s">
        <v>2014</v>
      </c>
      <c r="B783" s="21">
        <v>45356</v>
      </c>
      <c r="C783" s="126" t="s">
        <v>1230</v>
      </c>
      <c r="D783" s="65" t="s">
        <v>2015</v>
      </c>
      <c r="E783" s="65" t="s">
        <v>2008</v>
      </c>
      <c r="F783" t="s">
        <v>1235</v>
      </c>
      <c r="G783" s="161">
        <f>MONTH(EJECUTADO[[#This Row],[FECHA]])</f>
        <v>3</v>
      </c>
      <c r="H783" s="163" t="str">
        <f>MID(EJECUTADO[[#This Row],[CUENTA]],1,4)</f>
        <v>E-14</v>
      </c>
      <c r="I783" s="163" t="str">
        <f>INDEX(CATALOGO[Descripción],MATCH(EJECUTADO[[#This Row],[APLICACIÓN]]&amp;"-00-00-00",CATALOGO[Código],0))</f>
        <v>MATERIAL DIDÁCTICO</v>
      </c>
      <c r="J7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- FACULTAD DE CIENCIAS EMPRESARIALES  </v>
      </c>
      <c r="K783" s="161" t="str">
        <f>IF((EJECUTADO[[#This Row],[MONTO DISPONIBLE ]]-EJECUTADO[[#This Row],[MONTO SOLICITADO]])&gt;=0,"PRESUPUESTO: SI","PRESUPUESTO: NO")</f>
        <v>PRESUPUESTO: SI</v>
      </c>
      <c r="L783" s="162">
        <f>SUMIF(PRESUPUESTO[CUENTA],EJECUTADO[[#This Row],[CUENTA]],PRESUPUESTO[MONTO])-SUMIF($F$1:F782,EJECUTADO[[#This Row],[CUENTA]],$M$1:M782)</f>
        <v>34871.919999999998</v>
      </c>
      <c r="M783" s="2">
        <v>3300</v>
      </c>
      <c r="N783" s="2">
        <f t="shared" si="25"/>
        <v>29.20353982300885</v>
      </c>
      <c r="O783" s="2"/>
      <c r="P783" s="162">
        <f>+EJECUTADO[[#This Row],[MONTO SOLICITADO]]-EJECUTADO[[#This Row],[RETENCION IVA]]-EJECUTADO[[#This Row],[RETENCION ISR]]</f>
        <v>3270.7964601769913</v>
      </c>
      <c r="Q783" s="2" t="s">
        <v>1971</v>
      </c>
      <c r="R783" s="2" t="s">
        <v>1968</v>
      </c>
      <c r="S783" s="184" t="s">
        <v>2009</v>
      </c>
      <c r="T783" s="168" t="str">
        <f t="shared" si="24"/>
        <v>MATERIAL DIDÁCTICO - PAPELERIA Y UTILES - FACULTAD DE CIENCIAS EMPRESARIALES   Disponible $34871.92 Solicitado $3300 PRESUPUESTO: SI</v>
      </c>
    </row>
    <row r="784" spans="1:20" ht="60" x14ac:dyDescent="0.25">
      <c r="A784" s="6" t="s">
        <v>2016</v>
      </c>
      <c r="B784" s="21">
        <v>45356</v>
      </c>
      <c r="C784" s="126" t="s">
        <v>1230</v>
      </c>
      <c r="D784" s="65" t="s">
        <v>2015</v>
      </c>
      <c r="E784" s="65" t="s">
        <v>2008</v>
      </c>
      <c r="F784" t="s">
        <v>1236</v>
      </c>
      <c r="G784" s="161">
        <f>MONTH(EJECUTADO[[#This Row],[FECHA]])</f>
        <v>3</v>
      </c>
      <c r="H784" s="163" t="str">
        <f>MID(EJECUTADO[[#This Row],[CUENTA]],1,4)</f>
        <v>E-14</v>
      </c>
      <c r="I784" s="163" t="str">
        <f>INDEX(CATALOGO[Descripción],MATCH(EJECUTADO[[#This Row],[APLICACIÓN]]&amp;"-00-00-00",CATALOGO[Código],0))</f>
        <v>MATERIAL DIDÁCTICO</v>
      </c>
      <c r="J7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INFORMATICA Y CC APLICADAS</v>
      </c>
      <c r="K784" s="161" t="str">
        <f>IF((EJECUTADO[[#This Row],[MONTO DISPONIBLE ]]-EJECUTADO[[#This Row],[MONTO SOLICITADO]])&gt;=0,"PRESUPUESTO: SI","PRESUPUESTO: NO")</f>
        <v>PRESUPUESTO: SI</v>
      </c>
      <c r="L784" s="162">
        <f>SUMIF(PRESUPUESTO[CUENTA],EJECUTADO[[#This Row],[CUENTA]],PRESUPUESTO[MONTO])-SUMIF($F$1:F783,EJECUTADO[[#This Row],[CUENTA]],$M$1:M783)</f>
        <v>74500</v>
      </c>
      <c r="M784" s="2">
        <v>7300</v>
      </c>
      <c r="N784" s="2">
        <f t="shared" si="25"/>
        <v>64.601769911504434</v>
      </c>
      <c r="O784" s="2"/>
      <c r="P784" s="162">
        <f>+EJECUTADO[[#This Row],[MONTO SOLICITADO]]-EJECUTADO[[#This Row],[RETENCION IVA]]-EJECUTADO[[#This Row],[RETENCION ISR]]</f>
        <v>7235.3982300884954</v>
      </c>
      <c r="Q784" s="2" t="s">
        <v>1971</v>
      </c>
      <c r="R784" s="2" t="s">
        <v>1968</v>
      </c>
      <c r="S784" s="184" t="s">
        <v>2009</v>
      </c>
      <c r="T784" s="168" t="str">
        <f t="shared" si="24"/>
        <v>MATERIAL DIDÁCTICO - PAPELERIA Y UTILES - FACULTAD DE INFORMATICA Y CC APLICADAS Disponible $74500 Solicitado $7300 PRESUPUESTO: SI</v>
      </c>
    </row>
    <row r="785" spans="1:20" ht="60" x14ac:dyDescent="0.25">
      <c r="A785" s="6" t="s">
        <v>2017</v>
      </c>
      <c r="B785" s="21">
        <v>45356</v>
      </c>
      <c r="C785" s="126" t="s">
        <v>1230</v>
      </c>
      <c r="D785" s="65" t="s">
        <v>2015</v>
      </c>
      <c r="E785" s="65" t="s">
        <v>2008</v>
      </c>
      <c r="F785" t="s">
        <v>1237</v>
      </c>
      <c r="G785" s="161">
        <f>MONTH(EJECUTADO[[#This Row],[FECHA]])</f>
        <v>3</v>
      </c>
      <c r="H785" s="163" t="str">
        <f>MID(EJECUTADO[[#This Row],[CUENTA]],1,4)</f>
        <v>E-14</v>
      </c>
      <c r="I785" s="163" t="str">
        <f>INDEX(CATALOGO[Descripción],MATCH(EJECUTADO[[#This Row],[APLICACIÓN]]&amp;"-00-00-00",CATALOGO[Código],0))</f>
        <v>MATERIAL DIDÁCTICO</v>
      </c>
      <c r="J7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SOCIALES</v>
      </c>
      <c r="K785" s="161" t="str">
        <f>IF((EJECUTADO[[#This Row],[MONTO DISPONIBLE ]]-EJECUTADO[[#This Row],[MONTO SOLICITADO]])&gt;=0,"PRESUPUESTO: SI","PRESUPUESTO: NO")</f>
        <v>PRESUPUESTO: SI</v>
      </c>
      <c r="L785" s="162">
        <f>SUMIF(PRESUPUESTO[CUENTA],EJECUTADO[[#This Row],[CUENTA]],PRESUPUESTO[MONTO])-SUMIF($F$1:F784,EJECUTADO[[#This Row],[CUENTA]],$M$1:M784)</f>
        <v>59200</v>
      </c>
      <c r="M785" s="2">
        <v>5800</v>
      </c>
      <c r="N785" s="2">
        <f t="shared" si="25"/>
        <v>51.327433628318587</v>
      </c>
      <c r="O785" s="2"/>
      <c r="P785" s="162">
        <f>+EJECUTADO[[#This Row],[MONTO SOLICITADO]]-EJECUTADO[[#This Row],[RETENCION IVA]]-EJECUTADO[[#This Row],[RETENCION ISR]]</f>
        <v>5748.6725663716816</v>
      </c>
      <c r="Q785" s="2" t="s">
        <v>1971</v>
      </c>
      <c r="R785" s="2" t="s">
        <v>1968</v>
      </c>
      <c r="S785" s="184" t="s">
        <v>2009</v>
      </c>
      <c r="T785" s="168" t="str">
        <f t="shared" si="24"/>
        <v>MATERIAL DIDÁCTICO - PAPELERIA Y UTILES - FACULTAD DE CIENCIAS SOCIALES Disponible $59200 Solicitado $5800 PRESUPUESTO: SI</v>
      </c>
    </row>
    <row r="786" spans="1:20" ht="60" x14ac:dyDescent="0.25">
      <c r="A786" s="6" t="s">
        <v>2018</v>
      </c>
      <c r="B786" s="21">
        <v>45356</v>
      </c>
      <c r="C786" s="126" t="s">
        <v>1230</v>
      </c>
      <c r="D786" s="65" t="s">
        <v>2015</v>
      </c>
      <c r="E786" s="65" t="s">
        <v>2008</v>
      </c>
      <c r="F786" t="s">
        <v>1238</v>
      </c>
      <c r="G786" s="161">
        <f>MONTH(EJECUTADO[[#This Row],[FECHA]])</f>
        <v>3</v>
      </c>
      <c r="H786" s="163" t="str">
        <f>MID(EJECUTADO[[#This Row],[CUENTA]],1,4)</f>
        <v>E-14</v>
      </c>
      <c r="I786" s="163" t="str">
        <f>INDEX(CATALOGO[Descripción],MATCH(EJECUTADO[[#This Row],[APLICACIÓN]]&amp;"-00-00-00",CATALOGO[Código],0))</f>
        <v>MATERIAL DIDÁCTICO</v>
      </c>
      <c r="J7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JURIDICAS</v>
      </c>
      <c r="K786" s="161" t="str">
        <f>IF((EJECUTADO[[#This Row],[MONTO DISPONIBLE ]]-EJECUTADO[[#This Row],[MONTO SOLICITADO]])&gt;=0,"PRESUPUESTO: SI","PRESUPUESTO: NO")</f>
        <v>PRESUPUESTO: SI</v>
      </c>
      <c r="L786" s="162">
        <f>SUMIF(PRESUPUESTO[CUENTA],EJECUTADO[[#This Row],[CUENTA]],PRESUPUESTO[MONTO])-SUMIF($F$1:F785,EJECUTADO[[#This Row],[CUENTA]],$M$1:M785)</f>
        <v>19550</v>
      </c>
      <c r="M786" s="2">
        <v>1900</v>
      </c>
      <c r="N786" s="2">
        <f t="shared" si="25"/>
        <v>16.814159292035399</v>
      </c>
      <c r="O786" s="2"/>
      <c r="P786" s="162">
        <f>+EJECUTADO[[#This Row],[MONTO SOLICITADO]]-EJECUTADO[[#This Row],[RETENCION IVA]]-EJECUTADO[[#This Row],[RETENCION ISR]]</f>
        <v>1883.1858407079646</v>
      </c>
      <c r="Q786" s="2" t="s">
        <v>1971</v>
      </c>
      <c r="R786" s="2" t="s">
        <v>1968</v>
      </c>
      <c r="S786" s="184" t="s">
        <v>2009</v>
      </c>
      <c r="T786" s="168" t="str">
        <f t="shared" si="24"/>
        <v>MATERIAL DIDÁCTICO - PAPELERIA Y UTILES - FACULTAD DE CIENCIAS JURIDICAS Disponible $19550 Solicitado $1900 PRESUPUESTO: SI</v>
      </c>
    </row>
    <row r="787" spans="1:20" ht="60" x14ac:dyDescent="0.25">
      <c r="A787" s="6" t="s">
        <v>2019</v>
      </c>
      <c r="B787" s="21">
        <v>45356</v>
      </c>
      <c r="C787" s="126" t="s">
        <v>1230</v>
      </c>
      <c r="D787" s="65" t="s">
        <v>2015</v>
      </c>
      <c r="E787" s="65" t="s">
        <v>2008</v>
      </c>
      <c r="F787" t="s">
        <v>1239</v>
      </c>
      <c r="G787" s="161">
        <f>MONTH(EJECUTADO[[#This Row],[FECHA]])</f>
        <v>3</v>
      </c>
      <c r="H787" s="163" t="str">
        <f>MID(EJECUTADO[[#This Row],[CUENTA]],1,4)</f>
        <v>E-14</v>
      </c>
      <c r="I787" s="163" t="str">
        <f>INDEX(CATALOGO[Descripción],MATCH(EJECUTADO[[#This Row],[APLICACIÓN]]&amp;"-00-00-00",CATALOGO[Código],0))</f>
        <v>MATERIAL DIDÁCTICO</v>
      </c>
      <c r="J7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OTRAS UNIDADES ACADEMICAS</v>
      </c>
      <c r="K787" s="161" t="str">
        <f>IF((EJECUTADO[[#This Row],[MONTO DISPONIBLE ]]-EJECUTADO[[#This Row],[MONTO SOLICITADO]])&gt;=0,"PRESUPUESTO: SI","PRESUPUESTO: NO")</f>
        <v>PRESUPUESTO: SI</v>
      </c>
      <c r="L787" s="162">
        <f>SUMIF(PRESUPUESTO[CUENTA],EJECUTADO[[#This Row],[CUENTA]],PRESUPUESTO[MONTO])-SUMIF($F$1:F786,EJECUTADO[[#This Row],[CUENTA]],$M$1:M786)</f>
        <v>72000</v>
      </c>
      <c r="M787" s="2">
        <v>7200</v>
      </c>
      <c r="N787" s="2">
        <f t="shared" si="25"/>
        <v>63.716814159292042</v>
      </c>
      <c r="O787" s="2"/>
      <c r="P787" s="162">
        <f>+EJECUTADO[[#This Row],[MONTO SOLICITADO]]-EJECUTADO[[#This Row],[RETENCION IVA]]-EJECUTADO[[#This Row],[RETENCION ISR]]</f>
        <v>7136.283185840708</v>
      </c>
      <c r="Q787" s="2" t="s">
        <v>1971</v>
      </c>
      <c r="R787" s="2" t="s">
        <v>1968</v>
      </c>
      <c r="S787" s="184" t="s">
        <v>2009</v>
      </c>
      <c r="T787" s="168" t="str">
        <f t="shared" si="24"/>
        <v>MATERIAL DIDÁCTICO - PAPELERIA Y UTILES - OTRAS UNIDADES ACADEMICAS Disponible $72000 Solicitado $7200 PRESUPUESTO: SI</v>
      </c>
    </row>
    <row r="788" spans="1:20" ht="60" x14ac:dyDescent="0.25">
      <c r="A788" s="6" t="s">
        <v>2020</v>
      </c>
      <c r="B788" s="21">
        <v>45356</v>
      </c>
      <c r="C788" s="126" t="s">
        <v>1230</v>
      </c>
      <c r="D788" s="65" t="s">
        <v>2015</v>
      </c>
      <c r="E788" s="65" t="s">
        <v>2008</v>
      </c>
      <c r="F788" t="s">
        <v>1547</v>
      </c>
      <c r="G788" s="161">
        <f>MONTH(EJECUTADO[[#This Row],[FECHA]])</f>
        <v>3</v>
      </c>
      <c r="H788" s="163" t="str">
        <f>MID(EJECUTADO[[#This Row],[CUENTA]],1,4)</f>
        <v>E-16</v>
      </c>
      <c r="I788" s="163" t="str">
        <f>INDEX(CATALOGO[Descripción],MATCH(EJECUTADO[[#This Row],[APLICACIÓN]]&amp;"-00-00-00",CATALOGO[Código],0))</f>
        <v xml:space="preserve">PRE-ESPECIALIDAD </v>
      </c>
      <c r="J7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Impresiones$ 900.00.00 x 12</v>
      </c>
      <c r="K788" s="161" t="str">
        <f>IF((EJECUTADO[[#This Row],[MONTO DISPONIBLE ]]-EJECUTADO[[#This Row],[MONTO SOLICITADO]])&gt;=0,"PRESUPUESTO: SI","PRESUPUESTO: NO")</f>
        <v>PRESUPUESTO: SI</v>
      </c>
      <c r="L788" s="162">
        <f>SUMIF(PRESUPUESTO[CUENTA],EJECUTADO[[#This Row],[CUENTA]],PRESUPUESTO[MONTO])-SUMIF($F$1:F787,EJECUTADO[[#This Row],[CUENTA]],$M$1:M787)</f>
        <v>9900</v>
      </c>
      <c r="M788" s="2">
        <v>900</v>
      </c>
      <c r="N788" s="2">
        <f t="shared" si="25"/>
        <v>7.9646017699115053</v>
      </c>
      <c r="O788" s="2"/>
      <c r="P788" s="162">
        <f>+EJECUTADO[[#This Row],[MONTO SOLICITADO]]-EJECUTADO[[#This Row],[RETENCION IVA]]-EJECUTADO[[#This Row],[RETENCION ISR]]</f>
        <v>892.0353982300885</v>
      </c>
      <c r="Q788" s="2" t="s">
        <v>1971</v>
      </c>
      <c r="R788" s="2" t="s">
        <v>1968</v>
      </c>
      <c r="S788" s="184" t="s">
        <v>2009</v>
      </c>
      <c r="T788" s="168" t="str">
        <f t="shared" si="24"/>
        <v>PRE-ESPECIALIDAD  - Impresiones$ 900.00.00 x 12 Disponible $9900 Solicitado $900 PRESUPUESTO: SI</v>
      </c>
    </row>
    <row r="789" spans="1:20" ht="60" x14ac:dyDescent="0.25">
      <c r="A789" s="6" t="s">
        <v>2021</v>
      </c>
      <c r="B789" s="21">
        <v>45356</v>
      </c>
      <c r="C789" s="126" t="s">
        <v>1230</v>
      </c>
      <c r="D789" s="65" t="s">
        <v>2015</v>
      </c>
      <c r="E789" s="65" t="s">
        <v>2008</v>
      </c>
      <c r="F789" t="s">
        <v>1241</v>
      </c>
      <c r="G789" s="161">
        <f>MONTH(EJECUTADO[[#This Row],[FECHA]])</f>
        <v>3</v>
      </c>
      <c r="H789" s="163" t="str">
        <f>MID(EJECUTADO[[#This Row],[CUENTA]],1,4)</f>
        <v>E-21</v>
      </c>
      <c r="I789" s="163" t="str">
        <f>INDEX(CATALOGO[Descripción],MATCH(EJECUTADO[[#This Row],[APLICACIÓN]]&amp;"-00-00-00",CATALOGO[Código],0))</f>
        <v>CENTRO DE FORMACION PROFESIONAL y EXT U</v>
      </c>
      <c r="J7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Impresiones$ 1500.00 x 12</v>
      </c>
      <c r="K789" s="161" t="str">
        <f>IF((EJECUTADO[[#This Row],[MONTO DISPONIBLE ]]-EJECUTADO[[#This Row],[MONTO SOLICITADO]])&gt;=0,"PRESUPUESTO: SI","PRESUPUESTO: NO")</f>
        <v>PRESUPUESTO: SI</v>
      </c>
      <c r="L789" s="162">
        <f>SUMIF(PRESUPUESTO[CUENTA],EJECUTADO[[#This Row],[CUENTA]],PRESUPUESTO[MONTO])-SUMIF($F$1:F788,EJECUTADO[[#This Row],[CUENTA]],$M$1:M788)</f>
        <v>16500</v>
      </c>
      <c r="M789" s="2">
        <v>1500</v>
      </c>
      <c r="N789" s="2">
        <f t="shared" si="25"/>
        <v>13.274336283185843</v>
      </c>
      <c r="O789" s="2"/>
      <c r="P789" s="162">
        <f>+EJECUTADO[[#This Row],[MONTO SOLICITADO]]-EJECUTADO[[#This Row],[RETENCION IVA]]-EJECUTADO[[#This Row],[RETENCION ISR]]</f>
        <v>1486.7256637168141</v>
      </c>
      <c r="Q789" s="2" t="s">
        <v>1971</v>
      </c>
      <c r="R789" s="2" t="s">
        <v>1968</v>
      </c>
      <c r="S789" s="184" t="s">
        <v>2009</v>
      </c>
      <c r="T789" s="168" t="str">
        <f t="shared" si="24"/>
        <v>CENTRO DE FORMACION PROFESIONAL y EXT U - Impresiones$ 1500.00 x 12 Disponible $16500 Solicitado $1500 PRESUPUESTO: SI</v>
      </c>
    </row>
    <row r="790" spans="1:20" ht="60" x14ac:dyDescent="0.25">
      <c r="A790" s="6" t="s">
        <v>2022</v>
      </c>
      <c r="B790" s="21">
        <v>45356</v>
      </c>
      <c r="C790" s="126" t="s">
        <v>1230</v>
      </c>
      <c r="D790" s="65" t="s">
        <v>2015</v>
      </c>
      <c r="E790" s="65" t="s">
        <v>2008</v>
      </c>
      <c r="F790" t="s">
        <v>1115</v>
      </c>
      <c r="G790" s="161">
        <f>MONTH(EJECUTADO[[#This Row],[FECHA]])</f>
        <v>3</v>
      </c>
      <c r="H790" s="163" t="str">
        <f>MID(EJECUTADO[[#This Row],[CUENTA]],1,4)</f>
        <v>E-24</v>
      </c>
      <c r="I790" s="163" t="str">
        <f>INDEX(CATALOGO[Descripción],MATCH(EJECUTADO[[#This Row],[APLICACIÓN]]&amp;"-00-00-00",CATALOGO[Código],0))</f>
        <v>NUEVO INGRESO</v>
      </c>
      <c r="J7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Fotocopiadoras totales  $ 2,900.00 x 12</v>
      </c>
      <c r="K790" s="161" t="str">
        <f>IF((EJECUTADO[[#This Row],[MONTO DISPONIBLE ]]-EJECUTADO[[#This Row],[MONTO SOLICITADO]])&gt;=0,"PRESUPUESTO: SI","PRESUPUESTO: NO")</f>
        <v>PRESUPUESTO: SI</v>
      </c>
      <c r="L790" s="162">
        <f>SUMIF(PRESUPUESTO[CUENTA],EJECUTADO[[#This Row],[CUENTA]],PRESUPUESTO[MONTO])-SUMIF($F$1:F789,EJECUTADO[[#This Row],[CUENTA]],$M$1:M789)</f>
        <v>28991.059999999998</v>
      </c>
      <c r="M790" s="2">
        <v>2900</v>
      </c>
      <c r="N790" s="2">
        <f t="shared" si="25"/>
        <v>25.663716814159294</v>
      </c>
      <c r="O790" s="2"/>
      <c r="P790" s="162">
        <f>+EJECUTADO[[#This Row],[MONTO SOLICITADO]]-EJECUTADO[[#This Row],[RETENCION IVA]]-EJECUTADO[[#This Row],[RETENCION ISR]]</f>
        <v>2874.3362831858408</v>
      </c>
      <c r="Q790" s="2" t="s">
        <v>1971</v>
      </c>
      <c r="R790" s="2" t="s">
        <v>1968</v>
      </c>
      <c r="S790" s="184" t="s">
        <v>2009</v>
      </c>
      <c r="T790" s="168" t="str">
        <f t="shared" si="24"/>
        <v>NUEVO INGRESO - Fotocopiadoras totales  $ 2,900.00 x 12 Disponible $28991.06 Solicitado $2900 PRESUPUESTO: SI</v>
      </c>
    </row>
    <row r="791" spans="1:20" ht="60" x14ac:dyDescent="0.25">
      <c r="A791" s="6" t="s">
        <v>2023</v>
      </c>
      <c r="B791" s="21">
        <v>45356</v>
      </c>
      <c r="C791" s="126" t="s">
        <v>1230</v>
      </c>
      <c r="D791" s="65" t="s">
        <v>2015</v>
      </c>
      <c r="E791" s="65" t="s">
        <v>2008</v>
      </c>
      <c r="F791" t="s">
        <v>1242</v>
      </c>
      <c r="G791" s="161">
        <f>MONTH(EJECUTADO[[#This Row],[FECHA]])</f>
        <v>3</v>
      </c>
      <c r="H791" s="163" t="str">
        <f>MID(EJECUTADO[[#This Row],[CUENTA]],1,4)</f>
        <v>E-24</v>
      </c>
      <c r="I791" s="163" t="str">
        <f>INDEX(CATALOGO[Descripción],MATCH(EJECUTADO[[#This Row],[APLICACIÓN]]&amp;"-00-00-00",CATALOGO[Código],0))</f>
        <v>NUEVO INGRESO</v>
      </c>
      <c r="J7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Útiles de Escritorio y otros</v>
      </c>
      <c r="K791" s="161" t="str">
        <f>IF((EJECUTADO[[#This Row],[MONTO DISPONIBLE ]]-EJECUTADO[[#This Row],[MONTO SOLICITADO]])&gt;=0,"PRESUPUESTO: SI","PRESUPUESTO: NO")</f>
        <v>PRESUPUESTO: SI</v>
      </c>
      <c r="L791" s="162">
        <f>SUMIF(PRESUPUESTO[CUENTA],EJECUTADO[[#This Row],[CUENTA]],PRESUPUESTO[MONTO])-SUMIF($F$1:F790,EJECUTADO[[#This Row],[CUENTA]],$M$1:M790)</f>
        <v>1788.49</v>
      </c>
      <c r="M791" s="2">
        <v>600</v>
      </c>
      <c r="N791" s="2">
        <f t="shared" si="25"/>
        <v>5.3097345132743365</v>
      </c>
      <c r="O791" s="2"/>
      <c r="P791" s="162">
        <f>+EJECUTADO[[#This Row],[MONTO SOLICITADO]]-EJECUTADO[[#This Row],[RETENCION IVA]]-EJECUTADO[[#This Row],[RETENCION ISR]]</f>
        <v>594.69026548672571</v>
      </c>
      <c r="Q791" s="2" t="s">
        <v>1971</v>
      </c>
      <c r="R791" s="2" t="s">
        <v>1968</v>
      </c>
      <c r="S791" s="184" t="s">
        <v>2009</v>
      </c>
      <c r="T791" s="168" t="str">
        <f t="shared" si="24"/>
        <v>NUEVO INGRESO - Metrocentro - Útiles de Escritorio y otros Disponible $1788.49 Solicitado $600 PRESUPUESTO: SI</v>
      </c>
    </row>
    <row r="792" spans="1:20" ht="60" x14ac:dyDescent="0.25">
      <c r="A792" s="6" t="s">
        <v>2024</v>
      </c>
      <c r="B792" s="21">
        <v>45356</v>
      </c>
      <c r="C792" s="126" t="s">
        <v>1230</v>
      </c>
      <c r="D792" s="65" t="s">
        <v>2015</v>
      </c>
      <c r="E792" s="65" t="s">
        <v>2008</v>
      </c>
      <c r="F792" t="s">
        <v>1164</v>
      </c>
      <c r="G792" s="161">
        <f>MONTH(EJECUTADO[[#This Row],[FECHA]])</f>
        <v>3</v>
      </c>
      <c r="H792" s="163" t="str">
        <f>MID(EJECUTADO[[#This Row],[CUENTA]],1,4)</f>
        <v>E-24</v>
      </c>
      <c r="I792" s="163" t="str">
        <f>INDEX(CATALOGO[Descripción],MATCH(EJECUTADO[[#This Row],[APLICACIÓN]]&amp;"-00-00-00",CATALOGO[Código],0))</f>
        <v>NUEVO INGRESO</v>
      </c>
      <c r="J7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792" s="161" t="str">
        <f>IF((EJECUTADO[[#This Row],[MONTO DISPONIBLE ]]-EJECUTADO[[#This Row],[MONTO SOLICITADO]])&gt;=0,"PRESUPUESTO: SI","PRESUPUESTO: NO")</f>
        <v>PRESUPUESTO: SI</v>
      </c>
      <c r="L792" s="162">
        <f>SUMIF(PRESUPUESTO[CUENTA],EJECUTADO[[#This Row],[CUENTA]],PRESUPUESTO[MONTO])-SUMIF($F$1:F791,EJECUTADO[[#This Row],[CUENTA]],$M$1:M791)</f>
        <v>2224.48</v>
      </c>
      <c r="M792" s="2">
        <v>600</v>
      </c>
      <c r="N792" s="2">
        <f>M792/1.13*(0.01)</f>
        <v>5.3097345132743365</v>
      </c>
      <c r="O792" s="2"/>
      <c r="P792" s="162">
        <f>+EJECUTADO[[#This Row],[MONTO SOLICITADO]]-EJECUTADO[[#This Row],[RETENCION IVA]]-EJECUTADO[[#This Row],[RETENCION ISR]]</f>
        <v>594.69026548672571</v>
      </c>
      <c r="Q792" s="2" t="s">
        <v>1971</v>
      </c>
      <c r="R792" s="2" t="s">
        <v>1968</v>
      </c>
      <c r="S792" s="184" t="s">
        <v>2009</v>
      </c>
      <c r="T792" s="168" t="str">
        <f t="shared" si="24"/>
        <v>NUEVO INGRESO - Plaza Mundo - Promoción centro de atención Disponible $2224.48 Solicitado $600 PRESUPUESTO: SI</v>
      </c>
    </row>
    <row r="793" spans="1:20" ht="60" x14ac:dyDescent="0.25">
      <c r="A793" s="6" t="s">
        <v>2025</v>
      </c>
      <c r="B793" s="21">
        <v>45356</v>
      </c>
      <c r="C793" s="126" t="s">
        <v>1230</v>
      </c>
      <c r="D793" s="65" t="s">
        <v>2015</v>
      </c>
      <c r="E793" s="65" t="s">
        <v>2008</v>
      </c>
      <c r="F793" t="s">
        <v>2026</v>
      </c>
      <c r="G793" s="161">
        <f>MONTH(EJECUTADO[[#This Row],[FECHA]])</f>
        <v>3</v>
      </c>
      <c r="H793" s="163" t="str">
        <f>MID(EJECUTADO[[#This Row],[CUENTA]],1,4)</f>
        <v>E-25</v>
      </c>
      <c r="I793" s="163" t="str">
        <f>INDEX(CATALOGO[Descripción],MATCH(EJECUTADO[[#This Row],[APLICACIÓN]]&amp;"-00-00-00",CATALOGO[Código],0))</f>
        <v>DECANATO DE ESTUDIANTES</v>
      </c>
      <c r="J7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</v>
      </c>
      <c r="K793" s="161" t="str">
        <f>IF((EJECUTADO[[#This Row],[MONTO DISPONIBLE ]]-EJECUTADO[[#This Row],[MONTO SOLICITADO]])&gt;=0,"PRESUPUESTO: SI","PRESUPUESTO: NO")</f>
        <v>PRESUPUESTO: SI</v>
      </c>
      <c r="L793" s="162">
        <f>SUMIF(PRESUPUESTO[CUENTA],EJECUTADO[[#This Row],[CUENTA]],PRESUPUESTO[MONTO])-SUMIF($F$1:F792,EJECUTADO[[#This Row],[CUENTA]],$M$1:M792)</f>
        <v>8000</v>
      </c>
      <c r="M793" s="2">
        <v>2400</v>
      </c>
      <c r="N793" s="2">
        <f t="shared" ref="N793:N796" si="26">M793/1.13*(0.01)</f>
        <v>21.238938053097346</v>
      </c>
      <c r="O793" s="2"/>
      <c r="P793" s="162">
        <f>+EJECUTADO[[#This Row],[MONTO SOLICITADO]]-EJECUTADO[[#This Row],[RETENCION IVA]]-EJECUTADO[[#This Row],[RETENCION ISR]]</f>
        <v>2378.7610619469028</v>
      </c>
      <c r="Q793" s="2" t="s">
        <v>1971</v>
      </c>
      <c r="R793" s="2" t="s">
        <v>1968</v>
      </c>
      <c r="S793" s="184" t="s">
        <v>2009</v>
      </c>
      <c r="T793" s="168" t="str">
        <f t="shared" si="24"/>
        <v>DECANATO DE ESTUDIANTES - IMPRESIONES Disponible $8000 Solicitado $2400 PRESUPUESTO: SI</v>
      </c>
    </row>
    <row r="794" spans="1:20" ht="60" x14ac:dyDescent="0.25">
      <c r="A794" s="6" t="s">
        <v>2027</v>
      </c>
      <c r="B794" s="21">
        <v>45356</v>
      </c>
      <c r="C794" s="126" t="s">
        <v>1230</v>
      </c>
      <c r="D794" s="65" t="s">
        <v>2015</v>
      </c>
      <c r="E794" s="65" t="s">
        <v>2008</v>
      </c>
      <c r="F794" t="s">
        <v>1245</v>
      </c>
      <c r="G794" s="161">
        <f>MONTH(EJECUTADO[[#This Row],[FECHA]])</f>
        <v>3</v>
      </c>
      <c r="H794" s="163" t="str">
        <f>MID(EJECUTADO[[#This Row],[CUENTA]],1,4)</f>
        <v>E-27</v>
      </c>
      <c r="I794" s="163" t="str">
        <f>INDEX(CATALOGO[Descripción],MATCH(EJECUTADO[[#This Row],[APLICACIÓN]]&amp;"-00-00-00",CATALOGO[Código],0))</f>
        <v>INSUMOS DE OFICINA</v>
      </c>
      <c r="J7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794" s="161" t="str">
        <f>IF((EJECUTADO[[#This Row],[MONTO DISPONIBLE ]]-EJECUTADO[[#This Row],[MONTO SOLICITADO]])&gt;=0,"PRESUPUESTO: SI","PRESUPUESTO: NO")</f>
        <v>PRESUPUESTO: SI</v>
      </c>
      <c r="L794" s="162">
        <f>SUMIF(PRESUPUESTO[CUENTA],EJECUTADO[[#This Row],[CUENTA]],PRESUPUESTO[MONTO])-SUMIF($F$1:F793,EJECUTADO[[#This Row],[CUENTA]],$M$1:M793)</f>
        <v>56900.36</v>
      </c>
      <c r="M794" s="2">
        <v>5880</v>
      </c>
      <c r="N794" s="2">
        <f t="shared" si="26"/>
        <v>52.035398230088504</v>
      </c>
      <c r="O794" s="2"/>
      <c r="P794" s="162">
        <f>+EJECUTADO[[#This Row],[MONTO SOLICITADO]]-EJECUTADO[[#This Row],[RETENCION IVA]]-EJECUTADO[[#This Row],[RETENCION ISR]]</f>
        <v>5827.9646017699115</v>
      </c>
      <c r="Q794" s="2" t="s">
        <v>1971</v>
      </c>
      <c r="R794" s="2" t="s">
        <v>1968</v>
      </c>
      <c r="S794" s="184" t="s">
        <v>2009</v>
      </c>
      <c r="T794" s="168" t="str">
        <f t="shared" si="24"/>
        <v>INSUMOS DE OFICINA - IMPRESIONES ADMINISTRATIVAS Disponible $56900.36 Solicitado $5880 PRESUPUESTO: SI</v>
      </c>
    </row>
    <row r="795" spans="1:20" ht="60" x14ac:dyDescent="0.25">
      <c r="A795" s="6" t="s">
        <v>2028</v>
      </c>
      <c r="B795" s="21">
        <v>45356</v>
      </c>
      <c r="C795" s="126" t="s">
        <v>1230</v>
      </c>
      <c r="D795" s="65" t="s">
        <v>2015</v>
      </c>
      <c r="E795" s="65" t="s">
        <v>2008</v>
      </c>
      <c r="F795" t="s">
        <v>1549</v>
      </c>
      <c r="G795" s="161">
        <f>MONTH(EJECUTADO[[#This Row],[FECHA]])</f>
        <v>3</v>
      </c>
      <c r="H795" s="163" t="str">
        <f>MID(EJECUTADO[[#This Row],[CUENTA]],1,4)</f>
        <v>E-29</v>
      </c>
      <c r="I795" s="163" t="str">
        <f>INDEX(CATALOGO[Descripción],MATCH(EJECUTADO[[#This Row],[APLICACIÓN]]&amp;"-00-00-00",CATALOGO[Código],0))</f>
        <v xml:space="preserve">BIBLIOTECA </v>
      </c>
      <c r="J7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$ 1,020.00 x 12</v>
      </c>
      <c r="K795" s="161" t="str">
        <f>IF((EJECUTADO[[#This Row],[MONTO DISPONIBLE ]]-EJECUTADO[[#This Row],[MONTO SOLICITADO]])&gt;=0,"PRESUPUESTO: SI","PRESUPUESTO: NO")</f>
        <v>PRESUPUESTO: SI</v>
      </c>
      <c r="L795" s="162">
        <f>SUMIF(PRESUPUESTO[CUENTA],EJECUTADO[[#This Row],[CUENTA]],PRESUPUESTO[MONTO])-SUMIF($F$1:F794,EJECUTADO[[#This Row],[CUENTA]],$M$1:M794)</f>
        <v>11220</v>
      </c>
      <c r="M795" s="2">
        <v>1020</v>
      </c>
      <c r="N795" s="2">
        <f t="shared" si="26"/>
        <v>9.0265486725663724</v>
      </c>
      <c r="O795" s="2"/>
      <c r="P795" s="162">
        <f>+EJECUTADO[[#This Row],[MONTO SOLICITADO]]-EJECUTADO[[#This Row],[RETENCION IVA]]-EJECUTADO[[#This Row],[RETENCION ISR]]</f>
        <v>1010.9734513274336</v>
      </c>
      <c r="Q795" s="2" t="s">
        <v>1971</v>
      </c>
      <c r="R795" s="2" t="s">
        <v>1968</v>
      </c>
      <c r="S795" s="184" t="s">
        <v>2009</v>
      </c>
      <c r="T795" s="168" t="str">
        <f t="shared" si="24"/>
        <v>BIBLIOTECA  - Impresiones $ 1,020.00 x 12 Disponible $11220 Solicitado $1020 PRESUPUESTO: SI</v>
      </c>
    </row>
    <row r="796" spans="1:20" ht="60" x14ac:dyDescent="0.25">
      <c r="A796" s="6" t="s">
        <v>2029</v>
      </c>
      <c r="B796" s="21">
        <v>45356</v>
      </c>
      <c r="C796" s="126" t="s">
        <v>1230</v>
      </c>
      <c r="D796" s="65" t="s">
        <v>2015</v>
      </c>
      <c r="E796" s="65" t="s">
        <v>2008</v>
      </c>
      <c r="F796" t="s">
        <v>1247</v>
      </c>
      <c r="G796" s="161">
        <f>MONTH(EJECUTADO[[#This Row],[FECHA]])</f>
        <v>3</v>
      </c>
      <c r="H796" s="163" t="str">
        <f>MID(EJECUTADO[[#This Row],[CUENTA]],1,4)</f>
        <v>E-32</v>
      </c>
      <c r="I796" s="163" t="str">
        <f>INDEX(CATALOGO[Descripción],MATCH(EJECUTADO[[#This Row],[APLICACIÓN]]&amp;"-00-00-00",CATALOGO[Código],0))</f>
        <v>RELACIONES INTERNACIONALES</v>
      </c>
      <c r="J7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$500.0</v>
      </c>
      <c r="K796" s="161" t="str">
        <f>IF((EJECUTADO[[#This Row],[MONTO DISPONIBLE ]]-EJECUTADO[[#This Row],[MONTO SOLICITADO]])&gt;=0,"PRESUPUESTO: SI","PRESUPUESTO: NO")</f>
        <v>PRESUPUESTO: SI</v>
      </c>
      <c r="L796" s="162">
        <f>SUMIF(PRESUPUESTO[CUENTA],EJECUTADO[[#This Row],[CUENTA]],PRESUPUESTO[MONTO])-SUMIF($F$1:F795,EJECUTADO[[#This Row],[CUENTA]],$M$1:M795)</f>
        <v>5500</v>
      </c>
      <c r="M796" s="2">
        <v>500</v>
      </c>
      <c r="N796" s="2">
        <f t="shared" si="26"/>
        <v>4.4247787610619476</v>
      </c>
      <c r="O796" s="2"/>
      <c r="P796" s="162">
        <f>+EJECUTADO[[#This Row],[MONTO SOLICITADO]]-EJECUTADO[[#This Row],[RETENCION IVA]]-EJECUTADO[[#This Row],[RETENCION ISR]]</f>
        <v>495.57522123893807</v>
      </c>
      <c r="Q796" s="2" t="s">
        <v>1971</v>
      </c>
      <c r="R796" s="2" t="s">
        <v>1968</v>
      </c>
      <c r="S796" s="184" t="s">
        <v>2009</v>
      </c>
      <c r="T796" s="168" t="str">
        <f t="shared" si="24"/>
        <v>RELACIONES INTERNACIONALES - Impresiones $500.0 Disponible $5500 Solicitado $500 PRESUPUESTO: SI</v>
      </c>
    </row>
    <row r="797" spans="1:20" ht="45" x14ac:dyDescent="0.25">
      <c r="A797" s="115">
        <f>+A780+1</f>
        <v>769</v>
      </c>
      <c r="B797" s="118">
        <v>45356</v>
      </c>
      <c r="C797" s="129" t="s">
        <v>2030</v>
      </c>
      <c r="D797" s="65" t="s">
        <v>2031</v>
      </c>
      <c r="E797" s="116" t="s">
        <v>2032</v>
      </c>
      <c r="F797" t="s">
        <v>1615</v>
      </c>
      <c r="G797" s="161">
        <f>MONTH(EJECUTADO[[#This Row],[FECHA]])</f>
        <v>3</v>
      </c>
      <c r="H797" s="163" t="str">
        <f>MID(EJECUTADO[[#This Row],[CUENTA]],1,4)</f>
        <v>E-09</v>
      </c>
      <c r="I797" s="163" t="str">
        <f>INDEX(CATALOGO[Descripción],MATCH(EJECUTADO[[#This Row],[APLICACIÓN]]&amp;"-00-00-00",CATALOGO[Código],0))</f>
        <v>PRESTACIONES AL PERSONAL</v>
      </c>
      <c r="J7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CLINICA EMPRESARIAL</v>
      </c>
      <c r="K797" s="161" t="str">
        <f>IF((EJECUTADO[[#This Row],[MONTO DISPONIBLE ]]-EJECUTADO[[#This Row],[MONTO SOLICITADO]])&gt;=0,"PRESUPUESTO: SI","PRESUPUESTO: NO")</f>
        <v>PRESUPUESTO: SI</v>
      </c>
      <c r="L797" s="162">
        <f>SUMIF(PRESUPUESTO[CUENTA],EJECUTADO[[#This Row],[CUENTA]],PRESUPUESTO[MONTO])-SUMIF($F$1:F796,EJECUTADO[[#This Row],[CUENTA]],$M$1:M796)</f>
        <v>1432.36</v>
      </c>
      <c r="M797" s="2">
        <v>24.48</v>
      </c>
      <c r="N797" s="84"/>
      <c r="O797" s="84"/>
      <c r="P797" s="162">
        <f>+EJECUTADO[[#This Row],[MONTO SOLICITADO]]-EJECUTADO[[#This Row],[RETENCION IVA]]-EJECUTADO[[#This Row],[RETENCION ISR]]</f>
        <v>24.48</v>
      </c>
      <c r="Q797" s="84" t="s">
        <v>1971</v>
      </c>
      <c r="R797" s="84" t="s">
        <v>1968</v>
      </c>
      <c r="S797">
        <v>810762</v>
      </c>
      <c r="T797" s="168" t="str">
        <f t="shared" si="24"/>
        <v>PRESTACIONES AL PERSONAL - CLINICA EMPRESARIAL Disponible $1432.36 Solicitado $24.48 PRESUPUESTO: SI</v>
      </c>
    </row>
    <row r="798" spans="1:20" ht="90" x14ac:dyDescent="0.25">
      <c r="A798" s="6">
        <f t="shared" ref="A798:A879" si="27">+A797+1</f>
        <v>770</v>
      </c>
      <c r="B798" s="21">
        <v>45356</v>
      </c>
      <c r="C798" s="126" t="s">
        <v>1021</v>
      </c>
      <c r="D798" s="65" t="s">
        <v>2033</v>
      </c>
      <c r="E798" s="65" t="s">
        <v>2034</v>
      </c>
      <c r="F798" t="s">
        <v>1183</v>
      </c>
      <c r="G798" s="161">
        <f>MONTH(EJECUTADO[[#This Row],[FECHA]])</f>
        <v>3</v>
      </c>
      <c r="H798" s="163" t="str">
        <f>MID(EJECUTADO[[#This Row],[CUENTA]],1,4)</f>
        <v>E-22</v>
      </c>
      <c r="I798" s="163" t="str">
        <f>INDEX(CATALOGO[Descripción],MATCH(EJECUTADO[[#This Row],[APLICACIÓN]]&amp;"-00-00-00",CATALOGO[Código],0))</f>
        <v>CAPACITACIÓN AL PERSONAL</v>
      </c>
      <c r="J7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798" s="161" t="str">
        <f>IF((EJECUTADO[[#This Row],[MONTO DISPONIBLE ]]-EJECUTADO[[#This Row],[MONTO SOLICITADO]])&gt;=0,"PRESUPUESTO: SI","PRESUPUESTO: NO")</f>
        <v>PRESUPUESTO: SI</v>
      </c>
      <c r="L798" s="162">
        <f>SUMIF(PRESUPUESTO[CUENTA],EJECUTADO[[#This Row],[CUENTA]],PRESUPUESTO[MONTO])-SUMIF($F$1:F797,EJECUTADO[[#This Row],[CUENTA]],$M$1:M797)</f>
        <v>7669.1</v>
      </c>
      <c r="M798" s="2">
        <v>57</v>
      </c>
      <c r="N798" s="84"/>
      <c r="O798" s="84"/>
      <c r="P798" s="162">
        <f>+EJECUTADO[[#This Row],[MONTO SOLICITADO]]-EJECUTADO[[#This Row],[RETENCION IVA]]-EJECUTADO[[#This Row],[RETENCION ISR]]</f>
        <v>57</v>
      </c>
      <c r="Q798" s="84" t="s">
        <v>1971</v>
      </c>
      <c r="R798" s="84" t="s">
        <v>1968</v>
      </c>
      <c r="S798" s="112">
        <v>552</v>
      </c>
      <c r="T798" s="168" t="str">
        <f t="shared" si="24"/>
        <v>CAPACITACIÓN AL PERSONAL - Otras capacitaciones Disponible $7669.1 Solicitado $57 PRESUPUESTO: SI</v>
      </c>
    </row>
    <row r="799" spans="1:20" ht="90" x14ac:dyDescent="0.25">
      <c r="A799" s="121" t="s">
        <v>2035</v>
      </c>
      <c r="B799" s="21">
        <v>45356</v>
      </c>
      <c r="C799" s="126" t="s">
        <v>1021</v>
      </c>
      <c r="D799" s="65" t="s">
        <v>2036</v>
      </c>
      <c r="E799" s="65" t="s">
        <v>2037</v>
      </c>
      <c r="F799" t="s">
        <v>1183</v>
      </c>
      <c r="G799" s="161">
        <f>MONTH(EJECUTADO[[#This Row],[FECHA]])</f>
        <v>3</v>
      </c>
      <c r="H799" s="163" t="str">
        <f>MID(EJECUTADO[[#This Row],[CUENTA]],1,4)</f>
        <v>E-22</v>
      </c>
      <c r="I799" s="163" t="str">
        <f>INDEX(CATALOGO[Descripción],MATCH(EJECUTADO[[#This Row],[APLICACIÓN]]&amp;"-00-00-00",CATALOGO[Código],0))</f>
        <v>CAPACITACIÓN AL PERSONAL</v>
      </c>
      <c r="J7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799" s="161" t="str">
        <f>IF((EJECUTADO[[#This Row],[MONTO DISPONIBLE ]]-EJECUTADO[[#This Row],[MONTO SOLICITADO]])&gt;=0,"PRESUPUESTO: SI","PRESUPUESTO: NO")</f>
        <v>PRESUPUESTO: SI</v>
      </c>
      <c r="L799" s="162">
        <f>SUMIF(PRESUPUESTO[CUENTA],EJECUTADO[[#This Row],[CUENTA]],PRESUPUESTO[MONTO])-SUMIF($F$1:F798,EJECUTADO[[#This Row],[CUENTA]],$M$1:M798)</f>
        <v>7612.1</v>
      </c>
      <c r="M799" s="2">
        <v>57</v>
      </c>
      <c r="N799" s="2"/>
      <c r="O799" s="2"/>
      <c r="P799" s="162">
        <f>+EJECUTADO[[#This Row],[MONTO SOLICITADO]]-EJECUTADO[[#This Row],[RETENCION IVA]]-EJECUTADO[[#This Row],[RETENCION ISR]]</f>
        <v>57</v>
      </c>
      <c r="Q799" s="2" t="s">
        <v>1971</v>
      </c>
      <c r="R799" s="2" t="s">
        <v>1968</v>
      </c>
      <c r="S799" s="112">
        <v>552</v>
      </c>
      <c r="T799" s="168" t="str">
        <f t="shared" si="24"/>
        <v>CAPACITACIÓN AL PERSONAL - Otras capacitaciones Disponible $7612.1 Solicitado $57 PRESUPUESTO: SI</v>
      </c>
    </row>
    <row r="800" spans="1:20" ht="45" x14ac:dyDescent="0.25">
      <c r="A800" s="6">
        <f>+A798+1</f>
        <v>771</v>
      </c>
      <c r="B800" s="21">
        <v>45356</v>
      </c>
      <c r="C800" s="126" t="s">
        <v>2038</v>
      </c>
      <c r="D800" s="65" t="s">
        <v>2039</v>
      </c>
      <c r="E800" s="65" t="s">
        <v>2040</v>
      </c>
      <c r="F800" t="s">
        <v>1680</v>
      </c>
      <c r="G800" s="161">
        <f>MONTH(EJECUTADO[[#This Row],[FECHA]])</f>
        <v>3</v>
      </c>
      <c r="H800" s="163" t="str">
        <f>MID(EJECUTADO[[#This Row],[CUENTA]],1,4)</f>
        <v>E-32</v>
      </c>
      <c r="I800" s="163" t="str">
        <f>INDEX(CATALOGO[Descripción],MATCH(EJECUTADO[[#This Row],[APLICACIÓN]]&amp;"-00-00-00",CATALOGO[Código],0))</f>
        <v>RELACIONES INTERNACIONALES</v>
      </c>
      <c r="J8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Correo internacional (DHL)</v>
      </c>
      <c r="K800" s="161" t="str">
        <f>IF((EJECUTADO[[#This Row],[MONTO DISPONIBLE ]]-EJECUTADO[[#This Row],[MONTO SOLICITADO]])&gt;=0,"PRESUPUESTO: SI","PRESUPUESTO: NO")</f>
        <v>PRESUPUESTO: SI</v>
      </c>
      <c r="L800" s="162">
        <f>SUMIF(PRESUPUESTO[CUENTA],EJECUTADO[[#This Row],[CUENTA]],PRESUPUESTO[MONTO])-SUMIF($F$1:F799,EJECUTADO[[#This Row],[CUENTA]],$M$1:M799)</f>
        <v>895.92</v>
      </c>
      <c r="M800" s="2">
        <v>293.47000000000003</v>
      </c>
      <c r="N800" s="84"/>
      <c r="O800" s="84"/>
      <c r="P800" s="162">
        <f>+EJECUTADO[[#This Row],[MONTO SOLICITADO]]-EJECUTADO[[#This Row],[RETENCION IVA]]-EJECUTADO[[#This Row],[RETENCION ISR]]</f>
        <v>293.47000000000003</v>
      </c>
      <c r="Q800" s="84" t="s">
        <v>1967</v>
      </c>
      <c r="R800" s="84" t="s">
        <v>1968</v>
      </c>
      <c r="S800" s="112">
        <v>173</v>
      </c>
      <c r="T800" s="168" t="str">
        <f t="shared" si="24"/>
        <v>RELACIONES INTERNACIONALES - Correo internacional (DHL) Disponible $895.92 Solicitado $293.47 PRESUPUESTO: SI</v>
      </c>
    </row>
    <row r="801" spans="1:20" ht="60" x14ac:dyDescent="0.25">
      <c r="A801" s="6">
        <f t="shared" si="27"/>
        <v>772</v>
      </c>
      <c r="B801" s="21">
        <v>45356</v>
      </c>
      <c r="C801" s="143" t="s">
        <v>2041</v>
      </c>
      <c r="D801" s="65" t="s">
        <v>2042</v>
      </c>
      <c r="E801" s="65" t="s">
        <v>2043</v>
      </c>
      <c r="F801" s="37" t="s">
        <v>2044</v>
      </c>
      <c r="G801" s="161">
        <f>MONTH(EJECUTADO[[#This Row],[FECHA]])</f>
        <v>3</v>
      </c>
      <c r="H801" s="163" t="str">
        <f>MID(EJECUTADO[[#This Row],[CUENTA]],1,4)</f>
        <v>E-12</v>
      </c>
      <c r="I801" s="163" t="str">
        <f>INDEX(CATALOGO[Descripción],MATCH(EJECUTADO[[#This Row],[APLICACIÓN]]&amp;"-00-00-00",CATALOGO[Código],0))</f>
        <v>PROYECCION SOCIAL</v>
      </c>
      <c r="J8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LAB 3D Renta de equipo $ 2.260.00 x 12 Acelera</v>
      </c>
      <c r="K801" s="161" t="str">
        <f>IF((EJECUTADO[[#This Row],[MONTO DISPONIBLE ]]-EJECUTADO[[#This Row],[MONTO SOLICITADO]])&gt;=0,"PRESUPUESTO: SI","PRESUPUESTO: NO")</f>
        <v>PRESUPUESTO: SI</v>
      </c>
      <c r="L801" s="162">
        <f>SUMIF(PRESUPUESTO[CUENTA],EJECUTADO[[#This Row],[CUENTA]],PRESUPUESTO[MONTO])-SUMIF($F$1:F800,EJECUTADO[[#This Row],[CUENTA]],$M$1:M800)</f>
        <v>27120</v>
      </c>
      <c r="M801" s="2">
        <v>2260</v>
      </c>
      <c r="N801" s="84"/>
      <c r="O801" s="84"/>
      <c r="P801" s="162">
        <f>+EJECUTADO[[#This Row],[MONTO SOLICITADO]]-EJECUTADO[[#This Row],[RETENCION IVA]]-EJECUTADO[[#This Row],[RETENCION ISR]]</f>
        <v>2260</v>
      </c>
      <c r="Q801" s="84" t="s">
        <v>1971</v>
      </c>
      <c r="R801" s="84" t="s">
        <v>1968</v>
      </c>
      <c r="S801" s="112">
        <v>1875495</v>
      </c>
      <c r="T801" s="168" t="str">
        <f t="shared" si="24"/>
        <v>PROYECCION SOCIAL - LAB 3D Renta de equipo $ 2.260.00 x 12 Acelera Disponible $27120 Solicitado $2260 PRESUPUESTO: SI</v>
      </c>
    </row>
    <row r="802" spans="1:20" ht="45" x14ac:dyDescent="0.25">
      <c r="A802" s="6">
        <v>773</v>
      </c>
      <c r="B802" s="21">
        <v>45356</v>
      </c>
      <c r="C802" s="126" t="s">
        <v>2045</v>
      </c>
      <c r="D802" s="65" t="s">
        <v>2046</v>
      </c>
      <c r="E802" s="65" t="s">
        <v>2047</v>
      </c>
      <c r="F802" t="s">
        <v>1178</v>
      </c>
      <c r="G802" s="161">
        <f>MONTH(EJECUTADO[[#This Row],[FECHA]])</f>
        <v>3</v>
      </c>
      <c r="H802" s="163" t="str">
        <f>MID(EJECUTADO[[#This Row],[CUENTA]],1,4)</f>
        <v>E-22</v>
      </c>
      <c r="I802" s="163" t="str">
        <f>INDEX(CATALOGO[Descripción],MATCH(EJECUTADO[[#This Row],[APLICACIÓN]]&amp;"-00-00-00",CATALOGO[Código],0))</f>
        <v>CAPACITACIÓN AL PERSONAL</v>
      </c>
      <c r="J8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Doctorado en Educaión, Lic. Aldo Maldonado</v>
      </c>
      <c r="K802" s="161" t="str">
        <f>IF((EJECUTADO[[#This Row],[MONTO DISPONIBLE ]]-EJECUTADO[[#This Row],[MONTO SOLICITADO]])&gt;=0,"PRESUPUESTO: SI","PRESUPUESTO: NO")</f>
        <v>PRESUPUESTO: SI</v>
      </c>
      <c r="L802" s="162">
        <f>SUMIF(PRESUPUESTO[CUENTA],EJECUTADO[[#This Row],[CUENTA]],PRESUPUESTO[MONTO])-SUMIF($F$1:F801,EJECUTADO[[#This Row],[CUENTA]],$M$1:M801)</f>
        <v>2075.06</v>
      </c>
      <c r="M802" s="2">
        <v>296.63</v>
      </c>
      <c r="N802" s="84">
        <v>34.130000000000003</v>
      </c>
      <c r="O802" s="84">
        <v>52.5</v>
      </c>
      <c r="P802" s="162">
        <f>+EJECUTADO[[#This Row],[MONTO SOLICITADO]]-EJECUTADO[[#This Row],[RETENCION IVA]]-EJECUTADO[[#This Row],[RETENCION ISR]]</f>
        <v>210</v>
      </c>
      <c r="Q802" s="84" t="s">
        <v>1786</v>
      </c>
      <c r="R802" s="84"/>
      <c r="T802" s="168" t="str">
        <f t="shared" si="24"/>
        <v>CAPACITACIÓN AL PERSONAL - FCCS - Doctorado en Educaión, Lic. Aldo Maldonado Disponible $2075.06 Solicitado $296.63 PRESUPUESTO: SI</v>
      </c>
    </row>
    <row r="803" spans="1:20" ht="45" x14ac:dyDescent="0.25">
      <c r="A803" s="6">
        <f t="shared" si="27"/>
        <v>774</v>
      </c>
      <c r="B803" s="21">
        <v>45356</v>
      </c>
      <c r="C803" s="126" t="s">
        <v>1227</v>
      </c>
      <c r="D803" s="65" t="s">
        <v>2048</v>
      </c>
      <c r="E803" s="65" t="s">
        <v>2049</v>
      </c>
      <c r="F803" t="s">
        <v>1229</v>
      </c>
      <c r="G803" s="161">
        <f>MONTH(EJECUTADO[[#This Row],[FECHA]])</f>
        <v>3</v>
      </c>
      <c r="H803" s="163" t="str">
        <f>MID(EJECUTADO[[#This Row],[CUENTA]],1,4)</f>
        <v>E-03</v>
      </c>
      <c r="I803" s="163" t="str">
        <f>INDEX(CATALOGO[Descripción],MATCH(EJECUTADO[[#This Row],[APLICACIÓN]]&amp;"-00-00-00",CATALOGO[Código],0))</f>
        <v>SUELDOS ADMINISTRATIVOS</v>
      </c>
      <c r="J8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803" s="161" t="str">
        <f>IF((EJECUTADO[[#This Row],[MONTO DISPONIBLE ]]-EJECUTADO[[#This Row],[MONTO SOLICITADO]])&gt;=0,"PRESUPUESTO: SI","PRESUPUESTO: NO")</f>
        <v>PRESUPUESTO: SI</v>
      </c>
      <c r="L803" s="162">
        <f>SUMIF(PRESUPUESTO[CUENTA],EJECUTADO[[#This Row],[CUENTA]],PRESUPUESTO[MONTO])-SUMIF($F$1:F802,EJECUTADO[[#This Row],[CUENTA]],$M$1:M802)</f>
        <v>114400</v>
      </c>
      <c r="M803" s="2">
        <v>350</v>
      </c>
      <c r="N803" s="84"/>
      <c r="O803" s="84">
        <v>35</v>
      </c>
      <c r="P803" s="162">
        <f>+EJECUTADO[[#This Row],[MONTO SOLICITADO]]-EJECUTADO[[#This Row],[RETENCION IVA]]-EJECUTADO[[#This Row],[RETENCION ISR]]</f>
        <v>315</v>
      </c>
      <c r="Q803" s="84" t="s">
        <v>1786</v>
      </c>
      <c r="R803" s="84"/>
      <c r="S803">
        <v>1875487</v>
      </c>
      <c r="T803" s="168" t="str">
        <f t="shared" si="24"/>
        <v>SUELDOS ADMINISTRATIVOS - SUELDOS Y SALARIOS DIRECCIÓN DE COMUNICACIONES Disponible $114400 Solicitado $350 PRESUPUESTO: SI</v>
      </c>
    </row>
    <row r="804" spans="1:20" ht="30" x14ac:dyDescent="0.25">
      <c r="A804" s="6">
        <f t="shared" si="27"/>
        <v>775</v>
      </c>
      <c r="B804" s="21">
        <v>45357</v>
      </c>
      <c r="C804" s="126" t="s">
        <v>1279</v>
      </c>
      <c r="D804" s="65" t="s">
        <v>2050</v>
      </c>
      <c r="E804" s="65"/>
      <c r="F804" t="s">
        <v>1281</v>
      </c>
      <c r="G804" s="161">
        <f>MONTH(EJECUTADO[[#This Row],[FECHA]])</f>
        <v>3</v>
      </c>
      <c r="H804" s="163" t="str">
        <f>MID(EJECUTADO[[#This Row],[CUENTA]],1,4)</f>
        <v>E-03</v>
      </c>
      <c r="I804" s="163" t="str">
        <f>INDEX(CATALOGO[Descripción],MATCH(EJECUTADO[[#This Row],[APLICACIÓN]]&amp;"-00-00-00",CATALOGO[Código],0))</f>
        <v>SUELDOS ADMINISTRATIVOS</v>
      </c>
      <c r="J8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804" s="161" t="str">
        <f>IF((EJECUTADO[[#This Row],[MONTO DISPONIBLE ]]-EJECUTADO[[#This Row],[MONTO SOLICITADO]])&gt;=0,"PRESUPUESTO: SI","PRESUPUESTO: NO")</f>
        <v>PRESUPUESTO: SI</v>
      </c>
      <c r="L804" s="162">
        <f>SUMIF(PRESUPUESTO[CUENTA],EJECUTADO[[#This Row],[CUENTA]],PRESUPUESTO[MONTO])-SUMIF($F$1:F803,EJECUTADO[[#This Row],[CUENTA]],$M$1:M803)</f>
        <v>265172.49</v>
      </c>
      <c r="M804" s="2">
        <v>275</v>
      </c>
      <c r="N804" s="84"/>
      <c r="O804" s="84">
        <v>27.5</v>
      </c>
      <c r="P804" s="162">
        <f>+EJECUTADO[[#This Row],[MONTO SOLICITADO]]-EJECUTADO[[#This Row],[RETENCION IVA]]-EJECUTADO[[#This Row],[RETENCION ISR]]</f>
        <v>247.5</v>
      </c>
      <c r="Q804" s="84" t="s">
        <v>1786</v>
      </c>
      <c r="R804" s="84"/>
      <c r="S804" s="134">
        <v>544</v>
      </c>
      <c r="T804" s="168" t="str">
        <f t="shared" si="24"/>
        <v>SUELDOS ADMINISTRATIVOS - SUELDOS Y SALARIOS VICERRECTORÍA FINANCIERA  Disponible $265172.49 Solicitado $275 PRESUPUESTO: SI</v>
      </c>
    </row>
    <row r="805" spans="1:20" ht="150" x14ac:dyDescent="0.25">
      <c r="A805" s="6">
        <f t="shared" si="27"/>
        <v>776</v>
      </c>
      <c r="B805" s="21">
        <v>45357</v>
      </c>
      <c r="C805" s="126" t="s">
        <v>2051</v>
      </c>
      <c r="D805" s="65" t="s">
        <v>2052</v>
      </c>
      <c r="E805" s="65" t="s">
        <v>2053</v>
      </c>
      <c r="F805" t="s">
        <v>2054</v>
      </c>
      <c r="G805" s="161">
        <f>MONTH(EJECUTADO[[#This Row],[FECHA]])</f>
        <v>3</v>
      </c>
      <c r="H805" s="163" t="str">
        <f>MID(EJECUTADO[[#This Row],[CUENTA]],1,4)</f>
        <v>E-13</v>
      </c>
      <c r="I805" s="163" t="str">
        <f>INDEX(CATALOGO[Descripción],MATCH(EJECUTADO[[#This Row],[APLICACIÓN]]&amp;"-00-00-00",CATALOGO[Código],0))</f>
        <v>MAESTRIAS Y POSTGRADOS</v>
      </c>
      <c r="J8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Actividades de Promoción </v>
      </c>
      <c r="K805" s="161" t="str">
        <f>IF((EJECUTADO[[#This Row],[MONTO DISPONIBLE ]]-EJECUTADO[[#This Row],[MONTO SOLICITADO]])&gt;=0,"PRESUPUESTO: SI","PRESUPUESTO: NO")</f>
        <v>PRESUPUESTO: SI</v>
      </c>
      <c r="L805" s="162">
        <f>SUMIF(PRESUPUESTO[CUENTA],EJECUTADO[[#This Row],[CUENTA]],PRESUPUESTO[MONTO])-SUMIF($F$1:F804,EJECUTADO[[#This Row],[CUENTA]],$M$1:M804)</f>
        <v>1600</v>
      </c>
      <c r="M805" s="2">
        <v>457.2</v>
      </c>
      <c r="N805" s="84">
        <v>4.05</v>
      </c>
      <c r="O805" s="84"/>
      <c r="P805" s="162">
        <f>+EJECUTADO[[#This Row],[MONTO SOLICITADO]]-EJECUTADO[[#This Row],[RETENCION IVA]]-EJECUTADO[[#This Row],[RETENCION ISR]]</f>
        <v>453.15</v>
      </c>
      <c r="Q805" s="84"/>
      <c r="R805" s="84"/>
      <c r="S805">
        <v>3247</v>
      </c>
      <c r="T805" s="168" t="str">
        <f t="shared" si="24"/>
        <v>MAESTRIAS Y POSTGRADOS - Actividades de Promoción  Disponible $1600 Solicitado $457.2 PRESUPUESTO: SI</v>
      </c>
    </row>
    <row r="806" spans="1:20" ht="60" x14ac:dyDescent="0.25">
      <c r="A806" s="6">
        <f t="shared" si="27"/>
        <v>777</v>
      </c>
      <c r="B806" s="21">
        <v>45357</v>
      </c>
      <c r="C806" s="126" t="s">
        <v>2055</v>
      </c>
      <c r="D806" s="65" t="s">
        <v>2056</v>
      </c>
      <c r="E806" s="65" t="s">
        <v>2057</v>
      </c>
      <c r="F806" t="s">
        <v>1159</v>
      </c>
      <c r="G806" s="161">
        <f>MONTH(EJECUTADO[[#This Row],[FECHA]])</f>
        <v>3</v>
      </c>
      <c r="H806" s="163" t="str">
        <f>MID(EJECUTADO[[#This Row],[CUENTA]],1,4)</f>
        <v>E-24</v>
      </c>
      <c r="I806" s="163" t="str">
        <f>INDEX(CATALOGO[Descripción],MATCH(EJECUTADO[[#This Row],[APLICACIÓN]]&amp;"-00-00-00",CATALOGO[Código],0))</f>
        <v>NUEVO INGRESO</v>
      </c>
      <c r="J8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806" s="161" t="str">
        <f>IF((EJECUTADO[[#This Row],[MONTO DISPONIBLE ]]-EJECUTADO[[#This Row],[MONTO SOLICITADO]])&gt;=0,"PRESUPUESTO: SI","PRESUPUESTO: NO")</f>
        <v>PRESUPUESTO: SI</v>
      </c>
      <c r="L806" s="162">
        <f>SUMIF(PRESUPUESTO[CUENTA],EJECUTADO[[#This Row],[CUENTA]],PRESUPUESTO[MONTO])-SUMIF($F$1:F805,EJECUTADO[[#This Row],[CUENTA]],$M$1:M805)</f>
        <v>29178.3</v>
      </c>
      <c r="M806" s="2">
        <v>2964</v>
      </c>
      <c r="N806" s="84"/>
      <c r="O806" s="84"/>
      <c r="P806" s="162">
        <f>+EJECUTADO[[#This Row],[MONTO SOLICITADO]]-EJECUTADO[[#This Row],[RETENCION IVA]]-EJECUTADO[[#This Row],[RETENCION ISR]]</f>
        <v>2964</v>
      </c>
      <c r="Q806" s="84" t="s">
        <v>1786</v>
      </c>
      <c r="R806" s="84"/>
      <c r="S806">
        <v>1875485</v>
      </c>
      <c r="T806" s="168" t="str">
        <f t="shared" si="24"/>
        <v>NUEVO INGRESO - Plaza Mundo - Renta de local $ 2,917.85 DEICE Disponible $29178.3 Solicitado $2964 PRESUPUESTO: SI</v>
      </c>
    </row>
    <row r="807" spans="1:20" ht="60" x14ac:dyDescent="0.25">
      <c r="A807" s="187">
        <v>777</v>
      </c>
      <c r="B807" s="21">
        <v>45357</v>
      </c>
      <c r="C807" s="126" t="s">
        <v>2055</v>
      </c>
      <c r="D807" s="65" t="s">
        <v>2056</v>
      </c>
      <c r="E807" s="65" t="s">
        <v>2058</v>
      </c>
      <c r="F807" t="s">
        <v>1159</v>
      </c>
      <c r="G807" s="161">
        <f>MONTH(EJECUTADO[[#This Row],[FECHA]])</f>
        <v>3</v>
      </c>
      <c r="H807" s="163" t="str">
        <f>MID(EJECUTADO[[#This Row],[CUENTA]],1,4)</f>
        <v>E-24</v>
      </c>
      <c r="I807" s="163" t="str">
        <f>INDEX(CATALOGO[Descripción],MATCH(EJECUTADO[[#This Row],[APLICACIÓN]]&amp;"-00-00-00",CATALOGO[Código],0))</f>
        <v>NUEVO INGRESO</v>
      </c>
      <c r="J8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807" s="161" t="str">
        <f>IF((EJECUTADO[[#This Row],[MONTO DISPONIBLE ]]-EJECUTADO[[#This Row],[MONTO SOLICITADO]])&gt;=0,"PRESUPUESTO: SI","PRESUPUESTO: NO")</f>
        <v>PRESUPUESTO: SI</v>
      </c>
      <c r="L807" s="162">
        <f>SUMIF(PRESUPUESTO[CUENTA],EJECUTADO[[#This Row],[CUENTA]],PRESUPUESTO[MONTO])-SUMIF($F$1:F806,EJECUTADO[[#This Row],[CUENTA]],$M$1:M806)</f>
        <v>26214.3</v>
      </c>
      <c r="M807" s="2">
        <v>101.7</v>
      </c>
      <c r="N807" s="188"/>
      <c r="O807" s="188"/>
      <c r="P807" s="162">
        <f>+EJECUTADO[[#This Row],[MONTO SOLICITADO]]-EJECUTADO[[#This Row],[RETENCION IVA]]-EJECUTADO[[#This Row],[RETENCION ISR]]</f>
        <v>101.7</v>
      </c>
      <c r="Q807" s="188" t="s">
        <v>1786</v>
      </c>
      <c r="R807" s="188"/>
      <c r="S807">
        <v>1875485</v>
      </c>
      <c r="T807" s="168" t="str">
        <f t="shared" si="24"/>
        <v>NUEVO INGRESO - Plaza Mundo - Renta de local $ 2,917.85 DEICE Disponible $26214.3 Solicitado $101.7 PRESUPUESTO: SI</v>
      </c>
    </row>
    <row r="808" spans="1:20" ht="60" x14ac:dyDescent="0.25">
      <c r="A808" s="6">
        <f>+A806+1</f>
        <v>778</v>
      </c>
      <c r="B808" s="21">
        <v>45357</v>
      </c>
      <c r="C808" s="126" t="s">
        <v>2055</v>
      </c>
      <c r="D808" s="65" t="s">
        <v>2059</v>
      </c>
      <c r="E808" s="65"/>
      <c r="F808" t="s">
        <v>1273</v>
      </c>
      <c r="G808" s="161">
        <f>MONTH(EJECUTADO[[#This Row],[FECHA]])</f>
        <v>3</v>
      </c>
      <c r="H808" s="163" t="str">
        <f>MID(EJECUTADO[[#This Row],[CUENTA]],1,4)</f>
        <v>E-24</v>
      </c>
      <c r="I808" s="163" t="str">
        <f>INDEX(CATALOGO[Descripción],MATCH(EJECUTADO[[#This Row],[APLICACIÓN]]&amp;"-00-00-00",CATALOGO[Código],0))</f>
        <v>NUEVO INGRESO</v>
      </c>
      <c r="J8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internet $ 203 x 12</v>
      </c>
      <c r="K808" s="161" t="str">
        <f>IF((EJECUTADO[[#This Row],[MONTO DISPONIBLE ]]-EJECUTADO[[#This Row],[MONTO SOLICITADO]])&gt;=0,"PRESUPUESTO: SI","PRESUPUESTO: NO")</f>
        <v>PRESUPUESTO: SI</v>
      </c>
      <c r="L808" s="162">
        <f>SUMIF(PRESUPUESTO[CUENTA],EJECUTADO[[#This Row],[CUENTA]],PRESUPUESTO[MONTO])-SUMIF($F$1:F807,EJECUTADO[[#This Row],[CUENTA]],$M$1:M807)</f>
        <v>2029.2</v>
      </c>
      <c r="M808" s="2">
        <v>209.05</v>
      </c>
      <c r="N808" s="84"/>
      <c r="O808" s="84"/>
      <c r="P808" s="162">
        <f>+EJECUTADO[[#This Row],[MONTO SOLICITADO]]-EJECUTADO[[#This Row],[RETENCION IVA]]-EJECUTADO[[#This Row],[RETENCION ISR]]</f>
        <v>209.05</v>
      </c>
      <c r="Q808" s="84" t="s">
        <v>1786</v>
      </c>
      <c r="R808" s="84"/>
      <c r="S808">
        <v>1875486</v>
      </c>
      <c r="T808" s="168" t="str">
        <f t="shared" si="24"/>
        <v>NUEVO INGRESO - Plaza Mundo - Servicio internet $ 203 x 12 Disponible $2029.2 Solicitado $209.05 PRESUPUESTO: SI</v>
      </c>
    </row>
    <row r="809" spans="1:20" x14ac:dyDescent="0.25">
      <c r="A809" s="187"/>
      <c r="B809" s="21"/>
      <c r="C809" s="126"/>
      <c r="E809" s="65"/>
      <c r="G809" s="161">
        <f>MONTH(EJECUTADO[[#This Row],[FECHA]])</f>
        <v>1</v>
      </c>
      <c r="H809" s="163" t="str">
        <f>MID(EJECUTADO[[#This Row],[CUENTA]],1,4)</f>
        <v/>
      </c>
      <c r="I809" s="163" t="e">
        <f>INDEX(CATALOGO[Descripción],MATCH(EJECUTADO[[#This Row],[APLICACIÓN]]&amp;"-00-00-00",CATALOGO[Código],0))</f>
        <v>#N/A</v>
      </c>
      <c r="J80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809" s="161" t="str">
        <f>IF((EJECUTADO[[#This Row],[MONTO DISPONIBLE ]]-EJECUTADO[[#This Row],[MONTO SOLICITADO]])&gt;=0,"PRESUPUESTO: SI","PRESUPUESTO: NO")</f>
        <v>PRESUPUESTO: SI</v>
      </c>
      <c r="L809" s="162">
        <f>SUMIF(PRESUPUESTO[CUENTA],EJECUTADO[[#This Row],[CUENTA]],PRESUPUESTO[MONTO])-SUMIF($F$1:F808,EJECUTADO[[#This Row],[CUENTA]],$M$1:M808)</f>
        <v>0</v>
      </c>
      <c r="M809" s="2"/>
      <c r="N809" s="188"/>
      <c r="O809" s="188"/>
      <c r="P809" s="166">
        <f>+EJECUTADO[[#This Row],[MONTO SOLICITADO]]-EJECUTADO[[#This Row],[RETENCION IVA]]-EJECUTADO[[#This Row],[RETENCION ISR]]</f>
        <v>0</v>
      </c>
      <c r="Q809" s="188"/>
      <c r="R809" s="188"/>
      <c r="T809" s="168" t="e">
        <f t="shared" si="24"/>
        <v>#N/A</v>
      </c>
    </row>
    <row r="810" spans="1:20" ht="45" x14ac:dyDescent="0.25">
      <c r="A810" s="6">
        <f>+A808+1</f>
        <v>779</v>
      </c>
      <c r="B810" s="21">
        <v>45357</v>
      </c>
      <c r="C810" s="126" t="s">
        <v>2060</v>
      </c>
      <c r="D810" s="65" t="s">
        <v>2061</v>
      </c>
      <c r="E810" s="65" t="s">
        <v>2062</v>
      </c>
      <c r="F810" t="s">
        <v>2063</v>
      </c>
      <c r="G810" s="161">
        <f>MONTH(EJECUTADO[[#This Row],[FECHA]])</f>
        <v>3</v>
      </c>
      <c r="H810" s="163" t="str">
        <f>MID(EJECUTADO[[#This Row],[CUENTA]],1,4)</f>
        <v>E-21</v>
      </c>
      <c r="I810" s="163" t="str">
        <f>INDEX(CATALOGO[Descripción],MATCH(EJECUTADO[[#This Row],[APLICACIÓN]]&amp;"-00-00-00",CATALOGO[Código],0))</f>
        <v>CENTRO DE FORMACION PROFESIONAL y EXT U</v>
      </c>
      <c r="J8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Seminario FCCS - Insumos Seminarios y refrigerios</v>
      </c>
      <c r="K810" s="161" t="str">
        <f>IF((EJECUTADO[[#This Row],[MONTO DISPONIBLE ]]-EJECUTADO[[#This Row],[MONTO SOLICITADO]])&gt;=0,"PRESUPUESTO: SI","PRESUPUESTO: NO")</f>
        <v>PRESUPUESTO: SI</v>
      </c>
      <c r="L810" s="162">
        <f>SUMIF(PRESUPUESTO[CUENTA],EJECUTADO[[#This Row],[CUENTA]],PRESUPUESTO[MONTO])-SUMIF($F$1:F809,EJECUTADO[[#This Row],[CUENTA]],$M$1:M809)</f>
        <v>21400</v>
      </c>
      <c r="M810" s="2">
        <v>541.20000000000005</v>
      </c>
      <c r="N810" s="84"/>
      <c r="O810" s="84">
        <v>54.12</v>
      </c>
      <c r="P810" s="162">
        <f>+EJECUTADO[[#This Row],[MONTO SOLICITADO]]-EJECUTADO[[#This Row],[RETENCION IVA]]-EJECUTADO[[#This Row],[RETENCION ISR]]</f>
        <v>487.08000000000004</v>
      </c>
      <c r="Q810" s="84" t="s">
        <v>1786</v>
      </c>
      <c r="R810" s="84"/>
      <c r="S810" s="153">
        <v>3275</v>
      </c>
      <c r="T810" s="168" t="str">
        <f t="shared" si="24"/>
        <v>CENTRO DE FORMACION PROFESIONAL y EXT U - Seminario FCCS - Insumos Seminarios y refrigerios Disponible $21400 Solicitado $541.2 PRESUPUESTO: SI</v>
      </c>
    </row>
    <row r="811" spans="1:20" ht="60" x14ac:dyDescent="0.25">
      <c r="A811" s="6">
        <f t="shared" si="27"/>
        <v>780</v>
      </c>
      <c r="B811" s="21">
        <v>45357</v>
      </c>
      <c r="C811" s="126" t="s">
        <v>1263</v>
      </c>
      <c r="D811" s="65" t="s">
        <v>2064</v>
      </c>
      <c r="E811" s="65" t="s">
        <v>2065</v>
      </c>
      <c r="F811" t="s">
        <v>1082</v>
      </c>
      <c r="G811" s="161">
        <f>MONTH(EJECUTADO[[#This Row],[FECHA]])</f>
        <v>3</v>
      </c>
      <c r="H811" s="163" t="str">
        <f>MID(EJECUTADO[[#This Row],[CUENTA]],1,4)</f>
        <v>E-10</v>
      </c>
      <c r="I811" s="163" t="str">
        <f>INDEX(CATALOGO[Descripción],MATCH(EJECUTADO[[#This Row],[APLICACIÓN]]&amp;"-00-00-00",CATALOGO[Código],0))</f>
        <v>SERVICIOS PUBLICOS</v>
      </c>
      <c r="J8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811" s="161" t="str">
        <f>IF((EJECUTADO[[#This Row],[MONTO DISPONIBLE ]]-EJECUTADO[[#This Row],[MONTO SOLICITADO]])&gt;=0,"PRESUPUESTO: SI","PRESUPUESTO: NO")</f>
        <v>PRESUPUESTO: SI</v>
      </c>
      <c r="L811" s="162">
        <f>SUMIF(PRESUPUESTO[CUENTA],EJECUTADO[[#This Row],[CUENTA]],PRESUPUESTO[MONTO])-SUMIF($F$1:F810,EJECUTADO[[#This Row],[CUENTA]],$M$1:M810)</f>
        <v>147789.70000000001</v>
      </c>
      <c r="M811" s="2">
        <v>2250</v>
      </c>
      <c r="N811" s="84"/>
      <c r="O811" s="84"/>
      <c r="P811" s="162">
        <f>+EJECUTADO[[#This Row],[MONTO SOLICITADO]]-EJECUTADO[[#This Row],[RETENCION IVA]]-EJECUTADO[[#This Row],[RETENCION ISR]]</f>
        <v>2250</v>
      </c>
      <c r="Q811" s="84"/>
      <c r="R811" s="84"/>
      <c r="S811" s="112">
        <v>3240</v>
      </c>
      <c r="T811" s="168" t="str">
        <f t="shared" si="24"/>
        <v>SERVICIOS PUBLICOS - IMPUESTOS FISCALES  Disponible $147789.7 Solicitado $2250 PRESUPUESTO: SI</v>
      </c>
    </row>
    <row r="812" spans="1:20" s="117" customFormat="1" ht="60" customHeight="1" x14ac:dyDescent="0.25">
      <c r="A812" s="115">
        <f t="shared" si="27"/>
        <v>781</v>
      </c>
      <c r="B812" s="118">
        <v>45357</v>
      </c>
      <c r="C812" s="129" t="s">
        <v>2066</v>
      </c>
      <c r="D812" s="116" t="s">
        <v>2067</v>
      </c>
      <c r="E812" s="116" t="s">
        <v>1915</v>
      </c>
      <c r="F812" s="117" t="s">
        <v>1082</v>
      </c>
      <c r="G812" s="161">
        <f>MONTH(EJECUTADO[[#This Row],[FECHA]])</f>
        <v>3</v>
      </c>
      <c r="H812" s="163" t="str">
        <f>MID(EJECUTADO[[#This Row],[CUENTA]],1,4)</f>
        <v>E-10</v>
      </c>
      <c r="I812" s="163" t="str">
        <f>INDEX(CATALOGO[Descripción],MATCH(EJECUTADO[[#This Row],[APLICACIÓN]]&amp;"-00-00-00",CATALOGO[Código],0))</f>
        <v>SERVICIOS PUBLICOS</v>
      </c>
      <c r="J8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812" s="161" t="str">
        <f>IF((EJECUTADO[[#This Row],[MONTO DISPONIBLE ]]-EJECUTADO[[#This Row],[MONTO SOLICITADO]])&gt;=0,"PRESUPUESTO: SI","PRESUPUESTO: NO")</f>
        <v>PRESUPUESTO: SI</v>
      </c>
      <c r="L812" s="162">
        <f>SUMIF(PRESUPUESTO[CUENTA],EJECUTADO[[#This Row],[CUENTA]],PRESUPUESTO[MONTO])-SUMIF($F$1:F811,EJECUTADO[[#This Row],[CUENTA]],$M$1:M811)</f>
        <v>145539.70000000001</v>
      </c>
      <c r="M812" s="119">
        <v>1401.41</v>
      </c>
      <c r="N812" s="120"/>
      <c r="O812" s="120"/>
      <c r="P812" s="165">
        <f>+EJECUTADO[[#This Row],[MONTO SOLICITADO]]-EJECUTADO[[#This Row],[RETENCION IVA]]-EJECUTADO[[#This Row],[RETENCION ISR]]</f>
        <v>1401.41</v>
      </c>
      <c r="Q812" s="120" t="s">
        <v>1554</v>
      </c>
      <c r="R812" s="120"/>
      <c r="S812" s="190">
        <v>3241</v>
      </c>
      <c r="T812" s="168" t="str">
        <f t="shared" si="24"/>
        <v>SERVICIOS PUBLICOS - IMPUESTOS FISCALES  Disponible $145539.7 Solicitado $1401.41 PRESUPUESTO: SI</v>
      </c>
    </row>
    <row r="813" spans="1:20" ht="45" x14ac:dyDescent="0.25">
      <c r="A813" s="6">
        <f t="shared" si="27"/>
        <v>782</v>
      </c>
      <c r="B813" s="21">
        <v>45357</v>
      </c>
      <c r="C813" s="126" t="s">
        <v>2068</v>
      </c>
      <c r="D813" s="65" t="s">
        <v>2069</v>
      </c>
      <c r="E813" s="65" t="s">
        <v>2070</v>
      </c>
      <c r="F813" t="s">
        <v>1911</v>
      </c>
      <c r="G813" s="161">
        <f>MONTH(EJECUTADO[[#This Row],[FECHA]])</f>
        <v>3</v>
      </c>
      <c r="H813" s="163" t="str">
        <f>MID(EJECUTADO[[#This Row],[CUENTA]],1,4)</f>
        <v>E-19</v>
      </c>
      <c r="I813" s="163" t="str">
        <f>INDEX(CATALOGO[Descripción],MATCH(EJECUTADO[[#This Row],[APLICACIÓN]]&amp;"-00-00-00",CATALOGO[Código],0))</f>
        <v>MANTENIMIENTO</v>
      </c>
      <c r="J8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Herramientas (carpinteros, mecánicos, pintores, fontaneros, jardineros, varias)</v>
      </c>
      <c r="K813" s="161" t="str">
        <f>IF((EJECUTADO[[#This Row],[MONTO DISPONIBLE ]]-EJECUTADO[[#This Row],[MONTO SOLICITADO]])&gt;=0,"PRESUPUESTO: SI","PRESUPUESTO: NO")</f>
        <v>PRESUPUESTO: SI</v>
      </c>
      <c r="L813" s="162">
        <f>SUMIF(PRESUPUESTO[CUENTA],EJECUTADO[[#This Row],[CUENTA]],PRESUPUESTO[MONTO])-SUMIF($F$1:F812,EJECUTADO[[#This Row],[CUENTA]],$M$1:M812)</f>
        <v>9712</v>
      </c>
      <c r="M813" s="2">
        <v>155.94</v>
      </c>
      <c r="N813" s="84"/>
      <c r="O813" s="84"/>
      <c r="P813" s="162">
        <f>+EJECUTADO[[#This Row],[MONTO SOLICITADO]]-EJECUTADO[[#This Row],[RETENCION IVA]]-EJECUTADO[[#This Row],[RETENCION ISR]]</f>
        <v>155.94</v>
      </c>
      <c r="Q813" s="84" t="s">
        <v>1971</v>
      </c>
      <c r="R813" s="84" t="s">
        <v>2071</v>
      </c>
      <c r="S813" s="112">
        <v>810765</v>
      </c>
      <c r="T813" s="168" t="str">
        <f t="shared" si="24"/>
        <v>MANTENIMIENTO - Dir. Mantenimiento - Herramientas (carpinteros, mecánicos, pintores, fontaneros, jardineros, varias) Disponible $9712 Solicitado $155.94 PRESUPUESTO: SI</v>
      </c>
    </row>
    <row r="814" spans="1:20" ht="60" x14ac:dyDescent="0.25">
      <c r="A814" s="6">
        <f t="shared" si="27"/>
        <v>783</v>
      </c>
      <c r="B814" s="21">
        <v>45357</v>
      </c>
      <c r="C814" s="126" t="s">
        <v>2072</v>
      </c>
      <c r="D814" s="65" t="s">
        <v>2073</v>
      </c>
      <c r="E814" s="65" t="s">
        <v>2074</v>
      </c>
      <c r="F814" t="s">
        <v>2075</v>
      </c>
      <c r="G814" s="161">
        <f>MONTH(EJECUTADO[[#This Row],[FECHA]])</f>
        <v>3</v>
      </c>
      <c r="H814" s="163" t="str">
        <f>MID(EJECUTADO[[#This Row],[CUENTA]],1,4)</f>
        <v>E-24</v>
      </c>
      <c r="I814" s="163" t="str">
        <f>INDEX(CATALOGO[Descripción],MATCH(EJECUTADO[[#This Row],[APLICACIÓN]]&amp;"-00-00-00",CATALOGO[Código],0))</f>
        <v>NUEVO INGRESO</v>
      </c>
      <c r="J8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limpieza fumigaciones</v>
      </c>
      <c r="K814" s="161" t="str">
        <f>IF((EJECUTADO[[#This Row],[MONTO DISPONIBLE ]]-EJECUTADO[[#This Row],[MONTO SOLICITADO]])&gt;=0,"PRESUPUESTO: SI","PRESUPUESTO: NO")</f>
        <v>PRESUPUESTO: SI</v>
      </c>
      <c r="L814" s="162">
        <f>SUMIF(PRESUPUESTO[CUENTA],EJECUTADO[[#This Row],[CUENTA]],PRESUPUESTO[MONTO])-SUMIF($F$1:F813,EJECUTADO[[#This Row],[CUENTA]],$M$1:M813)</f>
        <v>250</v>
      </c>
      <c r="M814" s="2">
        <v>50.85</v>
      </c>
      <c r="N814" s="84"/>
      <c r="O814" s="84"/>
      <c r="P814" s="162">
        <f>+EJECUTADO[[#This Row],[MONTO SOLICITADO]]-EJECUTADO[[#This Row],[RETENCION IVA]]-EJECUTADO[[#This Row],[RETENCION ISR]]</f>
        <v>50.85</v>
      </c>
      <c r="Q814" s="84" t="s">
        <v>1971</v>
      </c>
      <c r="R814" s="84" t="s">
        <v>2071</v>
      </c>
      <c r="S814" s="112">
        <v>553</v>
      </c>
      <c r="T814" s="168" t="str">
        <f t="shared" si="24"/>
        <v>NUEVO INGRESO - Metrocentro - Mantenimiento limpieza fumigaciones Disponible $250 Solicitado $50.85 PRESUPUESTO: SI</v>
      </c>
    </row>
    <row r="815" spans="1:20" ht="45" x14ac:dyDescent="0.25">
      <c r="A815" s="6">
        <f t="shared" si="27"/>
        <v>784</v>
      </c>
      <c r="B815" s="21">
        <v>45357</v>
      </c>
      <c r="C815" s="126" t="s">
        <v>2076</v>
      </c>
      <c r="D815" s="65" t="s">
        <v>2077</v>
      </c>
      <c r="E815" s="65" t="s">
        <v>2078</v>
      </c>
      <c r="F815" s="37" t="s">
        <v>1214</v>
      </c>
      <c r="G815" s="161">
        <f>MONTH(EJECUTADO[[#This Row],[FECHA]])</f>
        <v>3</v>
      </c>
      <c r="H815" s="163" t="str">
        <f>MID(EJECUTADO[[#This Row],[CUENTA]],1,4)</f>
        <v>E-19</v>
      </c>
      <c r="I815" s="163" t="str">
        <f>INDEX(CATALOGO[Descripción],MATCH(EJECUTADO[[#This Row],[APLICACIÓN]]&amp;"-00-00-00",CATALOGO[Código],0))</f>
        <v>MANTENIMIENTO</v>
      </c>
      <c r="J8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815" s="161" t="str">
        <f>IF((EJECUTADO[[#This Row],[MONTO DISPONIBLE ]]-EJECUTADO[[#This Row],[MONTO SOLICITADO]])&gt;=0,"PRESUPUESTO: SI","PRESUPUESTO: NO")</f>
        <v>PRESUPUESTO: SI</v>
      </c>
      <c r="L815" s="162">
        <f>SUMIF(PRESUPUESTO[CUENTA],EJECUTADO[[#This Row],[CUENTA]],PRESUPUESTO[MONTO])-SUMIF($F$1:F814,EJECUTADO[[#This Row],[CUENTA]],$M$1:M814)</f>
        <v>34239.699999999997</v>
      </c>
      <c r="M815" s="2">
        <v>476</v>
      </c>
      <c r="N815" s="84">
        <v>4.21</v>
      </c>
      <c r="O815" s="84"/>
      <c r="P815" s="162">
        <f>+EJECUTADO[[#This Row],[MONTO SOLICITADO]]-EJECUTADO[[#This Row],[RETENCION IVA]]-EJECUTADO[[#This Row],[RETENCION ISR]]</f>
        <v>471.79</v>
      </c>
      <c r="Q815" s="84" t="s">
        <v>1971</v>
      </c>
      <c r="R815" s="84" t="s">
        <v>2071</v>
      </c>
      <c r="S815" s="112">
        <v>560</v>
      </c>
      <c r="T815" s="168" t="str">
        <f t="shared" si="24"/>
        <v>MANTENIMIENTO - Mantenimiento en talleres (Vehiculos) Disponible $34239.7 Solicitado $476 PRESUPUESTO: SI</v>
      </c>
    </row>
    <row r="816" spans="1:20" ht="90" x14ac:dyDescent="0.25">
      <c r="A816" s="6">
        <f t="shared" si="27"/>
        <v>785</v>
      </c>
      <c r="B816" s="21">
        <v>45358</v>
      </c>
      <c r="C816" s="126" t="s">
        <v>2079</v>
      </c>
      <c r="D816" s="65" t="s">
        <v>2080</v>
      </c>
      <c r="E816" s="65" t="s">
        <v>2081</v>
      </c>
      <c r="F816" t="s">
        <v>1249</v>
      </c>
      <c r="G816" s="161">
        <f>MONTH(EJECUTADO[[#This Row],[FECHA]])</f>
        <v>3</v>
      </c>
      <c r="H816" s="163" t="str">
        <f>MID(EJECUTADO[[#This Row],[CUENTA]],1,4)</f>
        <v>E-01</v>
      </c>
      <c r="I816" s="163" t="str">
        <f>INDEX(CATALOGO[Descripción],MATCH(EJECUTADO[[#This Row],[APLICACIÓN]]&amp;"-00-00-00",CATALOGO[Código],0))</f>
        <v>SERVICIOS PROFESIONALES</v>
      </c>
      <c r="J8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Sra. Lilian de Burgos $ 4500 x 12</v>
      </c>
      <c r="K816" s="161" t="str">
        <f>IF((EJECUTADO[[#This Row],[MONTO DISPONIBLE ]]-EJECUTADO[[#This Row],[MONTO SOLICITADO]])&gt;=0,"PRESUPUESTO: SI","PRESUPUESTO: NO")</f>
        <v>PRESUPUESTO: SI</v>
      </c>
      <c r="L816" s="162">
        <f>SUMIF(PRESUPUESTO[CUENTA],EJECUTADO[[#This Row],[CUENTA]],PRESUPUESTO[MONTO])-SUMIF($F$1:F815,EJECUTADO[[#This Row],[CUENTA]],$M$1:M815)</f>
        <v>45000</v>
      </c>
      <c r="M816" s="2">
        <v>4500</v>
      </c>
      <c r="N816" s="84"/>
      <c r="O816" s="84">
        <v>450</v>
      </c>
      <c r="P816" s="162">
        <f>+EJECUTADO[[#This Row],[MONTO SOLICITADO]]-EJECUTADO[[#This Row],[RETENCION IVA]]-EJECUTADO[[#This Row],[RETENCION ISR]]</f>
        <v>4050</v>
      </c>
      <c r="Q816" s="84" t="s">
        <v>1930</v>
      </c>
      <c r="R816" s="84"/>
      <c r="S816" s="112">
        <v>1875481</v>
      </c>
      <c r="T816" s="168" t="str">
        <f t="shared" si="24"/>
        <v>SERVICIOS PROFESIONALES - Honorarios Sra. Lilian de Burgos $ 4500 x 12 Disponible $45000 Solicitado $4500 PRESUPUESTO: SI</v>
      </c>
    </row>
    <row r="817" spans="1:20" ht="45" x14ac:dyDescent="0.25">
      <c r="A817" s="6">
        <f t="shared" si="27"/>
        <v>786</v>
      </c>
      <c r="B817" s="21">
        <v>45344</v>
      </c>
      <c r="C817" s="126" t="s">
        <v>2082</v>
      </c>
      <c r="D817" s="65" t="s">
        <v>2083</v>
      </c>
      <c r="E817" s="65" t="s">
        <v>2084</v>
      </c>
      <c r="F817" t="s">
        <v>2085</v>
      </c>
      <c r="G817" s="161">
        <f>MONTH(EJECUTADO[[#This Row],[FECHA]])</f>
        <v>2</v>
      </c>
      <c r="H817" s="163" t="str">
        <f>MID(EJECUTADO[[#This Row],[CUENTA]],1,4)</f>
        <v>E-13</v>
      </c>
      <c r="I817" s="163" t="str">
        <f>INDEX(CATALOGO[Descripción],MATCH(EJECUTADO[[#This Row],[APLICACIÓN]]&amp;"-00-00-00",CATALOGO[Código],0))</f>
        <v>MAESTRIAS Y POSTGRADOS</v>
      </c>
      <c r="J8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Artículos promocionales</v>
      </c>
      <c r="K817" s="161" t="str">
        <f>IF((EJECUTADO[[#This Row],[MONTO DISPONIBLE ]]-EJECUTADO[[#This Row],[MONTO SOLICITADO]])&gt;=0,"PRESUPUESTO: SI","PRESUPUESTO: NO")</f>
        <v>PRESUPUESTO: NO</v>
      </c>
      <c r="L817" s="162">
        <f>SUMIF(PRESUPUESTO[CUENTA],EJECUTADO[[#This Row],[CUENTA]],PRESUPUESTO[MONTO])-SUMIF($F$1:F816,EJECUTADO[[#This Row],[CUENTA]],$M$1:M816)</f>
        <v>1500</v>
      </c>
      <c r="M817" s="2">
        <v>1987.5</v>
      </c>
      <c r="N817" s="84">
        <v>17.59</v>
      </c>
      <c r="O817" s="84"/>
      <c r="P817" s="162">
        <f>+EJECUTADO[[#This Row],[MONTO SOLICITADO]]-EJECUTADO[[#This Row],[RETENCION IVA]]-EJECUTADO[[#This Row],[RETENCION ISR]]</f>
        <v>1969.91</v>
      </c>
      <c r="Q817" s="84" t="s">
        <v>1960</v>
      </c>
      <c r="R817" s="84"/>
      <c r="S817" s="112">
        <v>1875494</v>
      </c>
      <c r="T817" s="168" t="str">
        <f t="shared" si="24"/>
        <v>MAESTRIAS Y POSTGRADOS - Artículos promocionales Disponible $1500 Solicitado $1987.5 PRESUPUESTO: NO</v>
      </c>
    </row>
    <row r="818" spans="1:20" x14ac:dyDescent="0.25">
      <c r="A818" s="6">
        <f t="shared" si="27"/>
        <v>787</v>
      </c>
      <c r="B818" s="21">
        <v>45358</v>
      </c>
      <c r="C818" s="126" t="s">
        <v>2086</v>
      </c>
      <c r="D818" s="134" t="s">
        <v>2087</v>
      </c>
      <c r="E818" s="65" t="s">
        <v>1915</v>
      </c>
      <c r="F818" t="s">
        <v>1032</v>
      </c>
      <c r="G818" s="161">
        <f>MONTH(EJECUTADO[[#This Row],[FECHA]])</f>
        <v>3</v>
      </c>
      <c r="H818" s="163" t="str">
        <f>MID(EJECUTADO[[#This Row],[CUENTA]],1,4)</f>
        <v>E-09</v>
      </c>
      <c r="I818" s="163" t="str">
        <f>INDEX(CATALOGO[Descripción],MATCH(EJECUTADO[[#This Row],[APLICACIÓN]]&amp;"-00-00-00",CATALOGO[Código],0))</f>
        <v>PRESTACIONES AL PERSONAL</v>
      </c>
      <c r="J8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818" s="161" t="str">
        <f>IF((EJECUTADO[[#This Row],[MONTO DISPONIBLE ]]-EJECUTADO[[#This Row],[MONTO SOLICITADO]])&gt;=0,"PRESUPUESTO: SI","PRESUPUESTO: NO")</f>
        <v>PRESUPUESTO: SI</v>
      </c>
      <c r="L818" s="162">
        <f>SUMIF(PRESUPUESTO[CUENTA],EJECUTADO[[#This Row],[CUENTA]],PRESUPUESTO[MONTO])-SUMIF($F$1:F817,EJECUTADO[[#This Row],[CUENTA]],$M$1:M817)</f>
        <v>94877.5</v>
      </c>
      <c r="M818" s="2">
        <v>18393.09</v>
      </c>
      <c r="N818" s="84"/>
      <c r="O818" s="84"/>
      <c r="P818" s="162">
        <v>18393.09</v>
      </c>
      <c r="Q818" s="84" t="s">
        <v>1554</v>
      </c>
      <c r="R818" s="84"/>
      <c r="S818" s="112">
        <v>1875482</v>
      </c>
      <c r="T818" s="168" t="str">
        <f t="shared" si="24"/>
        <v>PRESTACIONES AL PERSONAL - Liquidaciones laborales y compensaciones Disponible $94877.5 Solicitado $18393.09 PRESUPUESTO: SI</v>
      </c>
    </row>
    <row r="819" spans="1:20" ht="30" x14ac:dyDescent="0.25">
      <c r="A819" s="6">
        <f t="shared" si="27"/>
        <v>788</v>
      </c>
      <c r="B819" s="21">
        <v>45358</v>
      </c>
      <c r="C819" s="126" t="s">
        <v>1079</v>
      </c>
      <c r="D819" s="65" t="s">
        <v>2088</v>
      </c>
      <c r="E819" s="65"/>
      <c r="F819" t="s">
        <v>1081</v>
      </c>
      <c r="G819" s="161">
        <f>MONTH(EJECUTADO[[#This Row],[FECHA]])</f>
        <v>3</v>
      </c>
      <c r="H819" s="163" t="str">
        <f>MID(EJECUTADO[[#This Row],[CUENTA]],1,4)</f>
        <v>E-10</v>
      </c>
      <c r="I819" s="163" t="str">
        <f>INDEX(CATALOGO[Descripción],MATCH(EJECUTADO[[#This Row],[APLICACIÓN]]&amp;"-00-00-00",CATALOGO[Código],0))</f>
        <v>SERVICIOS PUBLICOS</v>
      </c>
      <c r="J8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819" s="161" t="str">
        <f>IF((EJECUTADO[[#This Row],[MONTO DISPONIBLE ]]-EJECUTADO[[#This Row],[MONTO SOLICITADO]])&gt;=0,"PRESUPUESTO: SI","PRESUPUESTO: NO")</f>
        <v>PRESUPUESTO: SI</v>
      </c>
      <c r="L819" s="162">
        <f>SUMIF(PRESUPUESTO[CUENTA],EJECUTADO[[#This Row],[CUENTA]],PRESUPUESTO[MONTO])-SUMIF($F$1:F818,EJECUTADO[[#This Row],[CUENTA]],$M$1:M818)</f>
        <v>319702.23</v>
      </c>
      <c r="M819" s="2">
        <v>3194.53</v>
      </c>
      <c r="N819" s="84"/>
      <c r="O819" s="84"/>
      <c r="P819" s="162">
        <f>+EJECUTADO[[#This Row],[MONTO SOLICITADO]]-EJECUTADO[[#This Row],[RETENCION IVA]]-EJECUTADO[[#This Row],[RETENCION ISR]]</f>
        <v>3194.53</v>
      </c>
      <c r="Q819" s="84" t="s">
        <v>1786</v>
      </c>
      <c r="R819" s="84"/>
      <c r="S819">
        <v>3245</v>
      </c>
      <c r="T819" s="168" t="str">
        <f t="shared" si="24"/>
        <v>SERVICIOS PUBLICOS - ENERGÍA ELÉCTRICA Disponible $319702.23 Solicitado $3194.53 PRESUPUESTO: SI</v>
      </c>
    </row>
    <row r="820" spans="1:20" ht="45" x14ac:dyDescent="0.25">
      <c r="A820" s="187">
        <v>788</v>
      </c>
      <c r="B820" s="21">
        <v>45358</v>
      </c>
      <c r="C820" s="126" t="s">
        <v>1079</v>
      </c>
      <c r="D820" s="65" t="s">
        <v>2089</v>
      </c>
      <c r="E820" s="65"/>
      <c r="F820" t="s">
        <v>1081</v>
      </c>
      <c r="G820" s="161">
        <f>MONTH(EJECUTADO[[#This Row],[FECHA]])</f>
        <v>3</v>
      </c>
      <c r="H820" s="163" t="str">
        <f>MID(EJECUTADO[[#This Row],[CUENTA]],1,4)</f>
        <v>E-10</v>
      </c>
      <c r="I820" s="163" t="str">
        <f>INDEX(CATALOGO[Descripción],MATCH(EJECUTADO[[#This Row],[APLICACIÓN]]&amp;"-00-00-00",CATALOGO[Código],0))</f>
        <v>SERVICIOS PUBLICOS</v>
      </c>
      <c r="J8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820" s="161" t="str">
        <f>IF((EJECUTADO[[#This Row],[MONTO DISPONIBLE ]]-EJECUTADO[[#This Row],[MONTO SOLICITADO]])&gt;=0,"PRESUPUESTO: SI","PRESUPUESTO: NO")</f>
        <v>PRESUPUESTO: SI</v>
      </c>
      <c r="L820" s="162">
        <f>SUMIF(PRESUPUESTO[CUENTA],EJECUTADO[[#This Row],[CUENTA]],PRESUPUESTO[MONTO])-SUMIF($F$1:F819,EJECUTADO[[#This Row],[CUENTA]],$M$1:M819)</f>
        <v>316507.7</v>
      </c>
      <c r="M820" s="2">
        <v>220.22</v>
      </c>
      <c r="N820" s="188"/>
      <c r="O820" s="188"/>
      <c r="P820" s="166">
        <f>+EJECUTADO[[#This Row],[MONTO SOLICITADO]]-EJECUTADO[[#This Row],[RETENCION IVA]]-EJECUTADO[[#This Row],[RETENCION ISR]]</f>
        <v>220.22</v>
      </c>
      <c r="Q820" s="188" t="s">
        <v>1786</v>
      </c>
      <c r="R820" s="188"/>
      <c r="S820" s="134">
        <v>3245</v>
      </c>
      <c r="T820" s="168" t="str">
        <f t="shared" si="24"/>
        <v>SERVICIOS PUBLICOS - ENERGÍA ELÉCTRICA Disponible $316507.7 Solicitado $220.22 PRESUPUESTO: SI</v>
      </c>
    </row>
    <row r="821" spans="1:20" ht="45" x14ac:dyDescent="0.25">
      <c r="A821" s="6">
        <f>+A819+1</f>
        <v>789</v>
      </c>
      <c r="B821" s="21">
        <v>45358</v>
      </c>
      <c r="C821" s="126" t="s">
        <v>2060</v>
      </c>
      <c r="D821" s="65" t="s">
        <v>2090</v>
      </c>
      <c r="E821" s="65" t="s">
        <v>2062</v>
      </c>
      <c r="F821" s="37" t="s">
        <v>2063</v>
      </c>
      <c r="G821" s="161">
        <f>MONTH(EJECUTADO[[#This Row],[FECHA]])</f>
        <v>3</v>
      </c>
      <c r="H821" s="163" t="str">
        <f>MID(EJECUTADO[[#This Row],[CUENTA]],1,4)</f>
        <v>E-21</v>
      </c>
      <c r="I821" s="163" t="str">
        <f>INDEX(CATALOGO[Descripción],MATCH(EJECUTADO[[#This Row],[APLICACIÓN]]&amp;"-00-00-00",CATALOGO[Código],0))</f>
        <v>CENTRO DE FORMACION PROFESIONAL y EXT U</v>
      </c>
      <c r="J8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Seminario FCCS - Insumos Seminarios y refrigerios</v>
      </c>
      <c r="K821" s="161" t="str">
        <f>IF((EJECUTADO[[#This Row],[MONTO DISPONIBLE ]]-EJECUTADO[[#This Row],[MONTO SOLICITADO]])&gt;=0,"PRESUPUESTO: SI","PRESUPUESTO: NO")</f>
        <v>PRESUPUESTO: SI</v>
      </c>
      <c r="L821" s="162">
        <f>SUMIF(PRESUPUESTO[CUENTA],EJECUTADO[[#This Row],[CUENTA]],PRESUPUESTO[MONTO])-SUMIF($F$1:F820,EJECUTADO[[#This Row],[CUENTA]],$M$1:M820)</f>
        <v>20858.8</v>
      </c>
      <c r="M821" s="2">
        <v>56</v>
      </c>
      <c r="N821" s="84"/>
      <c r="O821" s="84">
        <v>5.6</v>
      </c>
      <c r="P821" s="162">
        <f>+EJECUTADO[[#This Row],[MONTO SOLICITADO]]-EJECUTADO[[#This Row],[RETENCION IVA]]-EJECUTADO[[#This Row],[RETENCION ISR]]</f>
        <v>50.4</v>
      </c>
      <c r="Q821" s="84" t="s">
        <v>1786</v>
      </c>
      <c r="R821" s="84"/>
      <c r="S821" s="153">
        <v>3275</v>
      </c>
      <c r="T821" s="168" t="str">
        <f t="shared" si="24"/>
        <v>CENTRO DE FORMACION PROFESIONAL y EXT U - Seminario FCCS - Insumos Seminarios y refrigerios Disponible $20858.8 Solicitado $56 PRESUPUESTO: SI</v>
      </c>
    </row>
    <row r="822" spans="1:20" ht="60" x14ac:dyDescent="0.25">
      <c r="A822" s="6">
        <f t="shared" si="27"/>
        <v>790</v>
      </c>
      <c r="B822" s="21">
        <v>45358</v>
      </c>
      <c r="C822" s="126" t="s">
        <v>1738</v>
      </c>
      <c r="D822" s="65" t="s">
        <v>2091</v>
      </c>
      <c r="E822" s="65" t="s">
        <v>2092</v>
      </c>
      <c r="F822" t="s">
        <v>1600</v>
      </c>
      <c r="G822" s="161">
        <f>MONTH(EJECUTADO[[#This Row],[FECHA]])</f>
        <v>3</v>
      </c>
      <c r="H822" s="163" t="str">
        <f>MID(EJECUTADO[[#This Row],[CUENTA]],1,4)</f>
        <v>E-09</v>
      </c>
      <c r="I822" s="163" t="str">
        <f>INDEX(CATALOGO[Descripción],MATCH(EJECUTADO[[#This Row],[APLICACIÓN]]&amp;"-00-00-00",CATALOGO[Código],0))</f>
        <v>PRESTACIONES AL PERSONAL</v>
      </c>
      <c r="J8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Café, Agua, azucar y otros</v>
      </c>
      <c r="K822" s="161" t="str">
        <f>IF((EJECUTADO[[#This Row],[MONTO DISPONIBLE ]]-EJECUTADO[[#This Row],[MONTO SOLICITADO]])&gt;=0,"PRESUPUESTO: SI","PRESUPUESTO: NO")</f>
        <v>PRESUPUESTO: SI</v>
      </c>
      <c r="L822" s="162">
        <f>SUMIF(PRESUPUESTO[CUENTA],EJECUTADO[[#This Row],[CUENTA]],PRESUPUESTO[MONTO])-SUMIF($F$1:F821,EJECUTADO[[#This Row],[CUENTA]],$M$1:M821)</f>
        <v>18443.79</v>
      </c>
      <c r="M822" s="2">
        <v>54.71</v>
      </c>
      <c r="N822" s="84"/>
      <c r="O822" s="84"/>
      <c r="P822" s="162">
        <f>+EJECUTADO[[#This Row],[MONTO SOLICITADO]]-EJECUTADO[[#This Row],[RETENCION IVA]]-EJECUTADO[[#This Row],[RETENCION ISR]]</f>
        <v>54.71</v>
      </c>
      <c r="Q822" s="84" t="s">
        <v>1786</v>
      </c>
      <c r="R822" s="84"/>
      <c r="S822">
        <v>1875484</v>
      </c>
      <c r="T822" s="168" t="str">
        <f t="shared" si="24"/>
        <v>PRESTACIONES AL PERSONAL - Café, Agua, azucar y otros Disponible $18443.79 Solicitado $54.71 PRESUPUESTO: SI</v>
      </c>
    </row>
    <row r="823" spans="1:20" ht="75" x14ac:dyDescent="0.25">
      <c r="A823" s="6">
        <f t="shared" si="27"/>
        <v>791</v>
      </c>
      <c r="B823" s="21">
        <v>45358</v>
      </c>
      <c r="C823" s="126" t="s">
        <v>2093</v>
      </c>
      <c r="D823" s="65" t="s">
        <v>2094</v>
      </c>
      <c r="E823" s="65"/>
      <c r="G823" s="161">
        <f>MONTH(EJECUTADO[[#This Row],[FECHA]])</f>
        <v>3</v>
      </c>
      <c r="H823" s="163" t="str">
        <f>MID(EJECUTADO[[#This Row],[CUENTA]],1,4)</f>
        <v/>
      </c>
      <c r="I823" s="163" t="e">
        <f>INDEX(CATALOGO[Descripción],MATCH(EJECUTADO[[#This Row],[APLICACIÓN]]&amp;"-00-00-00",CATALOGO[Código],0))</f>
        <v>#N/A</v>
      </c>
      <c r="J8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823" s="161" t="str">
        <f>IF((EJECUTADO[[#This Row],[MONTO DISPONIBLE ]]-EJECUTADO[[#This Row],[MONTO SOLICITADO]])&gt;=0,"PRESUPUESTO: SI","PRESUPUESTO: NO")</f>
        <v>PRESUPUESTO: NO</v>
      </c>
      <c r="L823" s="162">
        <f>SUMIF(PRESUPUESTO[CUENTA],EJECUTADO[[#This Row],[CUENTA]],PRESUPUESTO[MONTO])-SUMIF($F$1:F822,EJECUTADO[[#This Row],[CUENTA]],$M$1:M822)</f>
        <v>0</v>
      </c>
      <c r="M823" s="2">
        <v>1300</v>
      </c>
      <c r="N823" s="84"/>
      <c r="O823" s="84"/>
      <c r="P823" s="162">
        <f>+EJECUTADO[[#This Row],[MONTO SOLICITADO]]-EJECUTADO[[#This Row],[RETENCION IVA]]-EJECUTADO[[#This Row],[RETENCION ISR]]</f>
        <v>1300</v>
      </c>
      <c r="Q823" s="84"/>
      <c r="R823" s="84"/>
      <c r="S823" s="112">
        <v>3280</v>
      </c>
      <c r="T823" s="168" t="e">
        <f t="shared" si="24"/>
        <v>#N/A</v>
      </c>
    </row>
    <row r="824" spans="1:20" ht="45" x14ac:dyDescent="0.25">
      <c r="A824" s="6">
        <f t="shared" si="27"/>
        <v>792</v>
      </c>
      <c r="B824" s="21">
        <v>45358</v>
      </c>
      <c r="C824" s="126" t="s">
        <v>2093</v>
      </c>
      <c r="D824" s="65" t="s">
        <v>2095</v>
      </c>
      <c r="E824" s="65" t="s">
        <v>1915</v>
      </c>
      <c r="F824" s="68"/>
      <c r="G824" s="161">
        <f>MONTH(EJECUTADO[[#This Row],[FECHA]])</f>
        <v>3</v>
      </c>
      <c r="H824" s="163" t="str">
        <f>MID(EJECUTADO[[#This Row],[CUENTA]],1,4)</f>
        <v/>
      </c>
      <c r="I824" s="163" t="e">
        <f>INDEX(CATALOGO[Descripción],MATCH(EJECUTADO[[#This Row],[APLICACIÓN]]&amp;"-00-00-00",CATALOGO[Código],0))</f>
        <v>#N/A</v>
      </c>
      <c r="J8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824" s="161" t="str">
        <f>IF((EJECUTADO[[#This Row],[MONTO DISPONIBLE ]]-EJECUTADO[[#This Row],[MONTO SOLICITADO]])&gt;=0,"PRESUPUESTO: SI","PRESUPUESTO: NO")</f>
        <v>PRESUPUESTO: NO</v>
      </c>
      <c r="L824" s="162">
        <f>SUMIF(PRESUPUESTO[CUENTA],EJECUTADO[[#This Row],[CUENTA]],PRESUPUESTO[MONTO])-SUMIF($F$1:F823,EJECUTADO[[#This Row],[CUENTA]],$M$1:M823)</f>
        <v>0</v>
      </c>
      <c r="M824" s="2">
        <v>1485.44</v>
      </c>
      <c r="N824" s="84"/>
      <c r="O824" s="84"/>
      <c r="P824" s="162">
        <f>+EJECUTADO[[#This Row],[MONTO SOLICITADO]]-EJECUTADO[[#This Row],[RETENCION IVA]]-EJECUTADO[[#This Row],[RETENCION ISR]]</f>
        <v>1485.44</v>
      </c>
      <c r="Q824" s="84"/>
      <c r="R824" s="84"/>
      <c r="S824" s="112">
        <v>549</v>
      </c>
      <c r="T824" s="168" t="e">
        <f t="shared" si="24"/>
        <v>#N/A</v>
      </c>
    </row>
    <row r="825" spans="1:20" ht="120" x14ac:dyDescent="0.25">
      <c r="A825" s="6">
        <f t="shared" si="27"/>
        <v>793</v>
      </c>
      <c r="B825" s="21">
        <v>45358</v>
      </c>
      <c r="C825" s="126" t="s">
        <v>1730</v>
      </c>
      <c r="D825" s="65" t="s">
        <v>2096</v>
      </c>
      <c r="E825" s="65" t="s">
        <v>1915</v>
      </c>
      <c r="F825" t="s">
        <v>1732</v>
      </c>
      <c r="G825" s="161">
        <f>MONTH(EJECUTADO[[#This Row],[FECHA]])</f>
        <v>3</v>
      </c>
      <c r="H825" s="163" t="str">
        <f>MID(EJECUTADO[[#This Row],[CUENTA]],1,4)</f>
        <v>E-26</v>
      </c>
      <c r="I825" s="163" t="str">
        <f>INDEX(CATALOGO[Descripción],MATCH(EJECUTADO[[#This Row],[APLICACIÓN]]&amp;"-00-00-00",CATALOGO[Código],0))</f>
        <v>EVENTOS ACADEMICOS, CULTURALES  E INSTITUCIONALES</v>
      </c>
      <c r="J8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Vinculación padres de familia  - FCCS</v>
      </c>
      <c r="K825" s="161" t="str">
        <f>IF((EJECUTADO[[#This Row],[MONTO DISPONIBLE ]]-EJECUTADO[[#This Row],[MONTO SOLICITADO]])&gt;=0,"PRESUPUESTO: SI","PRESUPUESTO: NO")</f>
        <v>PRESUPUESTO: SI</v>
      </c>
      <c r="L825" s="162">
        <f>SUMIF(PRESUPUESTO[CUENTA],EJECUTADO[[#This Row],[CUENTA]],PRESUPUESTO[MONTO])-SUMIF($F$1:F824,EJECUTADO[[#This Row],[CUENTA]],$M$1:M824)</f>
        <v>500</v>
      </c>
      <c r="M825" s="2">
        <v>48.06</v>
      </c>
      <c r="N825" s="84"/>
      <c r="O825" s="84"/>
      <c r="P825" s="162">
        <f>+EJECUTADO[[#This Row],[MONTO SOLICITADO]]-EJECUTADO[[#This Row],[RETENCION IVA]]-EJECUTADO[[#This Row],[RETENCION ISR]]</f>
        <v>48.06</v>
      </c>
      <c r="Q825" s="84" t="s">
        <v>1554</v>
      </c>
      <c r="R825" s="84"/>
      <c r="S825">
        <v>3246</v>
      </c>
      <c r="T825" s="168" t="str">
        <f t="shared" si="24"/>
        <v>EVENTOS ACADEMICOS, CULTURALES  E INSTITUCIONALES - Vinculación padres de familia  - FCCS Disponible $500 Solicitado $48.06 PRESUPUESTO: SI</v>
      </c>
    </row>
    <row r="826" spans="1:20" ht="45" x14ac:dyDescent="0.25">
      <c r="A826" s="6">
        <v>794</v>
      </c>
      <c r="B826" s="21">
        <v>45359</v>
      </c>
      <c r="C826" s="126" t="s">
        <v>1784</v>
      </c>
      <c r="D826" s="65" t="s">
        <v>1785</v>
      </c>
      <c r="E826" s="65" t="s">
        <v>2097</v>
      </c>
      <c r="F826" t="s">
        <v>1265</v>
      </c>
      <c r="G826" s="161">
        <f>MONTH(EJECUTADO[[#This Row],[FECHA]])</f>
        <v>3</v>
      </c>
      <c r="H826" s="163" t="str">
        <f>MID(EJECUTADO[[#This Row],[CUENTA]],1,4)</f>
        <v>E-23</v>
      </c>
      <c r="I826" s="163" t="str">
        <f>INDEX(CATALOGO[Descripción],MATCH(EJECUTADO[[#This Row],[APLICACIÓN]]&amp;"-00-00-00",CATALOGO[Código],0))</f>
        <v>GASTOS DE VIAJE</v>
      </c>
      <c r="J8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826" s="161" t="str">
        <f>IF((EJECUTADO[[#This Row],[MONTO DISPONIBLE ]]-EJECUTADO[[#This Row],[MONTO SOLICITADO]])&gt;=0,"PRESUPUESTO: SI","PRESUPUESTO: NO")</f>
        <v>PRESUPUESTO: SI</v>
      </c>
      <c r="L826" s="162">
        <f>SUMIF(PRESUPUESTO[CUENTA],EJECUTADO[[#This Row],[CUENTA]],PRESUPUESTO[MONTO])-SUMIF($F$1:F825,EJECUTADO[[#This Row],[CUENTA]],$M$1:M825)</f>
        <v>23155.51</v>
      </c>
      <c r="M826" s="2">
        <v>400</v>
      </c>
      <c r="N826" s="84"/>
      <c r="O826" s="84"/>
      <c r="P826" s="162">
        <v>400</v>
      </c>
      <c r="Q826" s="84" t="s">
        <v>1786</v>
      </c>
      <c r="R826" s="84"/>
      <c r="S826">
        <v>1875488</v>
      </c>
      <c r="T826" s="168" t="str">
        <f t="shared" si="24"/>
        <v>GASTOS DE VIAJE - Servicio combustible Disponible $23155.51 Solicitado $400 PRESUPUESTO: SI</v>
      </c>
    </row>
    <row r="827" spans="1:20" ht="60" x14ac:dyDescent="0.25">
      <c r="A827" s="6">
        <f t="shared" si="27"/>
        <v>795</v>
      </c>
      <c r="B827" s="21">
        <v>45359</v>
      </c>
      <c r="C827" s="126" t="s">
        <v>2098</v>
      </c>
      <c r="D827" s="65" t="s">
        <v>2099</v>
      </c>
      <c r="E827" s="65"/>
      <c r="F827" t="s">
        <v>1164</v>
      </c>
      <c r="G827" s="161">
        <f>MONTH(EJECUTADO[[#This Row],[FECHA]])</f>
        <v>3</v>
      </c>
      <c r="H827" s="163" t="str">
        <f>MID(EJECUTADO[[#This Row],[CUENTA]],1,4)</f>
        <v>E-24</v>
      </c>
      <c r="I827" s="163" t="str">
        <f>INDEX(CATALOGO[Descripción],MATCH(EJECUTADO[[#This Row],[APLICACIÓN]]&amp;"-00-00-00",CATALOGO[Código],0))</f>
        <v>NUEVO INGRESO</v>
      </c>
      <c r="J8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827" s="161" t="str">
        <f>IF((EJECUTADO[[#This Row],[MONTO DISPONIBLE ]]-EJECUTADO[[#This Row],[MONTO SOLICITADO]])&gt;=0,"PRESUPUESTO: SI","PRESUPUESTO: NO")</f>
        <v>PRESUPUESTO: SI</v>
      </c>
      <c r="L827" s="162">
        <f>SUMIF(PRESUPUESTO[CUENTA],EJECUTADO[[#This Row],[CUENTA]],PRESUPUESTO[MONTO])-SUMIF($F$1:F826,EJECUTADO[[#This Row],[CUENTA]],$M$1:M826)</f>
        <v>1624.48</v>
      </c>
      <c r="M827" s="2">
        <v>387.76</v>
      </c>
      <c r="N827" s="84">
        <v>3.43</v>
      </c>
      <c r="O827" s="84"/>
      <c r="P827" s="162">
        <f>+EJECUTADO[[#This Row],[MONTO SOLICITADO]]-EJECUTADO[[#This Row],[RETENCION IVA]]-EJECUTADO[[#This Row],[RETENCION ISR]]</f>
        <v>384.33</v>
      </c>
      <c r="Q827" s="84" t="s">
        <v>1786</v>
      </c>
      <c r="R827" s="84"/>
      <c r="S827" s="112">
        <v>546</v>
      </c>
      <c r="T827" s="168" t="str">
        <f t="shared" si="24"/>
        <v>NUEVO INGRESO - Plaza Mundo - Promoción centro de atención Disponible $1624.48 Solicitado $387.76 PRESUPUESTO: SI</v>
      </c>
    </row>
    <row r="828" spans="1:20" ht="60" x14ac:dyDescent="0.25">
      <c r="A828" s="6">
        <f t="shared" si="27"/>
        <v>796</v>
      </c>
      <c r="B828" s="21">
        <v>45346</v>
      </c>
      <c r="C828" s="17" t="s">
        <v>1156</v>
      </c>
      <c r="D828" s="65" t="s">
        <v>2100</v>
      </c>
      <c r="E828" s="65" t="s">
        <v>2101</v>
      </c>
      <c r="F828" t="s">
        <v>1154</v>
      </c>
      <c r="G828" s="161">
        <f>MONTH(EJECUTADO[[#This Row],[FECHA]])</f>
        <v>2</v>
      </c>
      <c r="H828" s="163" t="str">
        <f>MID(EJECUTADO[[#This Row],[CUENTA]],1,4)</f>
        <v>E-09</v>
      </c>
      <c r="I828" s="163" t="str">
        <f>INDEX(CATALOGO[Descripción],MATCH(EJECUTADO[[#This Row],[APLICACIÓN]]&amp;"-00-00-00",CATALOGO[Código],0))</f>
        <v>PRESTACIONES AL PERSONAL</v>
      </c>
      <c r="J8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828" s="161" t="str">
        <f>IF((EJECUTADO[[#This Row],[MONTO DISPONIBLE ]]-EJECUTADO[[#This Row],[MONTO SOLICITADO]])&gt;=0,"PRESUPUESTO: SI","PRESUPUESTO: NO")</f>
        <v>PRESUPUESTO: SI</v>
      </c>
      <c r="L828" s="162">
        <f>SUMIF(PRESUPUESTO[CUENTA],EJECUTADO[[#This Row],[CUENTA]],PRESUPUESTO[MONTO])-SUMIF($F$1:F827,EJECUTADO[[#This Row],[CUENTA]],$M$1:M827)</f>
        <v>192518.88</v>
      </c>
      <c r="M828" s="2">
        <v>1185.1600000000001</v>
      </c>
      <c r="N828" s="2"/>
      <c r="O828" s="2">
        <v>118.52</v>
      </c>
      <c r="P828" s="162">
        <f>+EJECUTADO[[#This Row],[MONTO SOLICITADO]]-EJECUTADO[[#This Row],[RETENCION IVA]]-EJECUTADO[[#This Row],[RETENCION ISR]]</f>
        <v>1066.6400000000001</v>
      </c>
      <c r="Q828" s="84" t="s">
        <v>1786</v>
      </c>
      <c r="R828" s="2"/>
      <c r="S828">
        <v>3264</v>
      </c>
      <c r="T828" s="168" t="str">
        <f t="shared" si="24"/>
        <v>PRESTACIONES AL PERSONAL - GASTOS MÉDICOS  Disponible $192518.88 Solicitado $1185.16 PRESUPUESTO: SI</v>
      </c>
    </row>
    <row r="829" spans="1:20" ht="30" x14ac:dyDescent="0.25">
      <c r="A829" s="6">
        <v>797</v>
      </c>
      <c r="B829" s="21">
        <v>45346</v>
      </c>
      <c r="C829" s="17" t="s">
        <v>1156</v>
      </c>
      <c r="D829" s="65" t="s">
        <v>1758</v>
      </c>
      <c r="E829" s="65" t="s">
        <v>2102</v>
      </c>
      <c r="F829" t="s">
        <v>1265</v>
      </c>
      <c r="G829" s="161">
        <f>MONTH(EJECUTADO[[#This Row],[FECHA]])</f>
        <v>2</v>
      </c>
      <c r="H829" s="163" t="str">
        <f>MID(EJECUTADO[[#This Row],[CUENTA]],1,4)</f>
        <v>E-23</v>
      </c>
      <c r="I829" s="163" t="str">
        <f>INDEX(CATALOGO[Descripción],MATCH(EJECUTADO[[#This Row],[APLICACIÓN]]&amp;"-00-00-00",CATALOGO[Código],0))</f>
        <v>GASTOS DE VIAJE</v>
      </c>
      <c r="J8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829" s="161" t="str">
        <f>IF((EJECUTADO[[#This Row],[MONTO DISPONIBLE ]]-EJECUTADO[[#This Row],[MONTO SOLICITADO]])&gt;=0,"PRESUPUESTO: SI","PRESUPUESTO: NO")</f>
        <v>PRESUPUESTO: SI</v>
      </c>
      <c r="L829" s="162">
        <f>SUMIF(PRESUPUESTO[CUENTA],EJECUTADO[[#This Row],[CUENTA]],PRESUPUESTO[MONTO])-SUMIF($F$1:F828,EJECUTADO[[#This Row],[CUENTA]],$M$1:M828)</f>
        <v>22755.510000000002</v>
      </c>
      <c r="M829" s="2">
        <v>80</v>
      </c>
      <c r="N829" s="2"/>
      <c r="O829" s="2"/>
      <c r="P829" s="162">
        <f>+EJECUTADO[[#This Row],[MONTO SOLICITADO]]-EJECUTADO[[#This Row],[RETENCION IVA]]-EJECUTADO[[#This Row],[RETENCION ISR]]</f>
        <v>80</v>
      </c>
      <c r="Q829" s="84" t="s">
        <v>1786</v>
      </c>
      <c r="R829" s="2"/>
      <c r="S829">
        <v>3264</v>
      </c>
      <c r="T829" s="168" t="str">
        <f t="shared" si="24"/>
        <v>GASTOS DE VIAJE - Servicio combustible Disponible $22755.51 Solicitado $80 PRESUPUESTO: SI</v>
      </c>
    </row>
    <row r="830" spans="1:20" ht="60" x14ac:dyDescent="0.25">
      <c r="A830" s="6">
        <v>798</v>
      </c>
      <c r="B830" s="21">
        <v>45346</v>
      </c>
      <c r="C830" s="17" t="s">
        <v>2103</v>
      </c>
      <c r="D830" s="65" t="s">
        <v>2100</v>
      </c>
      <c r="E830" s="65" t="s">
        <v>2104</v>
      </c>
      <c r="F830" t="s">
        <v>1154</v>
      </c>
      <c r="G830" s="161">
        <f>MONTH(EJECUTADO[[#This Row],[FECHA]])</f>
        <v>2</v>
      </c>
      <c r="H830" s="163" t="str">
        <f>MID(EJECUTADO[[#This Row],[CUENTA]],1,4)</f>
        <v>E-09</v>
      </c>
      <c r="I830" s="163" t="str">
        <f>INDEX(CATALOGO[Descripción],MATCH(EJECUTADO[[#This Row],[APLICACIÓN]]&amp;"-00-00-00",CATALOGO[Código],0))</f>
        <v>PRESTACIONES AL PERSONAL</v>
      </c>
      <c r="J8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830" s="161" t="str">
        <f>IF((EJECUTADO[[#This Row],[MONTO DISPONIBLE ]]-EJECUTADO[[#This Row],[MONTO SOLICITADO]])&gt;=0,"PRESUPUESTO: SI","PRESUPUESTO: NO")</f>
        <v>PRESUPUESTO: SI</v>
      </c>
      <c r="L830" s="162">
        <f>SUMIF(PRESUPUESTO[CUENTA],EJECUTADO[[#This Row],[CUENTA]],PRESUPUESTO[MONTO])-SUMIF($F$1:F829,EJECUTADO[[#This Row],[CUENTA]],$M$1:M829)</f>
        <v>191333.72</v>
      </c>
      <c r="M830" s="2">
        <v>1037.01</v>
      </c>
      <c r="N830" s="2"/>
      <c r="O830" s="2">
        <v>103.7</v>
      </c>
      <c r="P830" s="162">
        <f>+EJECUTADO[[#This Row],[MONTO SOLICITADO]]-EJECUTADO[[#This Row],[RETENCION IVA]]-EJECUTADO[[#This Row],[RETENCION ISR]]</f>
        <v>933.31</v>
      </c>
      <c r="Q830" s="84" t="s">
        <v>1786</v>
      </c>
      <c r="R830" s="2"/>
      <c r="S830" s="112">
        <v>3263</v>
      </c>
      <c r="T830" s="168" t="str">
        <f t="shared" si="24"/>
        <v>PRESTACIONES AL PERSONAL - GASTOS MÉDICOS  Disponible $191333.72 Solicitado $1037.01 PRESUPUESTO: SI</v>
      </c>
    </row>
    <row r="831" spans="1:20" ht="30" x14ac:dyDescent="0.25">
      <c r="A831" s="6">
        <v>799</v>
      </c>
      <c r="B831" s="21">
        <v>45346</v>
      </c>
      <c r="C831" s="17" t="s">
        <v>2103</v>
      </c>
      <c r="D831" s="65" t="s">
        <v>1758</v>
      </c>
      <c r="E831" s="65" t="s">
        <v>2105</v>
      </c>
      <c r="F831" t="s">
        <v>1265</v>
      </c>
      <c r="G831" s="161">
        <f>MONTH(EJECUTADO[[#This Row],[FECHA]])</f>
        <v>2</v>
      </c>
      <c r="H831" s="163" t="str">
        <f>MID(EJECUTADO[[#This Row],[CUENTA]],1,4)</f>
        <v>E-23</v>
      </c>
      <c r="I831" s="163" t="str">
        <f>INDEX(CATALOGO[Descripción],MATCH(EJECUTADO[[#This Row],[APLICACIÓN]]&amp;"-00-00-00",CATALOGO[Código],0))</f>
        <v>GASTOS DE VIAJE</v>
      </c>
      <c r="J8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831" s="161" t="str">
        <f>IF((EJECUTADO[[#This Row],[MONTO DISPONIBLE ]]-EJECUTADO[[#This Row],[MONTO SOLICITADO]])&gt;=0,"PRESUPUESTO: SI","PRESUPUESTO: NO")</f>
        <v>PRESUPUESTO: SI</v>
      </c>
      <c r="L831" s="162">
        <f>SUMIF(PRESUPUESTO[CUENTA],EJECUTADO[[#This Row],[CUENTA]],PRESUPUESTO[MONTO])-SUMIF($F$1:F830,EJECUTADO[[#This Row],[CUENTA]],$M$1:M830)</f>
        <v>22675.510000000002</v>
      </c>
      <c r="M831" s="2">
        <v>70</v>
      </c>
      <c r="N831" s="2"/>
      <c r="O831" s="2"/>
      <c r="P831" s="162">
        <f>+EJECUTADO[[#This Row],[MONTO SOLICITADO]]-EJECUTADO[[#This Row],[RETENCION IVA]]-EJECUTADO[[#This Row],[RETENCION ISR]]</f>
        <v>70</v>
      </c>
      <c r="Q831" s="84" t="s">
        <v>1786</v>
      </c>
      <c r="R831" s="2"/>
      <c r="S831">
        <v>3263</v>
      </c>
      <c r="T831" s="168" t="str">
        <f t="shared" si="24"/>
        <v>GASTOS DE VIAJE - Servicio combustible Disponible $22675.51 Solicitado $70 PRESUPUESTO: SI</v>
      </c>
    </row>
    <row r="832" spans="1:20" ht="75" x14ac:dyDescent="0.25">
      <c r="A832" s="6">
        <f t="shared" si="27"/>
        <v>800</v>
      </c>
      <c r="B832" s="21">
        <v>45337</v>
      </c>
      <c r="C832" s="126" t="s">
        <v>2106</v>
      </c>
      <c r="D832" s="65" t="s">
        <v>2107</v>
      </c>
      <c r="E832" s="65" t="s">
        <v>2108</v>
      </c>
      <c r="F832" t="s">
        <v>1068</v>
      </c>
      <c r="G832" s="161">
        <f>MONTH(EJECUTADO[[#This Row],[FECHA]])</f>
        <v>2</v>
      </c>
      <c r="H832" s="163" t="str">
        <f>MID(EJECUTADO[[#This Row],[CUENTA]],1,4)</f>
        <v>E-15</v>
      </c>
      <c r="I832" s="163" t="str">
        <f>INDEX(CATALOGO[Descripción],MATCH(EJECUTADO[[#This Row],[APLICACIÓN]]&amp;"-00-00-00",CATALOGO[Código],0))</f>
        <v>ALQUILERES</v>
      </c>
      <c r="J8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Bodega externa Admón Académica  Datasafe</v>
      </c>
      <c r="K832" s="161" t="str">
        <f>IF((EJECUTADO[[#This Row],[MONTO DISPONIBLE ]]-EJECUTADO[[#This Row],[MONTO SOLICITADO]])&gt;=0,"PRESUPUESTO: SI","PRESUPUESTO: NO")</f>
        <v>PRESUPUESTO: SI</v>
      </c>
      <c r="L832" s="162">
        <f>SUMIF(PRESUPUESTO[CUENTA],EJECUTADO[[#This Row],[CUENTA]],PRESUPUESTO[MONTO])-SUMIF($F$1:F831,EJECUTADO[[#This Row],[CUENTA]],$M$1:M831)</f>
        <v>5371.47</v>
      </c>
      <c r="M832" s="2">
        <v>549.41999999999996</v>
      </c>
      <c r="N832" s="84">
        <v>4.8600000000000003</v>
      </c>
      <c r="O832" s="84"/>
      <c r="P832" s="162">
        <f>+EJECUTADO[[#This Row],[MONTO SOLICITADO]]-EJECUTADO[[#This Row],[RETENCION IVA]]-EJECUTADO[[#This Row],[RETENCION ISR]]</f>
        <v>544.55999999999995</v>
      </c>
      <c r="Q832" s="84" t="s">
        <v>1960</v>
      </c>
      <c r="R832" s="84"/>
      <c r="S832" s="112">
        <v>1875493</v>
      </c>
      <c r="T832" s="168" t="str">
        <f t="shared" si="24"/>
        <v>ALQUILERES - Bodega externa Admón Académica  Datasafe Disponible $5371.47 Solicitado $549.42 PRESUPUESTO: SI</v>
      </c>
    </row>
    <row r="833" spans="1:20" ht="75" x14ac:dyDescent="0.25">
      <c r="A833" s="6">
        <f t="shared" si="27"/>
        <v>801</v>
      </c>
      <c r="B833" s="21">
        <v>45360</v>
      </c>
      <c r="C833" s="21" t="s">
        <v>1220</v>
      </c>
      <c r="D833" s="65" t="s">
        <v>2109</v>
      </c>
      <c r="E833" s="65" t="s">
        <v>2110</v>
      </c>
      <c r="F833" s="37" t="s">
        <v>1265</v>
      </c>
      <c r="G833" s="161">
        <f>MONTH(EJECUTADO[[#This Row],[FECHA]])</f>
        <v>3</v>
      </c>
      <c r="H833" s="163" t="str">
        <f>MID(EJECUTADO[[#This Row],[CUENTA]],1,4)</f>
        <v>E-23</v>
      </c>
      <c r="I833" s="163" t="str">
        <f>INDEX(CATALOGO[Descripción],MATCH(EJECUTADO[[#This Row],[APLICACIÓN]]&amp;"-00-00-00",CATALOGO[Código],0))</f>
        <v>GASTOS DE VIAJE</v>
      </c>
      <c r="J8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833" s="161" t="str">
        <f>IF((EJECUTADO[[#This Row],[MONTO DISPONIBLE ]]-EJECUTADO[[#This Row],[MONTO SOLICITADO]])&gt;=0,"PRESUPUESTO: SI","PRESUPUESTO: NO")</f>
        <v>PRESUPUESTO: SI</v>
      </c>
      <c r="L833" s="162">
        <f>SUMIF(PRESUPUESTO[CUENTA],EJECUTADO[[#This Row],[CUENTA]],PRESUPUESTO[MONTO])-SUMIF($F$1:F832,EJECUTADO[[#This Row],[CUENTA]],$M$1:M832)</f>
        <v>22605.510000000002</v>
      </c>
      <c r="M833" s="2">
        <v>1600.82</v>
      </c>
      <c r="N833" s="84"/>
      <c r="O833" s="84"/>
      <c r="P833" s="162">
        <f>+EJECUTADO[[#This Row],[MONTO SOLICITADO]]-EJECUTADO[[#This Row],[RETENCION IVA]]-EJECUTADO[[#This Row],[RETENCION ISR]]</f>
        <v>1600.82</v>
      </c>
      <c r="Q833" s="84" t="s">
        <v>1971</v>
      </c>
      <c r="R833" s="84" t="s">
        <v>2111</v>
      </c>
      <c r="S833" s="112">
        <v>551</v>
      </c>
      <c r="T833" s="168" t="str">
        <f t="shared" si="24"/>
        <v>GASTOS DE VIAJE - Servicio combustible Disponible $22605.51 Solicitado $1600.82 PRESUPUESTO: SI</v>
      </c>
    </row>
    <row r="834" spans="1:20" ht="120" x14ac:dyDescent="0.25">
      <c r="A834" s="6">
        <f t="shared" si="27"/>
        <v>802</v>
      </c>
      <c r="B834" s="21">
        <v>45360</v>
      </c>
      <c r="C834" s="21" t="s">
        <v>1021</v>
      </c>
      <c r="D834" s="65" t="s">
        <v>2112</v>
      </c>
      <c r="E834" s="65" t="s">
        <v>2113</v>
      </c>
      <c r="F834" t="s">
        <v>2114</v>
      </c>
      <c r="G834" s="161">
        <f>MONTH(EJECUTADO[[#This Row],[FECHA]])</f>
        <v>3</v>
      </c>
      <c r="H834" s="163" t="str">
        <f>MID(EJECUTADO[[#This Row],[CUENTA]],1,4)</f>
        <v>E-26</v>
      </c>
      <c r="I834" s="163" t="str">
        <f>INDEX(CATALOGO[Descripción],MATCH(EJECUTADO[[#This Row],[APLICACIÓN]]&amp;"-00-00-00",CATALOGO[Código],0))</f>
        <v>EVENTOS ACADEMICOS, CULTURALES  E INSTITUCIONALES</v>
      </c>
      <c r="J8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Vinculación padres de familia  - FICA</v>
      </c>
      <c r="K834" s="161" t="str">
        <f>IF((EJECUTADO[[#This Row],[MONTO DISPONIBLE ]]-EJECUTADO[[#This Row],[MONTO SOLICITADO]])&gt;=0,"PRESUPUESTO: SI","PRESUPUESTO: NO")</f>
        <v>PRESUPUESTO: SI</v>
      </c>
      <c r="L834" s="162">
        <f>SUMIF(PRESUPUESTO[CUENTA],EJECUTADO[[#This Row],[CUENTA]],PRESUPUESTO[MONTO])-SUMIF($F$1:F833,EJECUTADO[[#This Row],[CUENTA]],$M$1:M833)</f>
        <v>1000</v>
      </c>
      <c r="M834" s="2">
        <v>400</v>
      </c>
      <c r="N834" s="84"/>
      <c r="O834" s="84"/>
      <c r="P834" s="162">
        <f>+EJECUTADO[[#This Row],[MONTO SOLICITADO]]-EJECUTADO[[#This Row],[RETENCION IVA]]-EJECUTADO[[#This Row],[RETENCION ISR]]</f>
        <v>400</v>
      </c>
      <c r="Q834" s="84" t="s">
        <v>1971</v>
      </c>
      <c r="R834" s="84" t="s">
        <v>2111</v>
      </c>
      <c r="T834" s="168" t="str">
        <f t="shared" si="24"/>
        <v>EVENTOS ACADEMICOS, CULTURALES  E INSTITUCIONALES - Vinculación padres de familia  - FICA Disponible $1000 Solicitado $400 PRESUPUESTO: SI</v>
      </c>
    </row>
    <row r="835" spans="1:20" ht="45" x14ac:dyDescent="0.25">
      <c r="A835" s="6">
        <f t="shared" si="27"/>
        <v>803</v>
      </c>
      <c r="B835" s="21">
        <v>45360</v>
      </c>
      <c r="C835" s="126" t="s">
        <v>2115</v>
      </c>
      <c r="D835" s="65" t="s">
        <v>2116</v>
      </c>
      <c r="E835" s="65" t="s">
        <v>2117</v>
      </c>
      <c r="F835" t="s">
        <v>1306</v>
      </c>
      <c r="G835" s="161">
        <f>MONTH(EJECUTADO[[#This Row],[FECHA]])</f>
        <v>3</v>
      </c>
      <c r="H835" s="163" t="str">
        <f>MID(EJECUTADO[[#This Row],[CUENTA]],1,4)</f>
        <v>E-07</v>
      </c>
      <c r="I835" s="163" t="str">
        <f>INDEX(CATALOGO[Descripción],MATCH(EJECUTADO[[#This Row],[APLICACIÓN]]&amp;"-00-00-00",CATALOGO[Código],0))</f>
        <v>SERVICIOS TECNOLOGICOS</v>
      </c>
      <c r="J8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ADMINISTRATIVOS- APP Estudiantes Mobiles El Salvador </v>
      </c>
      <c r="K835" s="161" t="str">
        <f>IF((EJECUTADO[[#This Row],[MONTO DISPONIBLE ]]-EJECUTADO[[#This Row],[MONTO SOLICITADO]])&gt;=0,"PRESUPUESTO: SI","PRESUPUESTO: NO")</f>
        <v>PRESUPUESTO: SI</v>
      </c>
      <c r="L835" s="162">
        <f>SUMIF(PRESUPUESTO[CUENTA],EJECUTADO[[#This Row],[CUENTA]],PRESUPUESTO[MONTO])-SUMIF($F$1:F834,EJECUTADO[[#This Row],[CUENTA]],$M$1:M834)</f>
        <v>5105</v>
      </c>
      <c r="M835" s="2">
        <v>565</v>
      </c>
      <c r="N835" s="84">
        <v>5</v>
      </c>
      <c r="O835" s="84"/>
      <c r="P835" s="162">
        <f>+EJECUTADO[[#This Row],[MONTO SOLICITADO]]-EJECUTADO[[#This Row],[RETENCION IVA]]-EJECUTADO[[#This Row],[RETENCION ISR]]</f>
        <v>560</v>
      </c>
      <c r="Q835" s="84" t="s">
        <v>1971</v>
      </c>
      <c r="R835" s="84" t="s">
        <v>2111</v>
      </c>
      <c r="T835" s="168" t="str">
        <f t="shared" si="24"/>
        <v>SERVICIOS TECNOLOGICOS - SERVICIOS ADMINISTRATIVOS- APP Estudiantes Mobiles El Salvador  Disponible $5105 Solicitado $565 PRESUPUESTO: SI</v>
      </c>
    </row>
    <row r="836" spans="1:20" ht="75" x14ac:dyDescent="0.25">
      <c r="A836" s="6">
        <f t="shared" si="27"/>
        <v>804</v>
      </c>
      <c r="B836" s="21">
        <v>45360</v>
      </c>
      <c r="C836" s="126" t="s">
        <v>2118</v>
      </c>
      <c r="D836" s="65" t="s">
        <v>2119</v>
      </c>
      <c r="E836" s="65" t="s">
        <v>2120</v>
      </c>
      <c r="F836" t="s">
        <v>1354</v>
      </c>
      <c r="G836" s="161">
        <f>MONTH(EJECUTADO[[#This Row],[FECHA]])</f>
        <v>3</v>
      </c>
      <c r="H836" s="163" t="str">
        <f>MID(EJECUTADO[[#This Row],[CUENTA]],1,4)</f>
        <v>E-07</v>
      </c>
      <c r="I836" s="163" t="str">
        <f>INDEX(CATALOGO[Descripción],MATCH(EJECUTADO[[#This Row],[APLICACIÓN]]&amp;"-00-00-00",CATALOGO[Código],0))</f>
        <v>SERVICIOS TECNOLOGICOS</v>
      </c>
      <c r="J8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Partes y suministros</v>
      </c>
      <c r="K836" s="161" t="str">
        <f>IF((EJECUTADO[[#This Row],[MONTO DISPONIBLE ]]-EJECUTADO[[#This Row],[MONTO SOLICITADO]])&gt;=0,"PRESUPUESTO: SI","PRESUPUESTO: NO")</f>
        <v>PRESUPUESTO: NO</v>
      </c>
      <c r="L836" s="162">
        <f>SUMIF(PRESUPUESTO[CUENTA],EJECUTADO[[#This Row],[CUENTA]],PRESUPUESTO[MONTO])-SUMIF($F$1:F835,EJECUTADO[[#This Row],[CUENTA]],$M$1:M835)</f>
        <v>-416.39999999999964</v>
      </c>
      <c r="M836" s="2">
        <v>459</v>
      </c>
      <c r="N836" s="84">
        <v>4.0599999999999996</v>
      </c>
      <c r="O836" s="84"/>
      <c r="P836" s="162">
        <f>+EJECUTADO[[#This Row],[MONTO SOLICITADO]]-EJECUTADO[[#This Row],[RETENCION IVA]]-EJECUTADO[[#This Row],[RETENCION ISR]]</f>
        <v>454.94</v>
      </c>
      <c r="Q836" s="84" t="s">
        <v>1971</v>
      </c>
      <c r="R836" s="84" t="s">
        <v>2111</v>
      </c>
      <c r="T836" s="168" t="str">
        <f t="shared" ref="T836:T908" si="28">_xlfn.CONCAT(I836," - ",J836," Disponible $",L836," Solicitado $",M836," ",K836,)</f>
        <v>SERVICIOS TECNOLOGICOS - Partes y suministros Disponible $-416.4 Solicitado $459 PRESUPUESTO: NO</v>
      </c>
    </row>
    <row r="837" spans="1:20" ht="75" x14ac:dyDescent="0.25">
      <c r="A837" s="6">
        <f t="shared" si="27"/>
        <v>805</v>
      </c>
      <c r="B837" s="21">
        <v>45360</v>
      </c>
      <c r="C837" s="126" t="s">
        <v>2121</v>
      </c>
      <c r="D837" s="65" t="s">
        <v>2122</v>
      </c>
      <c r="E837" s="65" t="s">
        <v>2123</v>
      </c>
      <c r="F837" t="s">
        <v>1074</v>
      </c>
      <c r="G837" s="161">
        <f>MONTH(EJECUTADO[[#This Row],[FECHA]])</f>
        <v>3</v>
      </c>
      <c r="H837" s="163" t="str">
        <f>MID(EJECUTADO[[#This Row],[CUENTA]],1,4)</f>
        <v>E-15</v>
      </c>
      <c r="I837" s="163" t="str">
        <f>INDEX(CATALOGO[Descripción],MATCH(EJECUTADO[[#This Row],[APLICACIÓN]]&amp;"-00-00-00",CATALOGO[Código],0))</f>
        <v>ALQUILERES</v>
      </c>
      <c r="J8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Parqueo de estudiantes Calleja 12   $ 11,136.33</v>
      </c>
      <c r="K837" s="161" t="str">
        <f>IF((EJECUTADO[[#This Row],[MONTO DISPONIBLE ]]-EJECUTADO[[#This Row],[MONTO SOLICITADO]])&gt;=0,"PRESUPUESTO: SI","PRESUPUESTO: NO")</f>
        <v>PRESUPUESTO: SI</v>
      </c>
      <c r="L837" s="162">
        <f>SUMIF(PRESUPUESTO[CUENTA],EJECUTADO[[#This Row],[CUENTA]],PRESUPUESTO[MONTO])-SUMIF($F$1:F836,EJECUTADO[[#This Row],[CUENTA]],$M$1:M836)</f>
        <v>110049.23999999999</v>
      </c>
      <c r="M837" s="2">
        <v>11136.33</v>
      </c>
      <c r="N837" s="84"/>
      <c r="O837" s="84"/>
      <c r="P837" s="162">
        <f>+EJECUTADO[[#This Row],[MONTO SOLICITADO]]-EJECUTADO[[#This Row],[RETENCION IVA]]-EJECUTADO[[#This Row],[RETENCION ISR]]</f>
        <v>11136.33</v>
      </c>
      <c r="Q837" s="84" t="s">
        <v>1971</v>
      </c>
      <c r="R837" s="84" t="s">
        <v>2111</v>
      </c>
      <c r="S837" s="112">
        <v>1875498</v>
      </c>
      <c r="T837" s="168" t="str">
        <f t="shared" si="28"/>
        <v>ALQUILERES - Parqueo de estudiantes Calleja 12   $ 11,136.33 Disponible $110049.24 Solicitado $11136.33 PRESUPUESTO: SI</v>
      </c>
    </row>
    <row r="838" spans="1:20" ht="105" x14ac:dyDescent="0.25">
      <c r="A838" s="6">
        <f t="shared" si="27"/>
        <v>806</v>
      </c>
      <c r="B838" s="21">
        <v>45360</v>
      </c>
      <c r="C838" s="126" t="s">
        <v>1988</v>
      </c>
      <c r="D838" s="65" t="s">
        <v>2124</v>
      </c>
      <c r="E838" s="65" t="s">
        <v>2125</v>
      </c>
      <c r="F838" t="s">
        <v>1991</v>
      </c>
      <c r="G838" s="161">
        <f>MONTH(EJECUTADO[[#This Row],[FECHA]])</f>
        <v>3</v>
      </c>
      <c r="H838" s="163" t="str">
        <f>MID(EJECUTADO[[#This Row],[CUENTA]],1,4)</f>
        <v>E-12</v>
      </c>
      <c r="I838" s="163" t="str">
        <f>INDEX(CATALOGO[Descripción],MATCH(EJECUTADO[[#This Row],[APLICACIÓN]]&amp;"-00-00-00",CATALOGO[Código],0))</f>
        <v>PROYECCION SOCIAL</v>
      </c>
      <c r="J8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y actividades de Facultad Ciencias Sociales</v>
      </c>
      <c r="K838" s="161" t="str">
        <f>IF((EJECUTADO[[#This Row],[MONTO DISPONIBLE ]]-EJECUTADO[[#This Row],[MONTO SOLICITADO]])&gt;=0,"PRESUPUESTO: SI","PRESUPUESTO: NO")</f>
        <v>PRESUPUESTO: SI</v>
      </c>
      <c r="L838" s="162">
        <f>SUMIF(PRESUPUESTO[CUENTA],EJECUTADO[[#This Row],[CUENTA]],PRESUPUESTO[MONTO])-SUMIF($F$1:F837,EJECUTADO[[#This Row],[CUENTA]],$M$1:M837)</f>
        <v>1378.5</v>
      </c>
      <c r="M838" s="2">
        <v>169.5</v>
      </c>
      <c r="N838" s="84">
        <v>150</v>
      </c>
      <c r="O838" s="84"/>
      <c r="P838" s="162">
        <f>+EJECUTADO[[#This Row],[MONTO SOLICITADO]]-EJECUTADO[[#This Row],[RETENCION IVA]]-EJECUTADO[[#This Row],[RETENCION ISR]]</f>
        <v>19.5</v>
      </c>
      <c r="Q838" s="84" t="s">
        <v>1971</v>
      </c>
      <c r="R838" s="84" t="s">
        <v>2111</v>
      </c>
      <c r="S838" s="112">
        <v>562</v>
      </c>
      <c r="T838" s="168" t="str">
        <f t="shared" si="28"/>
        <v>PROYECCION SOCIAL - Proyectos y actividades de Facultad Ciencias Sociales Disponible $1378.5 Solicitado $169.5 PRESUPUESTO: SI</v>
      </c>
    </row>
    <row r="839" spans="1:20" ht="75" x14ac:dyDescent="0.25">
      <c r="A839" s="6">
        <f t="shared" si="27"/>
        <v>807</v>
      </c>
      <c r="B839" s="21">
        <v>45360</v>
      </c>
      <c r="C839" s="126" t="s">
        <v>2126</v>
      </c>
      <c r="D839" s="65" t="s">
        <v>2127</v>
      </c>
      <c r="E839" s="65" t="s">
        <v>2128</v>
      </c>
      <c r="F839" t="s">
        <v>1055</v>
      </c>
      <c r="G839" s="161">
        <f>MONTH(EJECUTADO[[#This Row],[FECHA]])</f>
        <v>3</v>
      </c>
      <c r="H839" s="163" t="str">
        <f>MID(EJECUTADO[[#This Row],[CUENTA]],1,4)</f>
        <v>E-07</v>
      </c>
      <c r="I839" s="163" t="str">
        <f>INDEX(CATALOGO[Descripción],MATCH(EJECUTADO[[#This Row],[APLICACIÓN]]&amp;"-00-00-00",CATALOGO[Código],0))</f>
        <v>SERVICIOS TECNOLOGICOS</v>
      </c>
      <c r="J8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Enlace ComercialDigicel   Internet Alumnos $ 3,560.00 x 12 </v>
      </c>
      <c r="K839" s="161" t="str">
        <f>IF((EJECUTADO[[#This Row],[MONTO DISPONIBLE ]]-EJECUTADO[[#This Row],[MONTO SOLICITADO]])&gt;=0,"PRESUPUESTO: SI","PRESUPUESTO: NO")</f>
        <v>PRESUPUESTO: SI</v>
      </c>
      <c r="L839" s="162">
        <f>SUMIF(PRESUPUESTO[CUENTA],EJECUTADO[[#This Row],[CUENTA]],PRESUPUESTO[MONTO])-SUMIF($F$1:F838,EJECUTADO[[#This Row],[CUENTA]],$M$1:M838)</f>
        <v>33547</v>
      </c>
      <c r="M839" s="2">
        <v>3051</v>
      </c>
      <c r="N839" s="84">
        <v>27</v>
      </c>
      <c r="O839" s="84"/>
      <c r="P839" s="162">
        <f>+EJECUTADO[[#This Row],[MONTO SOLICITADO]]-EJECUTADO[[#This Row],[RETENCION IVA]]-EJECUTADO[[#This Row],[RETENCION ISR]]</f>
        <v>3024</v>
      </c>
      <c r="Q839" s="84" t="s">
        <v>1971</v>
      </c>
      <c r="R839" s="84" t="s">
        <v>2111</v>
      </c>
      <c r="T839" s="168" t="str">
        <f t="shared" si="28"/>
        <v>SERVICIOS TECNOLOGICOS - Enlace ComercialDigicel   Internet Alumnos $ 3,560.00 x 12  Disponible $33547 Solicitado $3051 PRESUPUESTO: SI</v>
      </c>
    </row>
    <row r="840" spans="1:20" ht="90" x14ac:dyDescent="0.25">
      <c r="A840" s="6">
        <f t="shared" si="27"/>
        <v>808</v>
      </c>
      <c r="B840" s="21">
        <v>45360</v>
      </c>
      <c r="C840" s="126" t="s">
        <v>2129</v>
      </c>
      <c r="D840" s="65" t="s">
        <v>2130</v>
      </c>
      <c r="E840" s="106" t="s">
        <v>2131</v>
      </c>
      <c r="F840" s="148" t="s">
        <v>1327</v>
      </c>
      <c r="G840" s="161">
        <f>MONTH(EJECUTADO[[#This Row],[FECHA]])</f>
        <v>3</v>
      </c>
      <c r="H840" s="163" t="str">
        <f>MID(EJECUTADO[[#This Row],[CUENTA]],1,4)</f>
        <v>E-10</v>
      </c>
      <c r="I840" s="163" t="str">
        <f>INDEX(CATALOGO[Descripción],MATCH(EJECUTADO[[#This Row],[APLICACIÓN]]&amp;"-00-00-00",CATALOGO[Código],0))</f>
        <v>SERVICIOS PUBLICOS</v>
      </c>
      <c r="J8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840" s="161" t="str">
        <f>IF((EJECUTADO[[#This Row],[MONTO DISPONIBLE ]]-EJECUTADO[[#This Row],[MONTO SOLICITADO]])&gt;=0,"PRESUPUESTO: SI","PRESUPUESTO: NO")</f>
        <v>PRESUPUESTO: SI</v>
      </c>
      <c r="L840" s="162">
        <f>SUMIF(PRESUPUESTO[CUENTA],EJECUTADO[[#This Row],[CUENTA]],PRESUPUESTO[MONTO])-SUMIF($F$1:F839,EJECUTADO[[#This Row],[CUENTA]],$M$1:M839)</f>
        <v>32526</v>
      </c>
      <c r="M840" s="106">
        <v>403.06</v>
      </c>
      <c r="N840" s="84"/>
      <c r="O840" s="84"/>
      <c r="P840" s="162">
        <f>+EJECUTADO[[#This Row],[MONTO SOLICITADO]]-EJECUTADO[[#This Row],[RETENCION IVA]]-EJECUTADO[[#This Row],[RETENCION ISR]]</f>
        <v>403.06</v>
      </c>
      <c r="Q840" s="84" t="s">
        <v>1971</v>
      </c>
      <c r="R840" s="84" t="s">
        <v>2111</v>
      </c>
      <c r="T840" s="168" t="str">
        <f t="shared" si="28"/>
        <v>SERVICIOS PUBLICOS - SERVICIO PLANTA TELEFÓNICA  Disponible $32526 Solicitado $403.06 PRESUPUESTO: SI</v>
      </c>
    </row>
    <row r="841" spans="1:20" ht="75" x14ac:dyDescent="0.25">
      <c r="A841" s="121" t="s">
        <v>2132</v>
      </c>
      <c r="B841" s="21">
        <v>45360</v>
      </c>
      <c r="C841" s="126" t="s">
        <v>2129</v>
      </c>
      <c r="D841" s="65" t="s">
        <v>2133</v>
      </c>
      <c r="E841" s="106" t="s">
        <v>2134</v>
      </c>
      <c r="F841" s="148" t="s">
        <v>1327</v>
      </c>
      <c r="G841" s="161">
        <f>MONTH(EJECUTADO[[#This Row],[FECHA]])</f>
        <v>3</v>
      </c>
      <c r="H841" s="163" t="str">
        <f>MID(EJECUTADO[[#This Row],[CUENTA]],1,4)</f>
        <v>E-10</v>
      </c>
      <c r="I841" s="163" t="str">
        <f>INDEX(CATALOGO[Descripción],MATCH(EJECUTADO[[#This Row],[APLICACIÓN]]&amp;"-00-00-00",CATALOGO[Código],0))</f>
        <v>SERVICIOS PUBLICOS</v>
      </c>
      <c r="J8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841" s="161" t="str">
        <f>IF((EJECUTADO[[#This Row],[MONTO DISPONIBLE ]]-EJECUTADO[[#This Row],[MONTO SOLICITADO]])&gt;=0,"PRESUPUESTO: SI","PRESUPUESTO: NO")</f>
        <v>PRESUPUESTO: SI</v>
      </c>
      <c r="L841" s="162">
        <f>SUMIF(PRESUPUESTO[CUENTA],EJECUTADO[[#This Row],[CUENTA]],PRESUPUESTO[MONTO])-SUMIF($F$1:F840,EJECUTADO[[#This Row],[CUENTA]],$M$1:M840)</f>
        <v>32122.94</v>
      </c>
      <c r="M841" s="106">
        <v>379.29</v>
      </c>
      <c r="N841" s="2"/>
      <c r="O841" s="2"/>
      <c r="P841" s="162">
        <f>+EJECUTADO[[#This Row],[MONTO SOLICITADO]]-EJECUTADO[[#This Row],[RETENCION IVA]]-EJECUTADO[[#This Row],[RETENCION ISR]]</f>
        <v>379.29</v>
      </c>
      <c r="Q841" s="2" t="s">
        <v>1971</v>
      </c>
      <c r="R841" s="2" t="s">
        <v>2111</v>
      </c>
      <c r="T841" s="168" t="str">
        <f t="shared" si="28"/>
        <v>SERVICIOS PUBLICOS - SERVICIO PLANTA TELEFÓNICA  Disponible $32122.94 Solicitado $379.29 PRESUPUESTO: SI</v>
      </c>
    </row>
    <row r="842" spans="1:20" ht="90" x14ac:dyDescent="0.25">
      <c r="A842" s="121" t="s">
        <v>2135</v>
      </c>
      <c r="B842" s="21">
        <v>45360</v>
      </c>
      <c r="C842" s="126" t="s">
        <v>2129</v>
      </c>
      <c r="D842" s="65" t="s">
        <v>2136</v>
      </c>
      <c r="E842" s="106" t="s">
        <v>2137</v>
      </c>
      <c r="F842" s="148" t="s">
        <v>1327</v>
      </c>
      <c r="G842" s="161">
        <f>MONTH(EJECUTADO[[#This Row],[FECHA]])</f>
        <v>3</v>
      </c>
      <c r="H842" s="163" t="str">
        <f>MID(EJECUTADO[[#This Row],[CUENTA]],1,4)</f>
        <v>E-10</v>
      </c>
      <c r="I842" s="163" t="str">
        <f>INDEX(CATALOGO[Descripción],MATCH(EJECUTADO[[#This Row],[APLICACIÓN]]&amp;"-00-00-00",CATALOGO[Código],0))</f>
        <v>SERVICIOS PUBLICOS</v>
      </c>
      <c r="J8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842" s="161" t="str">
        <f>IF((EJECUTADO[[#This Row],[MONTO DISPONIBLE ]]-EJECUTADO[[#This Row],[MONTO SOLICITADO]])&gt;=0,"PRESUPUESTO: SI","PRESUPUESTO: NO")</f>
        <v>PRESUPUESTO: SI</v>
      </c>
      <c r="L842" s="162">
        <f>SUMIF(PRESUPUESTO[CUENTA],EJECUTADO[[#This Row],[CUENTA]],PRESUPUESTO[MONTO])-SUMIF($F$1:F841,EJECUTADO[[#This Row],[CUENTA]],$M$1:M841)</f>
        <v>31743.65</v>
      </c>
      <c r="M842" s="106">
        <v>14.75</v>
      </c>
      <c r="N842" s="2"/>
      <c r="O842" s="2"/>
      <c r="P842" s="162">
        <f>+EJECUTADO[[#This Row],[MONTO SOLICITADO]]-EJECUTADO[[#This Row],[RETENCION IVA]]-EJECUTADO[[#This Row],[RETENCION ISR]]</f>
        <v>14.75</v>
      </c>
      <c r="Q842" s="2" t="s">
        <v>1971</v>
      </c>
      <c r="R842" s="2" t="s">
        <v>2111</v>
      </c>
      <c r="T842" s="168" t="str">
        <f t="shared" si="28"/>
        <v>SERVICIOS PUBLICOS - SERVICIO PLANTA TELEFÓNICA  Disponible $31743.65 Solicitado $14.75 PRESUPUESTO: SI</v>
      </c>
    </row>
    <row r="843" spans="1:20" ht="60" x14ac:dyDescent="0.25">
      <c r="A843" s="121" t="s">
        <v>2138</v>
      </c>
      <c r="B843" s="21">
        <v>45360</v>
      </c>
      <c r="C843" s="126" t="s">
        <v>2129</v>
      </c>
      <c r="D843" s="65" t="s">
        <v>2139</v>
      </c>
      <c r="E843" s="106" t="s">
        <v>2140</v>
      </c>
      <c r="F843" s="148" t="s">
        <v>1327</v>
      </c>
      <c r="G843" s="161">
        <f>MONTH(EJECUTADO[[#This Row],[FECHA]])</f>
        <v>3</v>
      </c>
      <c r="H843" s="163" t="str">
        <f>MID(EJECUTADO[[#This Row],[CUENTA]],1,4)</f>
        <v>E-10</v>
      </c>
      <c r="I843" s="163" t="str">
        <f>INDEX(CATALOGO[Descripción],MATCH(EJECUTADO[[#This Row],[APLICACIÓN]]&amp;"-00-00-00",CATALOGO[Código],0))</f>
        <v>SERVICIOS PUBLICOS</v>
      </c>
      <c r="J8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PLANTA TELEFÓNICA </v>
      </c>
      <c r="K843" s="161" t="str">
        <f>IF((EJECUTADO[[#This Row],[MONTO DISPONIBLE ]]-EJECUTADO[[#This Row],[MONTO SOLICITADO]])&gt;=0,"PRESUPUESTO: SI","PRESUPUESTO: NO")</f>
        <v>PRESUPUESTO: SI</v>
      </c>
      <c r="L843" s="162">
        <f>SUMIF(PRESUPUESTO[CUENTA],EJECUTADO[[#This Row],[CUENTA]],PRESUPUESTO[MONTO])-SUMIF($F$1:F842,EJECUTADO[[#This Row],[CUENTA]],$M$1:M842)</f>
        <v>31728.9</v>
      </c>
      <c r="M843" s="106">
        <v>3562.91</v>
      </c>
      <c r="N843" s="2"/>
      <c r="O843" s="2"/>
      <c r="P843" s="162">
        <f>+EJECUTADO[[#This Row],[MONTO SOLICITADO]]-EJECUTADO[[#This Row],[RETENCION IVA]]-EJECUTADO[[#This Row],[RETENCION ISR]]</f>
        <v>3562.91</v>
      </c>
      <c r="Q843" s="2" t="s">
        <v>1971</v>
      </c>
      <c r="R843" s="2" t="s">
        <v>2111</v>
      </c>
      <c r="T843" s="168" t="str">
        <f t="shared" si="28"/>
        <v>SERVICIOS PUBLICOS - SERVICIO PLANTA TELEFÓNICA  Disponible $31728.9 Solicitado $3562.91 PRESUPUESTO: SI</v>
      </c>
    </row>
    <row r="844" spans="1:20" ht="75" x14ac:dyDescent="0.25">
      <c r="A844" s="6">
        <f>+A840+1</f>
        <v>809</v>
      </c>
      <c r="B844" s="21">
        <v>45360</v>
      </c>
      <c r="C844" s="126" t="s">
        <v>2141</v>
      </c>
      <c r="D844" s="65" t="s">
        <v>2142</v>
      </c>
      <c r="E844" s="65" t="s">
        <v>2143</v>
      </c>
      <c r="F844" t="s">
        <v>1202</v>
      </c>
      <c r="G844" s="161">
        <f>MONTH(EJECUTADO[[#This Row],[FECHA]])</f>
        <v>3</v>
      </c>
      <c r="H844" s="163" t="str">
        <f>MID(EJECUTADO[[#This Row],[CUENTA]],1,4)</f>
        <v>E-01</v>
      </c>
      <c r="I844" s="163" t="str">
        <f>INDEX(CATALOGO[Descripción],MATCH(EJECUTADO[[#This Row],[APLICACIÓN]]&amp;"-00-00-00",CATALOGO[Código],0))</f>
        <v>SERVICIOS PROFESIONALES</v>
      </c>
      <c r="J8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VIGILANCIA</v>
      </c>
      <c r="K844" s="161" t="str">
        <f>IF((EJECUTADO[[#This Row],[MONTO DISPONIBLE ]]-EJECUTADO[[#This Row],[MONTO SOLICITADO]])&gt;=0,"PRESUPUESTO: SI","PRESUPUESTO: NO")</f>
        <v>PRESUPUESTO: SI</v>
      </c>
      <c r="L844" s="162">
        <f>SUMIF(PRESUPUESTO[CUENTA],EJECUTADO[[#This Row],[CUENTA]],PRESUPUESTO[MONTO])-SUMIF($F$1:F843,EJECUTADO[[#This Row],[CUENTA]],$M$1:M843)</f>
        <v>642100</v>
      </c>
      <c r="M844" s="2">
        <v>64210</v>
      </c>
      <c r="N844" s="84">
        <v>568.23</v>
      </c>
      <c r="O844" s="84"/>
      <c r="P844" s="162">
        <f>+EJECUTADO[[#This Row],[MONTO SOLICITADO]]-EJECUTADO[[#This Row],[RETENCION IVA]]-EJECUTADO[[#This Row],[RETENCION ISR]]</f>
        <v>63641.77</v>
      </c>
      <c r="Q844" s="84" t="s">
        <v>1971</v>
      </c>
      <c r="R844" s="84" t="s">
        <v>2111</v>
      </c>
      <c r="S844" s="183" t="s">
        <v>2144</v>
      </c>
      <c r="T844" s="168" t="str">
        <f t="shared" si="28"/>
        <v>SERVICIOS PROFESIONALES - SERVICIOS DE VIGILANCIA Disponible $642100 Solicitado $64210 PRESUPUESTO: SI</v>
      </c>
    </row>
    <row r="845" spans="1:20" ht="75" x14ac:dyDescent="0.25">
      <c r="A845" s="6" t="s">
        <v>2145</v>
      </c>
      <c r="B845" s="21">
        <v>45360</v>
      </c>
      <c r="C845" s="126" t="s">
        <v>2141</v>
      </c>
      <c r="D845" s="65" t="s">
        <v>2146</v>
      </c>
      <c r="E845" s="65" t="s">
        <v>2143</v>
      </c>
      <c r="F845" t="s">
        <v>1203</v>
      </c>
      <c r="G845" s="161">
        <f>MONTH(EJECUTADO[[#This Row],[FECHA]])</f>
        <v>3</v>
      </c>
      <c r="H845" s="163" t="str">
        <f>MID(EJECUTADO[[#This Row],[CUENTA]],1,4)</f>
        <v>E-13</v>
      </c>
      <c r="I845" s="163" t="str">
        <f>INDEX(CATALOGO[Descripción],MATCH(EJECUTADO[[#This Row],[APLICACIÓN]]&amp;"-00-00-00",CATALOGO[Código],0))</f>
        <v>MAESTRIAS Y POSTGRADOS</v>
      </c>
      <c r="J8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DE SEGURIDAD </v>
      </c>
      <c r="K845" s="161" t="str">
        <f>IF((EJECUTADO[[#This Row],[MONTO DISPONIBLE ]]-EJECUTADO[[#This Row],[MONTO SOLICITADO]])&gt;=0,"PRESUPUESTO: SI","PRESUPUESTO: NO")</f>
        <v>PRESUPUESTO: SI</v>
      </c>
      <c r="L845" s="162">
        <f>SUMIF(PRESUPUESTO[CUENTA],EJECUTADO[[#This Row],[CUENTA]],PRESUPUESTO[MONTO])-SUMIF($F$1:F844,EJECUTADO[[#This Row],[CUENTA]],$M$1:M844)</f>
        <v>114020</v>
      </c>
      <c r="M845" s="2">
        <v>3590</v>
      </c>
      <c r="N845" s="2">
        <v>31.77</v>
      </c>
      <c r="O845" s="2"/>
      <c r="P845" s="162">
        <f>+EJECUTADO[[#This Row],[MONTO SOLICITADO]]-EJECUTADO[[#This Row],[RETENCION IVA]]-EJECUTADO[[#This Row],[RETENCION ISR]]</f>
        <v>3558.23</v>
      </c>
      <c r="Q845" s="2" t="s">
        <v>1971</v>
      </c>
      <c r="R845" s="2" t="s">
        <v>2111</v>
      </c>
      <c r="S845" s="183" t="s">
        <v>2144</v>
      </c>
      <c r="T845" s="168" t="str">
        <f t="shared" si="28"/>
        <v>MAESTRIAS Y POSTGRADOS - SERVICIOS DE SEGURIDAD  Disponible $114020 Solicitado $3590 PRESUPUESTO: SI</v>
      </c>
    </row>
    <row r="846" spans="1:20" s="117" customFormat="1" ht="105" x14ac:dyDescent="0.25">
      <c r="A846" s="115">
        <f>+A844+1</f>
        <v>810</v>
      </c>
      <c r="B846" s="118">
        <v>45360</v>
      </c>
      <c r="C846" s="129" t="s">
        <v>2147</v>
      </c>
      <c r="D846" s="116" t="s">
        <v>2148</v>
      </c>
      <c r="E846" s="116" t="s">
        <v>2149</v>
      </c>
      <c r="F846" s="117" t="s">
        <v>1206</v>
      </c>
      <c r="G846" s="161">
        <f>MONTH(EJECUTADO[[#This Row],[FECHA]])</f>
        <v>3</v>
      </c>
      <c r="H846" s="163" t="str">
        <f>MID(EJECUTADO[[#This Row],[CUENTA]],1,4)</f>
        <v>E-11</v>
      </c>
      <c r="I846" s="163" t="str">
        <f>INDEX(CATALOGO[Descripción],MATCH(EJECUTADO[[#This Row],[APLICACIÓN]]&amp;"-00-00-00",CATALOGO[Código],0))</f>
        <v>INVESTIGACIONES</v>
      </c>
      <c r="J8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846" s="161" t="str">
        <f>IF((EJECUTADO[[#This Row],[MONTO DISPONIBLE ]]-EJECUTADO[[#This Row],[MONTO SOLICITADO]])&gt;=0,"PRESUPUESTO: SI","PRESUPUESTO: NO")</f>
        <v>PRESUPUESTO: SI</v>
      </c>
      <c r="L846" s="162">
        <f>SUMIF(PRESUPUESTO[CUENTA],EJECUTADO[[#This Row],[CUENTA]],PRESUPUESTO[MONTO])-SUMIF($F$1:F845,EJECUTADO[[#This Row],[CUENTA]],$M$1:M845)</f>
        <v>846266</v>
      </c>
      <c r="M846" s="119">
        <v>84750</v>
      </c>
      <c r="N846" s="2"/>
      <c r="O846" s="120"/>
      <c r="P846" s="165">
        <f>+EJECUTADO[[#This Row],[MONTO SOLICITADO]]-EJECUTADO[[#This Row],[RETENCION IVA]]-EJECUTADO[[#This Row],[RETENCION ISR]]</f>
        <v>84750</v>
      </c>
      <c r="Q846" s="120" t="s">
        <v>1971</v>
      </c>
      <c r="R846" s="120" t="s">
        <v>2111</v>
      </c>
      <c r="S846" s="112">
        <v>32108</v>
      </c>
      <c r="T846" s="168" t="str">
        <f t="shared" si="28"/>
        <v>INVESTIGACIONES - Asesoria Montealban $ 84, 750.x12 Disponible $846266 Solicitado $84750 PRESUPUESTO: SI</v>
      </c>
    </row>
    <row r="847" spans="1:20" s="117" customFormat="1" ht="150" x14ac:dyDescent="0.25">
      <c r="A847" s="115" t="s">
        <v>2150</v>
      </c>
      <c r="B847" s="118">
        <v>45360</v>
      </c>
      <c r="C847" s="129" t="s">
        <v>2147</v>
      </c>
      <c r="D847" s="116" t="s">
        <v>2151</v>
      </c>
      <c r="E847" s="116" t="s">
        <v>2152</v>
      </c>
      <c r="F847" s="117" t="s">
        <v>1208</v>
      </c>
      <c r="G847" s="161">
        <f>MONTH(EJECUTADO[[#This Row],[FECHA]])</f>
        <v>3</v>
      </c>
      <c r="H847" s="163" t="str">
        <f>MID(EJECUTADO[[#This Row],[CUENTA]],1,4)</f>
        <v>E-15</v>
      </c>
      <c r="I847" s="163" t="str">
        <f>INDEX(CATALOGO[Descripción],MATCH(EJECUTADO[[#This Row],[APLICACIÓN]]&amp;"-00-00-00",CATALOGO[Código],0))</f>
        <v>ALQUILERES</v>
      </c>
      <c r="J8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847" s="161" t="str">
        <f>IF((EJECUTADO[[#This Row],[MONTO DISPONIBLE ]]-EJECUTADO[[#This Row],[MONTO SOLICITADO]])&gt;=0,"PRESUPUESTO: SI","PRESUPUESTO: NO")</f>
        <v>PRESUPUESTO: SI</v>
      </c>
      <c r="L847" s="162">
        <f>SUMIF(PRESUPUESTO[CUENTA],EJECUTADO[[#This Row],[CUENTA]],PRESUPUESTO[MONTO])-SUMIF($F$1:F846,EJECUTADO[[#This Row],[CUENTA]],$M$1:M846)</f>
        <v>243959.62</v>
      </c>
      <c r="M847" s="119">
        <v>30045.19</v>
      </c>
      <c r="N847" s="2"/>
      <c r="O847" s="119"/>
      <c r="P847" s="165">
        <f>+EJECUTADO[[#This Row],[MONTO SOLICITADO]]-EJECUTADO[[#This Row],[RETENCION IVA]]-EJECUTADO[[#This Row],[RETENCION ISR]]</f>
        <v>30045.19</v>
      </c>
      <c r="Q847" s="119" t="s">
        <v>1971</v>
      </c>
      <c r="R847" s="119" t="s">
        <v>2111</v>
      </c>
      <c r="S847" s="112">
        <v>32108</v>
      </c>
      <c r="T847" s="168" t="str">
        <f t="shared" si="28"/>
        <v>ALQUILERES - Alquiler de Casa Adolfo Araujo Montealban $ 30,045.00 x 12   Disponible $243959.62 Solicitado $30045.19 PRESUPUESTO: SI</v>
      </c>
    </row>
    <row r="848" spans="1:20" s="117" customFormat="1" ht="105" x14ac:dyDescent="0.25">
      <c r="A848" s="115" t="s">
        <v>2153</v>
      </c>
      <c r="B848" s="118">
        <v>45360</v>
      </c>
      <c r="C848" s="129" t="s">
        <v>2147</v>
      </c>
      <c r="D848" s="116" t="s">
        <v>2154</v>
      </c>
      <c r="E848" s="116" t="s">
        <v>2155</v>
      </c>
      <c r="F848" s="117" t="s">
        <v>2156</v>
      </c>
      <c r="G848" s="161">
        <f>MONTH(EJECUTADO[[#This Row],[FECHA]])</f>
        <v>3</v>
      </c>
      <c r="H848" s="163" t="str">
        <f>MID(EJECUTADO[[#This Row],[CUENTA]],1,4)</f>
        <v>E-15</v>
      </c>
      <c r="I848" s="163" t="str">
        <f>INDEX(CATALOGO[Descripción],MATCH(EJECUTADO[[#This Row],[APLICACIÓN]]&amp;"-00-00-00",CATALOGO[Código],0))</f>
        <v>ALQUILERES</v>
      </c>
      <c r="J8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Montealban Casa 119 Ex Hotel $ 28,250.00 X 12</v>
      </c>
      <c r="K848" s="161" t="str">
        <f>IF((EJECUTADO[[#This Row],[MONTO DISPONIBLE ]]-EJECUTADO[[#This Row],[MONTO SOLICITADO]])&gt;=0,"PRESUPUESTO: SI","PRESUPUESTO: NO")</f>
        <v>PRESUPUESTO: SI</v>
      </c>
      <c r="L848" s="162">
        <f>SUMIF(PRESUPUESTO[CUENTA],EJECUTADO[[#This Row],[CUENTA]],PRESUPUESTO[MONTO])-SUMIF($F$1:F847,EJECUTADO[[#This Row],[CUENTA]],$M$1:M847)</f>
        <v>339000</v>
      </c>
      <c r="M848" s="119">
        <v>28250</v>
      </c>
      <c r="N848" s="2"/>
      <c r="O848" s="119"/>
      <c r="P848" s="165">
        <f>+EJECUTADO[[#This Row],[MONTO SOLICITADO]]-EJECUTADO[[#This Row],[RETENCION IVA]]-EJECUTADO[[#This Row],[RETENCION ISR]]</f>
        <v>28250</v>
      </c>
      <c r="Q848" s="119" t="s">
        <v>1971</v>
      </c>
      <c r="R848" s="119" t="s">
        <v>2111</v>
      </c>
      <c r="S848" s="112">
        <v>32108</v>
      </c>
      <c r="T848" s="168" t="str">
        <f t="shared" si="28"/>
        <v>ALQUILERES - Montealban Casa 119 Ex Hotel $ 28,250.00 X 12 Disponible $339000 Solicitado $28250 PRESUPUESTO: SI</v>
      </c>
    </row>
    <row r="849" spans="1:20" ht="75" x14ac:dyDescent="0.25">
      <c r="A849" s="6">
        <f>+A846+1</f>
        <v>811</v>
      </c>
      <c r="B849" s="21">
        <v>45360</v>
      </c>
      <c r="C849" s="126" t="s">
        <v>2157</v>
      </c>
      <c r="D849" s="65" t="s">
        <v>2158</v>
      </c>
      <c r="E849" s="65" t="s">
        <v>2159</v>
      </c>
      <c r="F849" t="s">
        <v>1600</v>
      </c>
      <c r="G849" s="161">
        <f>MONTH(EJECUTADO[[#This Row],[FECHA]])</f>
        <v>3</v>
      </c>
      <c r="H849" s="163" t="str">
        <f>MID(EJECUTADO[[#This Row],[CUENTA]],1,4)</f>
        <v>E-09</v>
      </c>
      <c r="I849" s="163" t="str">
        <f>INDEX(CATALOGO[Descripción],MATCH(EJECUTADO[[#This Row],[APLICACIÓN]]&amp;"-00-00-00",CATALOGO[Código],0))</f>
        <v>PRESTACIONES AL PERSONAL</v>
      </c>
      <c r="J8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Café, Agua, azucar y otros</v>
      </c>
      <c r="K849" s="161" t="str">
        <f>IF((EJECUTADO[[#This Row],[MONTO DISPONIBLE ]]-EJECUTADO[[#This Row],[MONTO SOLICITADO]])&gt;=0,"PRESUPUESTO: SI","PRESUPUESTO: NO")</f>
        <v>PRESUPUESTO: SI</v>
      </c>
      <c r="L849" s="162">
        <f>SUMIF(PRESUPUESTO[CUENTA],EJECUTADO[[#This Row],[CUENTA]],PRESUPUESTO[MONTO])-SUMIF($F$1:F848,EJECUTADO[[#This Row],[CUENTA]],$M$1:M848)</f>
        <v>18389.080000000002</v>
      </c>
      <c r="M849" s="2">
        <f>1547.09+27.09</f>
        <v>1574.1799999999998</v>
      </c>
      <c r="N849" s="84"/>
      <c r="O849" s="84"/>
      <c r="P849" s="162">
        <f>+EJECUTADO[[#This Row],[MONTO SOLICITADO]]-EJECUTADO[[#This Row],[RETENCION IVA]]-EJECUTADO[[#This Row],[RETENCION ISR]]</f>
        <v>1574.1799999999998</v>
      </c>
      <c r="Q849" s="84" t="s">
        <v>1971</v>
      </c>
      <c r="R849" s="84" t="s">
        <v>2111</v>
      </c>
      <c r="S849" s="112">
        <v>32112</v>
      </c>
      <c r="T849" s="168" t="str">
        <f t="shared" si="28"/>
        <v>PRESTACIONES AL PERSONAL - Café, Agua, azucar y otros Disponible $18389.08 Solicitado $1574.18 PRESUPUESTO: SI</v>
      </c>
    </row>
    <row r="850" spans="1:20" ht="120" x14ac:dyDescent="0.25">
      <c r="A850" s="6" t="s">
        <v>2160</v>
      </c>
      <c r="B850" s="21">
        <v>45360</v>
      </c>
      <c r="C850" s="126" t="s">
        <v>2157</v>
      </c>
      <c r="D850" s="65" t="s">
        <v>2161</v>
      </c>
      <c r="E850" s="65" t="s">
        <v>2159</v>
      </c>
      <c r="F850" s="174" t="s">
        <v>1034</v>
      </c>
      <c r="G850" s="161">
        <f>MONTH(EJECUTADO[[#This Row],[FECHA]])</f>
        <v>3</v>
      </c>
      <c r="H850" s="163" t="str">
        <f>MID(EJECUTADO[[#This Row],[CUENTA]],1,4)</f>
        <v>E-12</v>
      </c>
      <c r="I850" s="163" t="str">
        <f>INDEX(CATALOGO[Descripción],MATCH(EJECUTADO[[#This Row],[APLICACIÓN]]&amp;"-00-00-00",CATALOGO[Código],0))</f>
        <v>PROYECCION SOCIAL</v>
      </c>
      <c r="J8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Agua cristal </v>
      </c>
      <c r="K850" s="161" t="str">
        <f>IF((EJECUTADO[[#This Row],[MONTO DISPONIBLE ]]-EJECUTADO[[#This Row],[MONTO SOLICITADO]])&gt;=0,"PRESUPUESTO: SI","PRESUPUESTO: NO")</f>
        <v>PRESUPUESTO: SI</v>
      </c>
      <c r="L850" s="162">
        <f>SUMIF(PRESUPUESTO[CUENTA],EJECUTADO[[#This Row],[CUENTA]],PRESUPUESTO[MONTO])-SUMIF($F$1:F849,EJECUTADO[[#This Row],[CUENTA]],$M$1:M849)</f>
        <v>185</v>
      </c>
      <c r="M850" s="2">
        <v>31.87</v>
      </c>
      <c r="N850" s="84"/>
      <c r="O850" s="84"/>
      <c r="P850" s="162">
        <f>+EJECUTADO[[#This Row],[MONTO SOLICITADO]]-EJECUTADO[[#This Row],[RETENCION IVA]]-EJECUTADO[[#This Row],[RETENCION ISR]]</f>
        <v>31.87</v>
      </c>
      <c r="Q850" s="84" t="s">
        <v>1971</v>
      </c>
      <c r="R850" s="84" t="s">
        <v>2111</v>
      </c>
      <c r="S850" s="182">
        <v>32112</v>
      </c>
      <c r="T850" s="168" t="str">
        <f t="shared" ref="T850" si="29">_xlfn.CONCAT(I850," - ",J850," Disponible $",L850," Solicitado $",M850," ",K850,)</f>
        <v>PROYECCION SOCIAL - Agua cristal  Disponible $185 Solicitado $31.87 PRESUPUESTO: SI</v>
      </c>
    </row>
    <row r="851" spans="1:20" ht="120" x14ac:dyDescent="0.25">
      <c r="A851" s="6" t="s">
        <v>2162</v>
      </c>
      <c r="B851" s="21">
        <v>45360</v>
      </c>
      <c r="C851" s="126" t="s">
        <v>2157</v>
      </c>
      <c r="D851" s="65" t="s">
        <v>2163</v>
      </c>
      <c r="E851" s="65" t="s">
        <v>2159</v>
      </c>
      <c r="F851" s="174" t="s">
        <v>1243</v>
      </c>
      <c r="G851" s="161">
        <f>MONTH(EJECUTADO[[#This Row],[FECHA]])</f>
        <v>3</v>
      </c>
      <c r="H851" s="163" t="str">
        <f>MID(EJECUTADO[[#This Row],[CUENTA]],1,4)</f>
        <v>E-24</v>
      </c>
      <c r="I851" s="163" t="str">
        <f>INDEX(CATALOGO[Descripción],MATCH(EJECUTADO[[#This Row],[APLICACIÓN]]&amp;"-00-00-00",CATALOGO[Código],0))</f>
        <v>NUEVO INGRESO</v>
      </c>
      <c r="J8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Plaza Mundo - Insumos de oficina- agua cristal $ 44.00 </v>
      </c>
      <c r="K851" s="161" t="str">
        <f>IF((EJECUTADO[[#This Row],[MONTO DISPONIBLE ]]-EJECUTADO[[#This Row],[MONTO SOLICITADO]])&gt;=0,"PRESUPUESTO: SI","PRESUPUESTO: NO")</f>
        <v>PRESUPUESTO: NO</v>
      </c>
      <c r="L851" s="162">
        <f>SUMIF(PRESUPUESTO[CUENTA],EJECUTADO[[#This Row],[CUENTA]],PRESUPUESTO[MONTO])-SUMIF($F$1:F850,EJECUTADO[[#This Row],[CUENTA]],$M$1:M850)</f>
        <v>-1100</v>
      </c>
      <c r="M851" s="2">
        <v>12.75</v>
      </c>
      <c r="N851" s="84"/>
      <c r="O851" s="84"/>
      <c r="P851" s="162">
        <f>+EJECUTADO[[#This Row],[MONTO SOLICITADO]]-EJECUTADO[[#This Row],[RETENCION IVA]]-EJECUTADO[[#This Row],[RETENCION ISR]]</f>
        <v>12.75</v>
      </c>
      <c r="Q851" s="84" t="s">
        <v>1971</v>
      </c>
      <c r="R851" s="84" t="s">
        <v>2111</v>
      </c>
      <c r="S851" s="112">
        <v>32112</v>
      </c>
      <c r="T851" s="168" t="str">
        <f t="shared" ref="T851:T853" si="30">_xlfn.CONCAT(I851," - ",J851," Disponible $",L851," Solicitado $",M851," ",K851,)</f>
        <v>NUEVO INGRESO - Plaza Mundo - Insumos de oficina- agua cristal $ 44.00  Disponible $-1100 Solicitado $12.75 PRESUPUESTO: NO</v>
      </c>
    </row>
    <row r="852" spans="1:20" ht="90" x14ac:dyDescent="0.25">
      <c r="A852" s="6" t="s">
        <v>2164</v>
      </c>
      <c r="B852" s="21">
        <v>45360</v>
      </c>
      <c r="C852" s="126" t="s">
        <v>2157</v>
      </c>
      <c r="D852" s="65" t="s">
        <v>2165</v>
      </c>
      <c r="E852" s="65" t="s">
        <v>2159</v>
      </c>
      <c r="F852" s="174" t="s">
        <v>1684</v>
      </c>
      <c r="G852" s="161">
        <f>MONTH(EJECUTADO[[#This Row],[FECHA]])</f>
        <v>3</v>
      </c>
      <c r="H852" s="163" t="str">
        <f>MID(EJECUTADO[[#This Row],[CUENTA]],1,4)</f>
        <v>E-13</v>
      </c>
      <c r="I852" s="163" t="str">
        <f>INDEX(CATALOGO[Descripción],MATCH(EJECUTADO[[#This Row],[APLICACIÓN]]&amp;"-00-00-00",CATALOGO[Código],0))</f>
        <v>MAESTRIAS Y POSTGRADOS</v>
      </c>
      <c r="J8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cafeteria y Agua</v>
      </c>
      <c r="K852" s="161" t="str">
        <f>IF((EJECUTADO[[#This Row],[MONTO DISPONIBLE ]]-EJECUTADO[[#This Row],[MONTO SOLICITADO]])&gt;=0,"PRESUPUESTO: SI","PRESUPUESTO: NO")</f>
        <v>PRESUPUESTO: SI</v>
      </c>
      <c r="L852" s="162">
        <f>SUMIF(PRESUPUESTO[CUENTA],EJECUTADO[[#This Row],[CUENTA]],PRESUPUESTO[MONTO])-SUMIF($F$1:F850,EJECUTADO[[#This Row],[CUENTA]],$M$1:M850)</f>
        <v>1090</v>
      </c>
      <c r="M852" s="2">
        <v>38.24</v>
      </c>
      <c r="N852" s="84"/>
      <c r="O852" s="84"/>
      <c r="P852" s="162">
        <f>+EJECUTADO[[#This Row],[MONTO SOLICITADO]]-EJECUTADO[[#This Row],[RETENCION IVA]]-EJECUTADO[[#This Row],[RETENCION ISR]]</f>
        <v>38.24</v>
      </c>
      <c r="Q852" s="84" t="s">
        <v>1971</v>
      </c>
      <c r="R852" s="84" t="s">
        <v>2111</v>
      </c>
      <c r="S852" s="112">
        <v>32112</v>
      </c>
      <c r="T852" s="168" t="str">
        <f t="shared" ref="T852" si="31">_xlfn.CONCAT(I852," - ",J852," Disponible $",L852," Solicitado $",M852," ",K852,)</f>
        <v>MAESTRIAS Y POSTGRADOS - Insumos de cafeteria y Agua Disponible $1090 Solicitado $38.24 PRESUPUESTO: SI</v>
      </c>
    </row>
    <row r="853" spans="1:20" ht="90" x14ac:dyDescent="0.25">
      <c r="A853" s="6" t="s">
        <v>2166</v>
      </c>
      <c r="B853" s="21">
        <v>45360</v>
      </c>
      <c r="C853" s="126" t="s">
        <v>2157</v>
      </c>
      <c r="D853" s="65" t="s">
        <v>2167</v>
      </c>
      <c r="E853" s="65" t="s">
        <v>2159</v>
      </c>
      <c r="F853" s="174" t="s">
        <v>1035</v>
      </c>
      <c r="G853" s="161">
        <f>MONTH(EJECUTADO[[#This Row],[FECHA]])</f>
        <v>3</v>
      </c>
      <c r="H853" s="163" t="str">
        <f>MID(EJECUTADO[[#This Row],[CUENTA]],1,4)</f>
        <v>E-25</v>
      </c>
      <c r="I853" s="163" t="str">
        <f>INDEX(CATALOGO[Descripción],MATCH(EJECUTADO[[#This Row],[APLICACIÓN]]&amp;"-00-00-00",CATALOGO[Código],0))</f>
        <v>DECANATO DE ESTUDIANTES</v>
      </c>
      <c r="J8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Servicio de agua cristal</v>
      </c>
      <c r="K853" s="161" t="str">
        <f>IF((EJECUTADO[[#This Row],[MONTO DISPONIBLE ]]-EJECUTADO[[#This Row],[MONTO SOLICITADO]])&gt;=0,"PRESUPUESTO: SI","PRESUPUESTO: NO")</f>
        <v>PRESUPUESTO: SI</v>
      </c>
      <c r="L853" s="162">
        <f>SUMIF(PRESUPUESTO[CUENTA],EJECUTADO[[#This Row],[CUENTA]],PRESUPUESTO[MONTO])-SUMIF($F$1:F851,EJECUTADO[[#This Row],[CUENTA]],$M$1:M851)</f>
        <v>1000</v>
      </c>
      <c r="M853" s="2">
        <v>23.9</v>
      </c>
      <c r="N853" s="84"/>
      <c r="O853" s="84"/>
      <c r="P853" s="162">
        <f>+EJECUTADO[[#This Row],[MONTO SOLICITADO]]-EJECUTADO[[#This Row],[RETENCION IVA]]-EJECUTADO[[#This Row],[RETENCION ISR]]</f>
        <v>23.9</v>
      </c>
      <c r="Q853" s="84" t="s">
        <v>1971</v>
      </c>
      <c r="R853" s="84" t="s">
        <v>2111</v>
      </c>
      <c r="S853" s="112">
        <v>32112</v>
      </c>
      <c r="T853" s="168" t="str">
        <f t="shared" si="30"/>
        <v>DECANATO DE ESTUDIANTES - U. recreación y deportes - Servicio de agua cristal Disponible $1000 Solicitado $23.9 PRESUPUESTO: SI</v>
      </c>
    </row>
    <row r="854" spans="1:20" s="117" customFormat="1" ht="90" x14ac:dyDescent="0.25">
      <c r="A854" s="115">
        <f>+A849+1</f>
        <v>812</v>
      </c>
      <c r="B854" s="118">
        <v>45360</v>
      </c>
      <c r="C854" s="129" t="s">
        <v>1998</v>
      </c>
      <c r="D854" s="116" t="s">
        <v>2168</v>
      </c>
      <c r="E854" s="116" t="s">
        <v>2169</v>
      </c>
      <c r="F854" s="117" t="s">
        <v>1363</v>
      </c>
      <c r="G854" s="178">
        <f>MONTH(EJECUTADO[[#This Row],[FECHA]])</f>
        <v>3</v>
      </c>
      <c r="H854" s="179" t="str">
        <f>MID(EJECUTADO[[#This Row],[CUENTA]],1,4)</f>
        <v>E-15</v>
      </c>
      <c r="I854" s="179" t="str">
        <f>INDEX(CATALOGO[Descripción],MATCH(EJECUTADO[[#This Row],[APLICACIÓN]]&amp;"-00-00-00",CATALOGO[Código],0))</f>
        <v>ALQUILERES</v>
      </c>
      <c r="J854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Tecnoimpresos  Casa 116   $ 2,260.00 x 12</v>
      </c>
      <c r="K854" s="161" t="str">
        <f>IF((EJECUTADO[[#This Row],[MONTO DISPONIBLE ]]-EJECUTADO[[#This Row],[MONTO SOLICITADO]])&gt;=0,"PRESUPUESTO: SI","PRESUPUESTO: NO")</f>
        <v>PRESUPUESTO: SI</v>
      </c>
      <c r="L854" s="165">
        <f>SUMIF(PRESUPUESTO[CUENTA],EJECUTADO[[#This Row],[CUENTA]],PRESUPUESTO[MONTO])-SUMIF($F$1:F849,EJECUTADO[[#This Row],[CUENTA]],$M$1:M849)</f>
        <v>24860</v>
      </c>
      <c r="M854" s="119">
        <v>2260</v>
      </c>
      <c r="N854" s="120"/>
      <c r="O854" s="120"/>
      <c r="P854" s="165">
        <f>+EJECUTADO[[#This Row],[MONTO SOLICITADO]]-EJECUTADO[[#This Row],[RETENCION IVA]]-EJECUTADO[[#This Row],[RETENCION ISR]]</f>
        <v>2260</v>
      </c>
      <c r="Q854" s="120" t="s">
        <v>1971</v>
      </c>
      <c r="R854" s="120" t="s">
        <v>2111</v>
      </c>
      <c r="T854" s="180" t="str">
        <f t="shared" si="28"/>
        <v>ALQUILERES - Tecnoimpresos  Casa 116   $ 2,260.00 x 12 Disponible $24860 Solicitado $2260 PRESUPUESTO: SI</v>
      </c>
    </row>
    <row r="855" spans="1:20" s="117" customFormat="1" ht="105" x14ac:dyDescent="0.25">
      <c r="A855" s="115" t="s">
        <v>2170</v>
      </c>
      <c r="B855" s="118">
        <v>45360</v>
      </c>
      <c r="C855" s="129" t="s">
        <v>1998</v>
      </c>
      <c r="D855" s="116" t="s">
        <v>2171</v>
      </c>
      <c r="E855" s="116" t="s">
        <v>2172</v>
      </c>
      <c r="F855" s="117" t="s">
        <v>1690</v>
      </c>
      <c r="G855" s="178">
        <f>MONTH(EJECUTADO[[#This Row],[FECHA]])</f>
        <v>3</v>
      </c>
      <c r="H855" s="179" t="str">
        <f>MID(EJECUTADO[[#This Row],[CUENTA]],1,4)</f>
        <v>E-14</v>
      </c>
      <c r="I855" s="179" t="str">
        <f>INDEX(CATALOGO[Descripción],MATCH(EJECUTADO[[#This Row],[APLICACIÓN]]&amp;"-00-00-00",CATALOGO[Código],0))</f>
        <v>MATERIAL DIDÁCTICO</v>
      </c>
      <c r="J855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855" s="161" t="str">
        <f>IF((EJECUTADO[[#This Row],[MONTO DISPONIBLE ]]-EJECUTADO[[#This Row],[MONTO SOLICITADO]])&gt;=0,"PRESUPUESTO: SI","PRESUPUESTO: NO")</f>
        <v>PRESUPUESTO: NO</v>
      </c>
      <c r="L855" s="165">
        <f>SUMIF(PRESUPUESTO[CUENTA],EJECUTADO[[#This Row],[CUENTA]],PRESUPUESTO[MONTO])-SUMIF($F$1:F850,EJECUTADO[[#This Row],[CUENTA]],$M$1:M850)</f>
        <v>-1443.75</v>
      </c>
      <c r="M855" s="119">
        <v>206.25</v>
      </c>
      <c r="N855" s="120"/>
      <c r="O855" s="120"/>
      <c r="P855" s="165">
        <f>+EJECUTADO[[#This Row],[MONTO SOLICITADO]]-EJECUTADO[[#This Row],[RETENCION IVA]]-EJECUTADO[[#This Row],[RETENCION ISR]]</f>
        <v>206.25</v>
      </c>
      <c r="Q855" s="120" t="s">
        <v>1971</v>
      </c>
      <c r="R855" s="120" t="s">
        <v>2111</v>
      </c>
      <c r="T855" s="180" t="str">
        <f t="shared" ref="T855:T859" si="32">_xlfn.CONCAT(I855," - ",J855," Disponible $",L855," Solicitado $",M855," ",K855,)</f>
        <v>MATERIAL DIDÁCTICO - PAQUETES DIDACTICOS - FACULTAD DE CIENCIAS SOCIALES Disponible $-1443.75 Solicitado $206.25 PRESUPUESTO: NO</v>
      </c>
    </row>
    <row r="856" spans="1:20" s="117" customFormat="1" ht="135" x14ac:dyDescent="0.25">
      <c r="A856" s="115" t="s">
        <v>2173</v>
      </c>
      <c r="B856" s="118">
        <v>45360</v>
      </c>
      <c r="C856" s="129" t="s">
        <v>1998</v>
      </c>
      <c r="D856" s="116" t="s">
        <v>2174</v>
      </c>
      <c r="E856" s="116" t="s">
        <v>2175</v>
      </c>
      <c r="F856" s="117" t="s">
        <v>1232</v>
      </c>
      <c r="G856" s="178">
        <f>MONTH(EJECUTADO[[#This Row],[FECHA]])</f>
        <v>3</v>
      </c>
      <c r="H856" s="179" t="str">
        <f>MID(EJECUTADO[[#This Row],[CUENTA]],1,4)</f>
        <v>E-11</v>
      </c>
      <c r="I856" s="179" t="str">
        <f>INDEX(CATALOGO[Descripción],MATCH(EJECUTADO[[#This Row],[APLICACIÓN]]&amp;"-00-00-00",CATALOGO[Código],0))</f>
        <v>INVESTIGACIONES</v>
      </c>
      <c r="J856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856" s="161" t="str">
        <f>IF((EJECUTADO[[#This Row],[MONTO DISPONIBLE ]]-EJECUTADO[[#This Row],[MONTO SOLICITADO]])&gt;=0,"PRESUPUESTO: SI","PRESUPUESTO: NO")</f>
        <v>PRESUPUESTO: SI</v>
      </c>
      <c r="L856" s="165">
        <f>SUMIF(PRESUPUESTO[CUENTA],EJECUTADO[[#This Row],[CUENTA]],PRESUPUESTO[MONTO])-SUMIF($F$1:F850,EJECUTADO[[#This Row],[CUENTA]],$M$1:M850)</f>
        <v>3844</v>
      </c>
      <c r="M856" s="119">
        <v>245</v>
      </c>
      <c r="N856" s="120"/>
      <c r="O856" s="120"/>
      <c r="P856" s="165">
        <f>+EJECUTADO[[#This Row],[MONTO SOLICITADO]]-EJECUTADO[[#This Row],[RETENCION IVA]]-EJECUTADO[[#This Row],[RETENCION ISR]]</f>
        <v>245</v>
      </c>
      <c r="Q856" s="120" t="s">
        <v>1971</v>
      </c>
      <c r="R856" s="120" t="s">
        <v>2111</v>
      </c>
      <c r="T856" s="180" t="str">
        <f t="shared" si="32"/>
        <v>INVESTIGACIONES - INSUMOS DE OFICINA Disponible $3844 Solicitado $245 PRESUPUESTO: SI</v>
      </c>
    </row>
    <row r="857" spans="1:20" s="117" customFormat="1" ht="105" x14ac:dyDescent="0.25">
      <c r="A857" s="115" t="s">
        <v>2176</v>
      </c>
      <c r="B857" s="118">
        <v>45360</v>
      </c>
      <c r="C857" s="129" t="s">
        <v>1998</v>
      </c>
      <c r="D857" s="116" t="s">
        <v>2177</v>
      </c>
      <c r="E857" s="116" t="s">
        <v>2178</v>
      </c>
      <c r="F857" s="117" t="s">
        <v>1275</v>
      </c>
      <c r="G857" s="178">
        <f>MONTH(EJECUTADO[[#This Row],[FECHA]])</f>
        <v>3</v>
      </c>
      <c r="H857" s="179" t="str">
        <f>MID(EJECUTADO[[#This Row],[CUENTA]],1,4)</f>
        <v>E-27</v>
      </c>
      <c r="I857" s="179" t="str">
        <f>INDEX(CATALOGO[Descripción],MATCH(EJECUTADO[[#This Row],[APLICACIÓN]]&amp;"-00-00-00",CATALOGO[Código],0))</f>
        <v>INSUMOS DE OFICINA</v>
      </c>
      <c r="J857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857" s="161" t="str">
        <f>IF((EJECUTADO[[#This Row],[MONTO DISPONIBLE ]]-EJECUTADO[[#This Row],[MONTO SOLICITADO]])&gt;=0,"PRESUPUESTO: SI","PRESUPUESTO: NO")</f>
        <v>PRESUPUESTO: SI</v>
      </c>
      <c r="L857" s="165">
        <f>SUMIF(PRESUPUESTO[CUENTA],EJECUTADO[[#This Row],[CUENTA]],PRESUPUESTO[MONTO])-SUMIF($F$1:F850,EJECUTADO[[#This Row],[CUENTA]],$M$1:M850)</f>
        <v>44516.26</v>
      </c>
      <c r="M857" s="119">
        <v>26.3</v>
      </c>
      <c r="N857" s="120"/>
      <c r="O857" s="120"/>
      <c r="P857" s="165">
        <f>+EJECUTADO[[#This Row],[MONTO SOLICITADO]]-EJECUTADO[[#This Row],[RETENCION IVA]]-EJECUTADO[[#This Row],[RETENCION ISR]]</f>
        <v>26.3</v>
      </c>
      <c r="Q857" s="120" t="s">
        <v>1971</v>
      </c>
      <c r="R857" s="120" t="s">
        <v>2111</v>
      </c>
      <c r="T857" s="180" t="str">
        <f t="shared" ref="T857" si="33">_xlfn.CONCAT(I857," - ",J857," Disponible $",L857," Solicitado $",M857," ",K857,)</f>
        <v>INSUMOS DE OFICINA - PAPELERIA Y UTILES Disponible $44516.26 Solicitado $26.3 PRESUPUESTO: SI</v>
      </c>
    </row>
    <row r="858" spans="1:20" s="117" customFormat="1" ht="50.25" customHeight="1" x14ac:dyDescent="0.25">
      <c r="A858" s="115" t="s">
        <v>2179</v>
      </c>
      <c r="B858" s="118">
        <v>45360</v>
      </c>
      <c r="C858" s="129" t="s">
        <v>1998</v>
      </c>
      <c r="D858" s="116" t="s">
        <v>2180</v>
      </c>
      <c r="E858" s="116" t="s">
        <v>2181</v>
      </c>
      <c r="F858" s="117" t="s">
        <v>1991</v>
      </c>
      <c r="G858" s="178">
        <f>MONTH(EJECUTADO[[#This Row],[FECHA]])</f>
        <v>3</v>
      </c>
      <c r="H858" s="179" t="str">
        <f>MID(EJECUTADO[[#This Row],[CUENTA]],1,4)</f>
        <v>E-12</v>
      </c>
      <c r="I858" s="179" t="str">
        <f>INDEX(CATALOGO[Descripción],MATCH(EJECUTADO[[#This Row],[APLICACIÓN]]&amp;"-00-00-00",CATALOGO[Código],0))</f>
        <v>PROYECCION SOCIAL</v>
      </c>
      <c r="J858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y actividades de Facultad Ciencias Sociales</v>
      </c>
      <c r="K858" s="161" t="str">
        <f>IF((EJECUTADO[[#This Row],[MONTO DISPONIBLE ]]-EJECUTADO[[#This Row],[MONTO SOLICITADO]])&gt;=0,"PRESUPUESTO: SI","PRESUPUESTO: NO")</f>
        <v>PRESUPUESTO: SI</v>
      </c>
      <c r="L858" s="165">
        <f>SUMIF(PRESUPUESTO[CUENTA],EJECUTADO[[#This Row],[CUENTA]],PRESUPUESTO[MONTO])-SUMIF($F$1:F851,EJECUTADO[[#This Row],[CUENTA]],$M$1:M851)</f>
        <v>1209</v>
      </c>
      <c r="M858" s="119">
        <v>206.25</v>
      </c>
      <c r="N858" s="120"/>
      <c r="O858" s="120"/>
      <c r="P858" s="165">
        <f>+EJECUTADO[[#This Row],[MONTO SOLICITADO]]-EJECUTADO[[#This Row],[RETENCION IVA]]-EJECUTADO[[#This Row],[RETENCION ISR]]</f>
        <v>206.25</v>
      </c>
      <c r="Q858" s="120" t="s">
        <v>1971</v>
      </c>
      <c r="R858" s="120" t="s">
        <v>2111</v>
      </c>
      <c r="T858" s="180" t="str">
        <f t="shared" si="32"/>
        <v>PROYECCION SOCIAL - Proyectos y actividades de Facultad Ciencias Sociales Disponible $1209 Solicitado $206.25 PRESUPUESTO: SI</v>
      </c>
    </row>
    <row r="859" spans="1:20" s="117" customFormat="1" ht="43.5" customHeight="1" x14ac:dyDescent="0.25">
      <c r="A859" s="115" t="s">
        <v>2182</v>
      </c>
      <c r="B859" s="118">
        <v>45360</v>
      </c>
      <c r="C859" s="129" t="s">
        <v>1998</v>
      </c>
      <c r="D859" s="116" t="s">
        <v>2183</v>
      </c>
      <c r="E859" s="116" t="s">
        <v>2184</v>
      </c>
      <c r="F859" s="117" t="s">
        <v>2185</v>
      </c>
      <c r="G859" s="178">
        <f>MONTH(EJECUTADO[[#This Row],[FECHA]])</f>
        <v>3</v>
      </c>
      <c r="H859" s="179" t="str">
        <f>MID(EJECUTADO[[#This Row],[CUENTA]],1,4)</f>
        <v>A-34</v>
      </c>
      <c r="I859" s="179" t="str">
        <f>INDEX(CATALOGO[Descripción],MATCH(EJECUTADO[[#This Row],[APLICACIÓN]]&amp;"-00-00-00",CATALOGO[Código],0))</f>
        <v>FONDOS AJENOS</v>
      </c>
      <c r="J859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859" s="161" t="str">
        <f>IF((EJECUTADO[[#This Row],[MONTO DISPONIBLE ]]-EJECUTADO[[#This Row],[MONTO SOLICITADO]])&gt;=0,"PRESUPUESTO: SI","PRESUPUESTO: NO")</f>
        <v>PRESUPUESTO: SI</v>
      </c>
      <c r="L859" s="165">
        <f>SUMIF(PRESUPUESTO[CUENTA],EJECUTADO[[#This Row],[CUENTA]],PRESUPUESTO[MONTO])-SUMIF($F$1:F852,EJECUTADO[[#This Row],[CUENTA]],$M$1:M852)</f>
        <v>15790</v>
      </c>
      <c r="M859" s="119">
        <v>1430</v>
      </c>
      <c r="N859" s="120"/>
      <c r="O859" s="120"/>
      <c r="P859" s="165">
        <f>+EJECUTADO[[#This Row],[MONTO SOLICITADO]]-EJECUTADO[[#This Row],[RETENCION IVA]]-EJECUTADO[[#This Row],[RETENCION ISR]]</f>
        <v>1430</v>
      </c>
      <c r="Q859" s="120" t="s">
        <v>1971</v>
      </c>
      <c r="R859" s="120" t="s">
        <v>2111</v>
      </c>
      <c r="T859" s="180" t="str">
        <f t="shared" si="32"/>
        <v>FONDOS AJENOS - INGLES PARA UN FUTURO MEJOR Disponible $15790 Solicitado $1430 PRESUPUESTO: SI</v>
      </c>
    </row>
    <row r="860" spans="1:20" ht="45" x14ac:dyDescent="0.25">
      <c r="A860" s="6">
        <f>+A854+1</f>
        <v>813</v>
      </c>
      <c r="B860" s="21">
        <v>45360</v>
      </c>
      <c r="C860" s="126" t="s">
        <v>2186</v>
      </c>
      <c r="D860" s="65" t="s">
        <v>2187</v>
      </c>
      <c r="E860" s="65" t="s">
        <v>2188</v>
      </c>
      <c r="F860" t="s">
        <v>1295</v>
      </c>
      <c r="G860" s="161">
        <f>MONTH(EJECUTADO[[#This Row],[FECHA]])</f>
        <v>3</v>
      </c>
      <c r="H860" s="163" t="str">
        <f>MID(EJECUTADO[[#This Row],[CUENTA]],1,4)</f>
        <v>E-24</v>
      </c>
      <c r="I860" s="163" t="str">
        <f>INDEX(CATALOGO[Descripción],MATCH(EJECUTADO[[#This Row],[APLICACIÓN]]&amp;"-00-00-00",CATALOGO[Código],0))</f>
        <v>NUEVO INGRESO</v>
      </c>
      <c r="J8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860" s="161" t="str">
        <f>IF((EJECUTADO[[#This Row],[MONTO DISPONIBLE ]]-EJECUTADO[[#This Row],[MONTO SOLICITADO]])&gt;=0,"PRESUPUESTO: SI","PRESUPUESTO: NO")</f>
        <v>PRESUPUESTO: SI</v>
      </c>
      <c r="L860" s="162">
        <f>SUMIF(PRESUPUESTO[CUENTA],EJECUTADO[[#This Row],[CUENTA]],PRESUPUESTO[MONTO])-SUMIF($F$1:F854,EJECUTADO[[#This Row],[CUENTA]],$M$1:M854)</f>
        <v>368.57</v>
      </c>
      <c r="M860" s="2">
        <v>55.37</v>
      </c>
      <c r="N860" s="84"/>
      <c r="O860" s="84"/>
      <c r="P860" s="162">
        <f>+EJECUTADO[[#This Row],[MONTO SOLICITADO]]-EJECUTADO[[#This Row],[RETENCION IVA]]-EJECUTADO[[#This Row],[RETENCION ISR]]</f>
        <v>55.37</v>
      </c>
      <c r="Q860" s="84" t="s">
        <v>1971</v>
      </c>
      <c r="R860" s="84" t="s">
        <v>2111</v>
      </c>
      <c r="S860" s="112">
        <v>810768</v>
      </c>
      <c r="T860" s="168" t="str">
        <f t="shared" si="28"/>
        <v>NUEVO INGRESO - Plaza Mundo - Aromatización $ 55.00 * 12 Disponible $368.57 Solicitado $55.37 PRESUPUESTO: SI</v>
      </c>
    </row>
    <row r="861" spans="1:20" ht="105" x14ac:dyDescent="0.25">
      <c r="A861" s="6">
        <f t="shared" si="27"/>
        <v>814</v>
      </c>
      <c r="B861" s="21">
        <v>45360</v>
      </c>
      <c r="C861" s="126" t="s">
        <v>2189</v>
      </c>
      <c r="D861" s="65" t="s">
        <v>2190</v>
      </c>
      <c r="E861" s="65" t="s">
        <v>2191</v>
      </c>
      <c r="F861" t="s">
        <v>2192</v>
      </c>
      <c r="G861" s="161">
        <f>MONTH(EJECUTADO[[#This Row],[FECHA]])</f>
        <v>3</v>
      </c>
      <c r="H861" s="163" t="str">
        <f>MID(EJECUTADO[[#This Row],[CUENTA]],1,4)</f>
        <v>E-30</v>
      </c>
      <c r="I861" s="163" t="str">
        <f>INDEX(CATALOGO[Descripción],MATCH(EJECUTADO[[#This Row],[APLICACIÓN]]&amp;"-00-00-00",CATALOGO[Código],0))</f>
        <v>MEMBRESIAS Y SUSCRIPCIONES</v>
      </c>
      <c r="J8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Periodicos Nacionales</v>
      </c>
      <c r="K861" s="161" t="str">
        <f>IF((EJECUTADO[[#This Row],[MONTO DISPONIBLE ]]-EJECUTADO[[#This Row],[MONTO SOLICITADO]])&gt;=0,"PRESUPUESTO: SI","PRESUPUESTO: NO")</f>
        <v>PRESUPUESTO: SI</v>
      </c>
      <c r="L861" s="162">
        <f>SUMIF(PRESUPUESTO[CUENTA],EJECUTADO[[#This Row],[CUENTA]],PRESUPUESTO[MONTO])-SUMIF($F$1:F860,EJECUTADO[[#This Row],[CUENTA]],$M$1:M860)</f>
        <v>800</v>
      </c>
      <c r="M861" s="2">
        <v>120</v>
      </c>
      <c r="N861" s="84"/>
      <c r="O861" s="84"/>
      <c r="P861" s="162">
        <f>+EJECUTADO[[#This Row],[MONTO SOLICITADO]]-EJECUTADO[[#This Row],[RETENCION IVA]]-EJECUTADO[[#This Row],[RETENCION ISR]]</f>
        <v>120</v>
      </c>
      <c r="Q861" s="84" t="s">
        <v>1971</v>
      </c>
      <c r="R861" s="84" t="s">
        <v>2111</v>
      </c>
      <c r="T861" s="168" t="str">
        <f t="shared" si="28"/>
        <v>MEMBRESIAS Y SUSCRIPCIONES - Periodicos Nacionales Disponible $800 Solicitado $120 PRESUPUESTO: SI</v>
      </c>
    </row>
    <row r="862" spans="1:20" ht="105" x14ac:dyDescent="0.25">
      <c r="A862" s="6">
        <f t="shared" si="27"/>
        <v>815</v>
      </c>
      <c r="B862" s="21">
        <v>45360</v>
      </c>
      <c r="C862" s="126" t="s">
        <v>2193</v>
      </c>
      <c r="D862" s="65" t="s">
        <v>2194</v>
      </c>
      <c r="E862" s="65" t="s">
        <v>2195</v>
      </c>
      <c r="F862" t="s">
        <v>1126</v>
      </c>
      <c r="G862" s="161">
        <f>MONTH(EJECUTADO[[#This Row],[FECHA]])</f>
        <v>3</v>
      </c>
      <c r="H862" s="163" t="str">
        <f>MID(EJECUTADO[[#This Row],[CUENTA]],1,4)</f>
        <v>E-15</v>
      </c>
      <c r="I862" s="163" t="str">
        <f>INDEX(CATALOGO[Descripción],MATCH(EJECUTADO[[#This Row],[APLICACIÓN]]&amp;"-00-00-00",CATALOGO[Código],0))</f>
        <v>ALQUILERES</v>
      </c>
      <c r="J8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862" s="161" t="str">
        <f>IF((EJECUTADO[[#This Row],[MONTO DISPONIBLE ]]-EJECUTADO[[#This Row],[MONTO SOLICITADO]])&gt;=0,"PRESUPUESTO: SI","PRESUPUESTO: NO")</f>
        <v>PRESUPUESTO: SI</v>
      </c>
      <c r="L862" s="162">
        <f>SUMIF(PRESUPUESTO[CUENTA],EJECUTADO[[#This Row],[CUENTA]],PRESUPUESTO[MONTO])-SUMIF($F$1:F861,EJECUTADO[[#This Row],[CUENTA]],$M$1:M861)</f>
        <v>45800</v>
      </c>
      <c r="M862" s="2">
        <v>1100</v>
      </c>
      <c r="N862" s="84">
        <f>973.45*0.01</f>
        <v>9.7345000000000006</v>
      </c>
      <c r="O862" s="84">
        <f>973.45*10%</f>
        <v>97.345000000000013</v>
      </c>
      <c r="P862" s="162">
        <f>+EJECUTADO[[#This Row],[MONTO SOLICITADO]]-EJECUTADO[[#This Row],[RETENCION IVA]]-EJECUTADO[[#This Row],[RETENCION ISR]]</f>
        <v>992.92049999999995</v>
      </c>
      <c r="Q862" s="84" t="s">
        <v>1971</v>
      </c>
      <c r="R862" s="84" t="s">
        <v>2111</v>
      </c>
      <c r="T862" s="168" t="str">
        <f t="shared" si="28"/>
        <v>ALQUILERES - Alquiler de edificio Thomas Jefferson Disponible $45800 Solicitado $1100 PRESUPUESTO: SI</v>
      </c>
    </row>
    <row r="863" spans="1:20" ht="105" x14ac:dyDescent="0.25">
      <c r="A863" s="6">
        <f t="shared" si="27"/>
        <v>816</v>
      </c>
      <c r="B863" s="21">
        <v>45360</v>
      </c>
      <c r="C863" s="126" t="s">
        <v>2196</v>
      </c>
      <c r="D863" s="65" t="s">
        <v>2197</v>
      </c>
      <c r="E863" s="65" t="s">
        <v>2198</v>
      </c>
      <c r="F863" t="s">
        <v>1198</v>
      </c>
      <c r="G863" s="161">
        <f>MONTH(EJECUTADO[[#This Row],[FECHA]])</f>
        <v>3</v>
      </c>
      <c r="H863" s="163" t="str">
        <f>MID(EJECUTADO[[#This Row],[CUENTA]],1,4)</f>
        <v>E-01</v>
      </c>
      <c r="I863" s="163" t="str">
        <f>INDEX(CATALOGO[Descripción],MATCH(EJECUTADO[[#This Row],[APLICACIÓN]]&amp;"-00-00-00",CATALOGO[Código],0))</f>
        <v>SERVICIOS PROFESIONALES</v>
      </c>
      <c r="J8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LIMPIEZA</v>
      </c>
      <c r="K863" s="161" t="str">
        <f>IF((EJECUTADO[[#This Row],[MONTO DISPONIBLE ]]-EJECUTADO[[#This Row],[MONTO SOLICITADO]])&gt;=0,"PRESUPUESTO: SI","PRESUPUESTO: NO")</f>
        <v>PRESUPUESTO: SI</v>
      </c>
      <c r="L863" s="162">
        <f>SUMIF(PRESUPUESTO[CUENTA],EJECUTADO[[#This Row],[CUENTA]],PRESUPUESTO[MONTO])-SUMIF($F$1:F862,EJECUTADO[[#This Row],[CUENTA]],$M$1:M862)</f>
        <v>1092500</v>
      </c>
      <c r="M863" s="2">
        <v>119250</v>
      </c>
      <c r="N863" s="84">
        <v>1055.31</v>
      </c>
      <c r="O863" s="84"/>
      <c r="P863" s="162">
        <f>+EJECUTADO[[#This Row],[MONTO SOLICITADO]]-EJECUTADO[[#This Row],[RETENCION IVA]]-EJECUTADO[[#This Row],[RETENCION ISR]]</f>
        <v>118194.69</v>
      </c>
      <c r="Q863" s="84" t="s">
        <v>1971</v>
      </c>
      <c r="R863" s="84" t="s">
        <v>2111</v>
      </c>
      <c r="S863">
        <v>32106</v>
      </c>
      <c r="T863" s="168" t="str">
        <f t="shared" si="28"/>
        <v>SERVICIOS PROFESIONALES - SERVICIOS DE LIMPIEZA Disponible $1092500 Solicitado $119250 PRESUPUESTO: SI</v>
      </c>
    </row>
    <row r="864" spans="1:20" ht="120" x14ac:dyDescent="0.25">
      <c r="A864" s="6" t="s">
        <v>2199</v>
      </c>
      <c r="B864" s="21">
        <v>45360</v>
      </c>
      <c r="C864" s="126" t="s">
        <v>2196</v>
      </c>
      <c r="D864" s="65" t="s">
        <v>2200</v>
      </c>
      <c r="E864" s="65" t="s">
        <v>2198</v>
      </c>
      <c r="F864" t="s">
        <v>1198</v>
      </c>
      <c r="G864" s="161">
        <f>MONTH(EJECUTADO[[#This Row],[FECHA]])</f>
        <v>3</v>
      </c>
      <c r="H864" s="163" t="str">
        <f>MID(EJECUTADO[[#This Row],[CUENTA]],1,4)</f>
        <v>E-01</v>
      </c>
      <c r="I864" s="163" t="str">
        <f>INDEX(CATALOGO[Descripción],MATCH(EJECUTADO[[#This Row],[APLICACIÓN]]&amp;"-00-00-00",CATALOGO[Código],0))</f>
        <v>SERVICIOS PROFESIONALES</v>
      </c>
      <c r="J8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LIMPIEZA</v>
      </c>
      <c r="K864" s="161" t="str">
        <f>IF((EJECUTADO[[#This Row],[MONTO DISPONIBLE ]]-EJECUTADO[[#This Row],[MONTO SOLICITADO]])&gt;=0,"PRESUPUESTO: SI","PRESUPUESTO: NO")</f>
        <v>PRESUPUESTO: SI</v>
      </c>
      <c r="L864" s="162">
        <f>SUMIF(PRESUPUESTO[CUENTA],EJECUTADO[[#This Row],[CUENTA]],PRESUPUESTO[MONTO])-SUMIF($F$1:F863,EJECUTADO[[#This Row],[CUENTA]],$M$1:M863)</f>
        <v>973250</v>
      </c>
      <c r="M864" s="2">
        <v>3350</v>
      </c>
      <c r="N864" s="2">
        <v>29.65</v>
      </c>
      <c r="O864" s="2"/>
      <c r="P864" s="162">
        <f>+EJECUTADO[[#This Row],[MONTO SOLICITADO]]-EJECUTADO[[#This Row],[RETENCION IVA]]-EJECUTADO[[#This Row],[RETENCION ISR]]</f>
        <v>3320.35</v>
      </c>
      <c r="Q864" s="2" t="s">
        <v>1971</v>
      </c>
      <c r="R864" s="2" t="s">
        <v>2111</v>
      </c>
      <c r="S864">
        <v>32106</v>
      </c>
      <c r="T864" s="168" t="str">
        <f t="shared" si="28"/>
        <v>SERVICIOS PROFESIONALES - SERVICIOS DE LIMPIEZA Disponible $973250 Solicitado $3350 PRESUPUESTO: SI</v>
      </c>
    </row>
    <row r="865" spans="1:20" s="117" customFormat="1" ht="90" x14ac:dyDescent="0.25">
      <c r="A865" s="115">
        <f>+A863+1</f>
        <v>817</v>
      </c>
      <c r="B865" s="118">
        <v>45360</v>
      </c>
      <c r="C865" s="129" t="s">
        <v>2201</v>
      </c>
      <c r="D865" s="116" t="s">
        <v>2202</v>
      </c>
      <c r="E865" s="116" t="s">
        <v>2203</v>
      </c>
      <c r="F865" s="117" t="s">
        <v>1137</v>
      </c>
      <c r="G865" s="161">
        <f>MONTH(EJECUTADO[[#This Row],[FECHA]])</f>
        <v>3</v>
      </c>
      <c r="H865" s="163" t="str">
        <f>MID(EJECUTADO[[#This Row],[CUENTA]],1,4)</f>
        <v>E-01</v>
      </c>
      <c r="I865" s="163" t="str">
        <f>INDEX(CATALOGO[Descripción],MATCH(EJECUTADO[[#This Row],[APLICACIÓN]]&amp;"-00-00-00",CATALOGO[Código],0))</f>
        <v>SERVICIOS PROFESIONALES</v>
      </c>
      <c r="J8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MANTENIMIENTO</v>
      </c>
      <c r="K865" s="161" t="str">
        <f>IF((EJECUTADO[[#This Row],[MONTO DISPONIBLE ]]-EJECUTADO[[#This Row],[MONTO SOLICITADO]])&gt;=0,"PRESUPUESTO: SI","PRESUPUESTO: NO")</f>
        <v>PRESUPUESTO: SI</v>
      </c>
      <c r="L865" s="162">
        <f>SUMIF(PRESUPUESTO[CUENTA],EJECUTADO[[#This Row],[CUENTA]],PRESUPUESTO[MONTO])-SUMIF($F$1:F864,EJECUTADO[[#This Row],[CUENTA]],$M$1:M864)</f>
        <v>80000</v>
      </c>
      <c r="M865" s="119">
        <v>8000</v>
      </c>
      <c r="N865" s="120">
        <v>70.8</v>
      </c>
      <c r="O865" s="120"/>
      <c r="P865" s="165">
        <f>+EJECUTADO[[#This Row],[MONTO SOLICITADO]]-EJECUTADO[[#This Row],[RETENCION IVA]]-EJECUTADO[[#This Row],[RETENCION ISR]]</f>
        <v>7929.2</v>
      </c>
      <c r="Q865" s="120" t="s">
        <v>1971</v>
      </c>
      <c r="R865" s="120" t="s">
        <v>2111</v>
      </c>
      <c r="S865">
        <v>810769</v>
      </c>
      <c r="T865" s="168" t="str">
        <f t="shared" si="28"/>
        <v>SERVICIOS PROFESIONALES - SERVICIOS DE MANTENIMIENTO Disponible $80000 Solicitado $8000 PRESUPUESTO: SI</v>
      </c>
    </row>
    <row r="866" spans="1:20" ht="48" customHeight="1" x14ac:dyDescent="0.25">
      <c r="A866" s="6">
        <f t="shared" si="27"/>
        <v>818</v>
      </c>
      <c r="B866" s="21">
        <v>45360</v>
      </c>
      <c r="C866" s="126" t="s">
        <v>2204</v>
      </c>
      <c r="D866" s="65" t="s">
        <v>2205</v>
      </c>
      <c r="E866" s="65" t="s">
        <v>2206</v>
      </c>
      <c r="F866" t="s">
        <v>1291</v>
      </c>
      <c r="G866" s="161">
        <f>MONTH(EJECUTADO[[#This Row],[FECHA]])</f>
        <v>3</v>
      </c>
      <c r="H866" s="163" t="str">
        <f>MID(EJECUTADO[[#This Row],[CUENTA]],1,4)</f>
        <v>E-31</v>
      </c>
      <c r="I866" s="163" t="str">
        <f>INDEX(CATALOGO[Descripción],MATCH(EJECUTADO[[#This Row],[APLICACIÓN]]&amp;"-00-00-00",CATALOGO[Código],0))</f>
        <v>DONACIONES</v>
      </c>
      <c r="J8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Historia</v>
      </c>
      <c r="K866" s="161" t="str">
        <f>IF((EJECUTADO[[#This Row],[MONTO DISPONIBLE ]]-EJECUTADO[[#This Row],[MONTO SOLICITADO]])&gt;=0,"PRESUPUESTO: SI","PRESUPUESTO: NO")</f>
        <v>PRESUPUESTO: SI</v>
      </c>
      <c r="L866" s="162">
        <f>SUMIF(PRESUPUESTO[CUENTA],EJECUTADO[[#This Row],[CUENTA]],PRESUPUESTO[MONTO])-SUMIF($F$1:F865,EJECUTADO[[#This Row],[CUENTA]],$M$1:M865)</f>
        <v>5000</v>
      </c>
      <c r="M866" s="2">
        <v>500</v>
      </c>
      <c r="N866" s="84"/>
      <c r="O866" s="84"/>
      <c r="P866" s="162">
        <f>+EJECUTADO[[#This Row],[MONTO SOLICITADO]]-EJECUTADO[[#This Row],[RETENCION IVA]]-EJECUTADO[[#This Row],[RETENCION ISR]]</f>
        <v>500</v>
      </c>
      <c r="Q866" s="84" t="s">
        <v>1971</v>
      </c>
      <c r="R866" s="84" t="s">
        <v>2111</v>
      </c>
      <c r="T866" s="168" t="str">
        <f t="shared" si="28"/>
        <v>DONACIONES - Academia  Salvadoreña de Historia Disponible $5000 Solicitado $500 PRESUPUESTO: SI</v>
      </c>
    </row>
    <row r="867" spans="1:20" ht="75" x14ac:dyDescent="0.25">
      <c r="A867" s="6">
        <f t="shared" si="27"/>
        <v>819</v>
      </c>
      <c r="B867" s="21">
        <v>45360</v>
      </c>
      <c r="C867" s="126" t="s">
        <v>1938</v>
      </c>
      <c r="D867" s="65" t="s">
        <v>2207</v>
      </c>
      <c r="E867" s="65" t="s">
        <v>2208</v>
      </c>
      <c r="F867" t="s">
        <v>2209</v>
      </c>
      <c r="G867" s="161">
        <f>MONTH(EJECUTADO[[#This Row],[FECHA]])</f>
        <v>3</v>
      </c>
      <c r="H867" s="163" t="str">
        <f>MID(EJECUTADO[[#This Row],[CUENTA]],1,4)</f>
        <v>E-30</v>
      </c>
      <c r="I867" s="163" t="str">
        <f>INDEX(CATALOGO[Descripción],MATCH(EJECUTADO[[#This Row],[APLICACIÓN]]&amp;"-00-00-00",CATALOGO[Código],0))</f>
        <v>MEMBRESIAS Y SUSCRIPCIONES</v>
      </c>
      <c r="J8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 Camara Americana Amcham</v>
      </c>
      <c r="K867" s="161" t="str">
        <f>IF((EJECUTADO[[#This Row],[MONTO DISPONIBLE ]]-EJECUTADO[[#This Row],[MONTO SOLICITADO]])&gt;=0,"PRESUPUESTO: SI","PRESUPUESTO: NO")</f>
        <v>PRESUPUESTO: NO</v>
      </c>
      <c r="L867" s="162">
        <f>SUMIF(PRESUPUESTO[CUENTA],EJECUTADO[[#This Row],[CUENTA]],PRESUPUESTO[MONTO])-SUMIF($F$1:F866,EJECUTADO[[#This Row],[CUENTA]],$M$1:M866)</f>
        <v>250</v>
      </c>
      <c r="M867" s="2">
        <v>2034</v>
      </c>
      <c r="N867" s="84">
        <v>18</v>
      </c>
      <c r="O867" s="84"/>
      <c r="P867" s="162">
        <f>+EJECUTADO[[#This Row],[MONTO SOLICITADO]]-EJECUTADO[[#This Row],[RETENCION IVA]]-EJECUTADO[[#This Row],[RETENCION ISR]]</f>
        <v>2016</v>
      </c>
      <c r="Q867" s="84" t="s">
        <v>1971</v>
      </c>
      <c r="R867" s="84" t="s">
        <v>2111</v>
      </c>
      <c r="T867" s="168" t="str">
        <f t="shared" si="28"/>
        <v>MEMBRESIAS Y SUSCRIPCIONES - Membresia Camara Americana Amcham Disponible $250 Solicitado $2034 PRESUPUESTO: NO</v>
      </c>
    </row>
    <row r="868" spans="1:20" s="117" customFormat="1" ht="90" x14ac:dyDescent="0.25">
      <c r="A868" s="115">
        <f t="shared" si="27"/>
        <v>820</v>
      </c>
      <c r="B868" s="118">
        <v>45360</v>
      </c>
      <c r="C868" s="129" t="s">
        <v>2210</v>
      </c>
      <c r="D868" s="116" t="s">
        <v>2211</v>
      </c>
      <c r="E868" s="116" t="s">
        <v>2212</v>
      </c>
      <c r="F868" s="117" t="s">
        <v>2213</v>
      </c>
      <c r="G868" s="161">
        <f>MONTH(EJECUTADO[[#This Row],[FECHA]])</f>
        <v>3</v>
      </c>
      <c r="H868" s="163" t="str">
        <f>MID(EJECUTADO[[#This Row],[CUENTA]],1,4)</f>
        <v>E-19</v>
      </c>
      <c r="I868" s="163" t="str">
        <f>INDEX(CATALOGO[Descripción],MATCH(EJECUTADO[[#This Row],[APLICACIÓN]]&amp;"-00-00-00",CATALOGO[Código],0))</f>
        <v>MANTENIMIENTO</v>
      </c>
      <c r="J8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Mantto Odorización  Baños Aulas </v>
      </c>
      <c r="K868" s="161" t="str">
        <f>IF((EJECUTADO[[#This Row],[MONTO DISPONIBLE ]]-EJECUTADO[[#This Row],[MONTO SOLICITADO]])&gt;=0,"PRESUPUESTO: SI","PRESUPUESTO: NO")</f>
        <v>PRESUPUESTO: SI</v>
      </c>
      <c r="L868" s="162">
        <f>SUMIF(PRESUPUESTO[CUENTA],EJECUTADO[[#This Row],[CUENTA]],PRESUPUESTO[MONTO])-SUMIF($F$1:F867,EJECUTADO[[#This Row],[CUENTA]],$M$1:M867)</f>
        <v>21000</v>
      </c>
      <c r="M868" s="119">
        <v>1703.2</v>
      </c>
      <c r="N868" s="120"/>
      <c r="O868" s="120"/>
      <c r="P868" s="165">
        <f>+EJECUTADO[[#This Row],[MONTO SOLICITADO]]-EJECUTADO[[#This Row],[RETENCION IVA]]-EJECUTADO[[#This Row],[RETENCION ISR]]</f>
        <v>1703.2</v>
      </c>
      <c r="Q868" s="120" t="s">
        <v>1971</v>
      </c>
      <c r="R868" s="120" t="s">
        <v>2111</v>
      </c>
      <c r="T868" s="168" t="str">
        <f t="shared" si="28"/>
        <v>MANTENIMIENTO - Mantto Odorización  Baños Aulas  Disponible $21000 Solicitado $1703.2 PRESUPUESTO: SI</v>
      </c>
    </row>
    <row r="869" spans="1:20" s="117" customFormat="1" ht="105" x14ac:dyDescent="0.25">
      <c r="A869" s="115">
        <f t="shared" si="27"/>
        <v>821</v>
      </c>
      <c r="B869" s="118">
        <v>45360</v>
      </c>
      <c r="C869" s="118" t="s">
        <v>2214</v>
      </c>
      <c r="D869" s="116" t="s">
        <v>2215</v>
      </c>
      <c r="E869" s="116" t="s">
        <v>2216</v>
      </c>
      <c r="F869" s="185" t="s">
        <v>1126</v>
      </c>
      <c r="G869" s="178">
        <f>MONTH(EJECUTADO[[#This Row],[FECHA]])</f>
        <v>3</v>
      </c>
      <c r="H869" s="179" t="str">
        <f>MID(EJECUTADO[[#This Row],[CUENTA]],1,4)</f>
        <v>E-15</v>
      </c>
      <c r="I869" s="179" t="str">
        <f>INDEX(CATALOGO[Descripción],MATCH(EJECUTADO[[#This Row],[APLICACIÓN]]&amp;"-00-00-00",CATALOGO[Código],0))</f>
        <v>ALQUILERES</v>
      </c>
      <c r="J869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869" s="178" t="str">
        <f>IF((EJECUTADO[[#This Row],[MONTO DISPONIBLE ]]-EJECUTADO[[#This Row],[MONTO SOLICITADO]])&gt;=0,"PRESUPUESTO: SI","PRESUPUESTO: NO")</f>
        <v>PRESUPUESTO: SI</v>
      </c>
      <c r="L869" s="165">
        <f>SUMIF(PRESUPUESTO[CUENTA],EJECUTADO[[#This Row],[CUENTA]],PRESUPUESTO[MONTO])-SUMIF($F$1:F868,EJECUTADO[[#This Row],[CUENTA]],$M$1:M868)</f>
        <v>44700</v>
      </c>
      <c r="M869" s="119">
        <v>1200</v>
      </c>
      <c r="N869" s="120">
        <v>10.62</v>
      </c>
      <c r="O869" s="120"/>
      <c r="P869" s="165">
        <f>+EJECUTADO[[#This Row],[MONTO SOLICITADO]]-EJECUTADO[[#This Row],[RETENCION IVA]]-EJECUTADO[[#This Row],[RETENCION ISR]]</f>
        <v>1189.3800000000001</v>
      </c>
      <c r="Q869" s="120" t="s">
        <v>1971</v>
      </c>
      <c r="R869" s="120" t="s">
        <v>2111</v>
      </c>
      <c r="S869" s="186">
        <v>561</v>
      </c>
      <c r="T869" s="180" t="str">
        <f t="shared" si="28"/>
        <v>ALQUILERES - Alquiler de edificio Thomas Jefferson Disponible $44700 Solicitado $1200 PRESUPUESTO: SI</v>
      </c>
    </row>
    <row r="870" spans="1:20" ht="120" x14ac:dyDescent="0.25">
      <c r="A870" s="6">
        <f t="shared" si="27"/>
        <v>822</v>
      </c>
      <c r="B870" s="21">
        <v>45360</v>
      </c>
      <c r="C870" s="21" t="s">
        <v>1018</v>
      </c>
      <c r="D870" s="65" t="s">
        <v>2217</v>
      </c>
      <c r="E870" s="65" t="s">
        <v>2218</v>
      </c>
      <c r="F870" s="37" t="s">
        <v>1020</v>
      </c>
      <c r="G870" s="161">
        <f>MONTH(EJECUTADO[[#This Row],[FECHA]])</f>
        <v>3</v>
      </c>
      <c r="H870" s="163" t="str">
        <f>MID(EJECUTADO[[#This Row],[CUENTA]],1,4)</f>
        <v>E-31</v>
      </c>
      <c r="I870" s="163" t="str">
        <f>INDEX(CATALOGO[Descripción],MATCH(EJECUTADO[[#This Row],[APLICACIÓN]]&amp;"-00-00-00",CATALOGO[Código],0))</f>
        <v>DONACIONES</v>
      </c>
      <c r="J8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Asociacion Padre Vito Guarato $ 114.00 x 12</v>
      </c>
      <c r="K870" s="161" t="str">
        <f>IF((EJECUTADO[[#This Row],[MONTO DISPONIBLE ]]-EJECUTADO[[#This Row],[MONTO SOLICITADO]])&gt;=0,"PRESUPUESTO: SI","PRESUPUESTO: NO")</f>
        <v>PRESUPUESTO: SI</v>
      </c>
      <c r="L870" s="162">
        <f>SUMIF(PRESUPUESTO[CUENTA],EJECUTADO[[#This Row],[CUENTA]],PRESUPUESTO[MONTO])-SUMIF($F$1:F869,EJECUTADO[[#This Row],[CUENTA]],$M$1:M869)</f>
        <v>910.83999999999992</v>
      </c>
      <c r="M870" s="2">
        <v>114.29</v>
      </c>
      <c r="N870" s="84"/>
      <c r="O870" s="84"/>
      <c r="P870" s="162">
        <f>+EJECUTADO[[#This Row],[MONTO SOLICITADO]]-EJECUTADO[[#This Row],[RETENCION IVA]]-EJECUTADO[[#This Row],[RETENCION ISR]]</f>
        <v>114.29</v>
      </c>
      <c r="Q870" s="84" t="s">
        <v>1971</v>
      </c>
      <c r="R870" s="84" t="s">
        <v>2111</v>
      </c>
      <c r="T870" s="168" t="str">
        <f t="shared" si="28"/>
        <v>DONACIONES - Asociacion Padre Vito Guarato $ 114.00 x 12 Disponible $910.84 Solicitado $114.29 PRESUPUESTO: SI</v>
      </c>
    </row>
    <row r="871" spans="1:20" ht="45" x14ac:dyDescent="0.25">
      <c r="A871" s="6">
        <f t="shared" si="27"/>
        <v>823</v>
      </c>
      <c r="B871" s="21">
        <v>45362</v>
      </c>
      <c r="C871" s="21" t="s">
        <v>2219</v>
      </c>
      <c r="D871" s="65" t="s">
        <v>2220</v>
      </c>
      <c r="E871" s="65" t="s">
        <v>2221</v>
      </c>
      <c r="F871" t="s">
        <v>1132</v>
      </c>
      <c r="G871" s="161">
        <f>MONTH(EJECUTADO[[#This Row],[FECHA]])</f>
        <v>3</v>
      </c>
      <c r="H871" s="163" t="str">
        <f>MID(EJECUTADO[[#This Row],[CUENTA]],1,4)</f>
        <v>E-15</v>
      </c>
      <c r="I871" s="163" t="str">
        <f>INDEX(CATALOGO[Descripción],MATCH(EJECUTADO[[#This Row],[APLICACIÓN]]&amp;"-00-00-00",CATALOGO[Código],0))</f>
        <v>ALQUILERES</v>
      </c>
      <c r="J8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871" s="161" t="str">
        <f>IF((EJECUTADO[[#This Row],[MONTO DISPONIBLE ]]-EJECUTADO[[#This Row],[MONTO SOLICITADO]])&gt;=0,"PRESUPUESTO: SI","PRESUPUESTO: NO")</f>
        <v>PRESUPUESTO: SI</v>
      </c>
      <c r="L871" s="162">
        <f>SUMIF(PRESUPUESTO[CUENTA],EJECUTADO[[#This Row],[CUENTA]],PRESUPUESTO[MONTO])-SUMIF($F$1:F870,EJECUTADO[[#This Row],[CUENTA]],$M$1:M870)</f>
        <v>6165.4399999999987</v>
      </c>
      <c r="M871" s="2">
        <v>2292.2800000000002</v>
      </c>
      <c r="N871" s="84">
        <v>298</v>
      </c>
      <c r="O871" s="84">
        <v>199.43</v>
      </c>
      <c r="P871" s="162">
        <f>+EJECUTADO[[#This Row],[MONTO SOLICITADO]]-EJECUTADO[[#This Row],[RETENCION IVA]]-EJECUTADO[[#This Row],[RETENCION ISR]]</f>
        <v>1794.8500000000001</v>
      </c>
      <c r="Q871" s="84" t="s">
        <v>1960</v>
      </c>
      <c r="R871" s="84"/>
      <c r="S871">
        <v>1560222</v>
      </c>
      <c r="T871" s="168" t="str">
        <f t="shared" si="28"/>
        <v>ALQUILERES - Casa  118 Edith de Molina Neira $ 2,292.28x 6 Disponible $6165.44 Solicitado $2292.28 PRESUPUESTO: SI</v>
      </c>
    </row>
    <row r="872" spans="1:20" ht="60" x14ac:dyDescent="0.25">
      <c r="A872" s="6">
        <f t="shared" si="27"/>
        <v>824</v>
      </c>
      <c r="B872" s="21">
        <v>45362</v>
      </c>
      <c r="C872" s="21" t="s">
        <v>1130</v>
      </c>
      <c r="D872" s="65" t="s">
        <v>2222</v>
      </c>
      <c r="E872" s="65" t="s">
        <v>2223</v>
      </c>
      <c r="F872" t="s">
        <v>2224</v>
      </c>
      <c r="G872" s="161">
        <f>MONTH(EJECUTADO[[#This Row],[FECHA]])</f>
        <v>3</v>
      </c>
      <c r="H872" s="163" t="str">
        <f>MID(EJECUTADO[[#This Row],[CUENTA]],1,4)</f>
        <v>E-15</v>
      </c>
      <c r="I872" s="163" t="str">
        <f>INDEX(CATALOGO[Descripción],MATCH(EJECUTADO[[#This Row],[APLICACIÓN]]&amp;"-00-00-00",CATALOGO[Código],0))</f>
        <v>ALQUILERES</v>
      </c>
      <c r="J8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Apartamento Marbella  (Noris de López)</v>
      </c>
      <c r="K872" s="161" t="str">
        <f>IF((EJECUTADO[[#This Row],[MONTO DISPONIBLE ]]-EJECUTADO[[#This Row],[MONTO SOLICITADO]])&gt;=0,"PRESUPUESTO: SI","PRESUPUESTO: NO")</f>
        <v>PRESUPUESTO: SI</v>
      </c>
      <c r="L872" s="162">
        <f>SUMIF(PRESUPUESTO[CUENTA],EJECUTADO[[#This Row],[CUENTA]],PRESUPUESTO[MONTO])-SUMIF($F$1:F871,EJECUTADO[[#This Row],[CUENTA]],$M$1:M871)</f>
        <v>18000</v>
      </c>
      <c r="M872" s="2">
        <v>1500</v>
      </c>
      <c r="N872" s="84"/>
      <c r="O872" s="84">
        <v>150</v>
      </c>
      <c r="P872" s="162">
        <f>+EJECUTADO[[#This Row],[MONTO SOLICITADO]]-EJECUTADO[[#This Row],[RETENCION IVA]]-EJECUTADO[[#This Row],[RETENCION ISR]]</f>
        <v>1350</v>
      </c>
      <c r="Q872" s="84" t="s">
        <v>1960</v>
      </c>
      <c r="R872" s="84"/>
      <c r="S872">
        <v>1560225</v>
      </c>
      <c r="T872" s="168" t="str">
        <f t="shared" si="28"/>
        <v>ALQUILERES - Apartamento Marbella  (Noris de López) Disponible $18000 Solicitado $1500 PRESUPUESTO: SI</v>
      </c>
    </row>
    <row r="873" spans="1:20" ht="90" x14ac:dyDescent="0.25">
      <c r="A873" s="6">
        <f t="shared" si="27"/>
        <v>825</v>
      </c>
      <c r="B873" s="21">
        <v>45362</v>
      </c>
      <c r="C873" s="118" t="s">
        <v>2225</v>
      </c>
      <c r="D873" s="65" t="s">
        <v>2226</v>
      </c>
      <c r="E873" s="65" t="s">
        <v>2227</v>
      </c>
      <c r="F873" t="s">
        <v>1126</v>
      </c>
      <c r="G873" s="161">
        <f>MONTH(EJECUTADO[[#This Row],[FECHA]])</f>
        <v>3</v>
      </c>
      <c r="H873" s="163" t="str">
        <f>MID(EJECUTADO[[#This Row],[CUENTA]],1,4)</f>
        <v>E-15</v>
      </c>
      <c r="I873" s="163" t="str">
        <f>INDEX(CATALOGO[Descripción],MATCH(EJECUTADO[[#This Row],[APLICACIÓN]]&amp;"-00-00-00",CATALOGO[Código],0))</f>
        <v>ALQUILERES</v>
      </c>
      <c r="J8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873" s="161" t="str">
        <f>IF((EJECUTADO[[#This Row],[MONTO DISPONIBLE ]]-EJECUTADO[[#This Row],[MONTO SOLICITADO]])&gt;=0,"PRESUPUESTO: SI","PRESUPUESTO: NO")</f>
        <v>PRESUPUESTO: SI</v>
      </c>
      <c r="L873" s="162">
        <f>SUMIF(PRESUPUESTO[CUENTA],EJECUTADO[[#This Row],[CUENTA]],PRESUPUESTO[MONTO])-SUMIF($F$1:F872,EJECUTADO[[#This Row],[CUENTA]],$M$1:M872)</f>
        <v>43500</v>
      </c>
      <c r="M873" s="2">
        <v>1200</v>
      </c>
      <c r="N873" s="84">
        <v>10.62</v>
      </c>
      <c r="O873" s="84">
        <v>106.2</v>
      </c>
      <c r="P873" s="162">
        <f>+EJECUTADO[[#This Row],[MONTO SOLICITADO]]-EJECUTADO[[#This Row],[RETENCION IVA]]-EJECUTADO[[#This Row],[RETENCION ISR]]</f>
        <v>1083.18</v>
      </c>
      <c r="Q873" s="84" t="s">
        <v>1960</v>
      </c>
      <c r="R873" s="84"/>
      <c r="S873">
        <v>1560224</v>
      </c>
      <c r="T873" s="168" t="str">
        <f t="shared" si="28"/>
        <v>ALQUILERES - Alquiler de edificio Thomas Jefferson Disponible $43500 Solicitado $1200 PRESUPUESTO: SI</v>
      </c>
    </row>
    <row r="874" spans="1:20" ht="90" x14ac:dyDescent="0.25">
      <c r="A874" s="6">
        <f t="shared" si="27"/>
        <v>826</v>
      </c>
      <c r="B874" s="21">
        <v>45362</v>
      </c>
      <c r="C874" s="21" t="s">
        <v>2228</v>
      </c>
      <c r="D874" s="65" t="s">
        <v>2229</v>
      </c>
      <c r="E874" s="65" t="s">
        <v>2230</v>
      </c>
      <c r="F874" s="68" t="s">
        <v>1258</v>
      </c>
      <c r="G874" s="161">
        <f>MONTH(EJECUTADO[[#This Row],[FECHA]])</f>
        <v>3</v>
      </c>
      <c r="H874" s="163" t="str">
        <f>MID(EJECUTADO[[#This Row],[CUENTA]],1,4)</f>
        <v>E-22</v>
      </c>
      <c r="I874" s="163" t="str">
        <f>INDEX(CATALOGO[Descripción],MATCH(EJECUTADO[[#This Row],[APLICACIÓN]]&amp;"-00-00-00",CATALOGO[Código],0))</f>
        <v>CAPACITACIÓN AL PERSONAL</v>
      </c>
      <c r="J8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874" s="161" t="str">
        <f>IF((EJECUTADO[[#This Row],[MONTO DISPONIBLE ]]-EJECUTADO[[#This Row],[MONTO SOLICITADO]])&gt;=0,"PRESUPUESTO: SI","PRESUPUESTO: NO")</f>
        <v>PRESUPUESTO: NO</v>
      </c>
      <c r="L874" s="162">
        <f>SUMIF(PRESUPUESTO[CUENTA],EJECUTADO[[#This Row],[CUENTA]],PRESUPUESTO[MONTO])-SUMIF($F$1:F873,EJECUTADO[[#This Row],[CUENTA]],$M$1:M873)</f>
        <v>-5444.4400000000005</v>
      </c>
      <c r="M874" s="2">
        <v>2222.2199999999998</v>
      </c>
      <c r="N874" s="84"/>
      <c r="O874" s="84">
        <v>222.22</v>
      </c>
      <c r="P874" s="162">
        <f>+EJECUTADO[[#This Row],[MONTO SOLICITADO]]-EJECUTADO[[#This Row],[RETENCION IVA]]-EJECUTADO[[#This Row],[RETENCION ISR]]</f>
        <v>1999.9999999999998</v>
      </c>
      <c r="Q874" s="84"/>
      <c r="R874" s="84"/>
      <c r="S874">
        <v>1560223</v>
      </c>
      <c r="T874" s="168" t="str">
        <f t="shared" si="28"/>
        <v>CAPACITACIÓN AL PERSONAL - CAPACITACIONES TALLER PRINCIPIOS Y VALORES (DR.MALUMBRES) Disponible $-5444.44 Solicitado $2222.22 PRESUPUESTO: NO</v>
      </c>
    </row>
    <row r="875" spans="1:20" ht="30" x14ac:dyDescent="0.25">
      <c r="A875" s="6">
        <f t="shared" si="27"/>
        <v>827</v>
      </c>
      <c r="B875" s="21">
        <v>45362</v>
      </c>
      <c r="C875" s="21" t="s">
        <v>2228</v>
      </c>
      <c r="D875" s="65" t="s">
        <v>2231</v>
      </c>
      <c r="E875" s="65" t="s">
        <v>2232</v>
      </c>
      <c r="F875" s="68" t="s">
        <v>1258</v>
      </c>
      <c r="G875" s="161">
        <f>MONTH(EJECUTADO[[#This Row],[FECHA]])</f>
        <v>3</v>
      </c>
      <c r="H875" s="163" t="str">
        <f>MID(EJECUTADO[[#This Row],[CUENTA]],1,4)</f>
        <v>E-22</v>
      </c>
      <c r="I875" s="163" t="str">
        <f>INDEX(CATALOGO[Descripción],MATCH(EJECUTADO[[#This Row],[APLICACIÓN]]&amp;"-00-00-00",CATALOGO[Código],0))</f>
        <v>CAPACITACIÓN AL PERSONAL</v>
      </c>
      <c r="J8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875" s="161" t="str">
        <f>IF((EJECUTADO[[#This Row],[MONTO DISPONIBLE ]]-EJECUTADO[[#This Row],[MONTO SOLICITADO]])&gt;=0,"PRESUPUESTO: SI","PRESUPUESTO: NO")</f>
        <v>PRESUPUESTO: NO</v>
      </c>
      <c r="L875" s="162">
        <f>SUMIF(PRESUPUESTO[CUENTA],EJECUTADO[[#This Row],[CUENTA]],PRESUPUESTO[MONTO])-SUMIF($F$1:F874,EJECUTADO[[#This Row],[CUENTA]],$M$1:M874)</f>
        <v>-7666.66</v>
      </c>
      <c r="M875" s="2">
        <v>500</v>
      </c>
      <c r="N875" s="84"/>
      <c r="O875" s="84">
        <v>50</v>
      </c>
      <c r="P875" s="162">
        <f>+EJECUTADO[[#This Row],[MONTO SOLICITADO]]-EJECUTADO[[#This Row],[RETENCION IVA]]-EJECUTADO[[#This Row],[RETENCION ISR]]</f>
        <v>450</v>
      </c>
      <c r="Q875" s="84"/>
      <c r="R875" s="84"/>
      <c r="S875">
        <v>1560223</v>
      </c>
      <c r="T875" s="168" t="str">
        <f t="shared" si="28"/>
        <v>CAPACITACIÓN AL PERSONAL - CAPACITACIONES TALLER PRINCIPIOS Y VALORES (DR.MALUMBRES) Disponible $-7666.66 Solicitado $500 PRESUPUESTO: NO</v>
      </c>
    </row>
    <row r="876" spans="1:20" ht="45" x14ac:dyDescent="0.25">
      <c r="A876" s="6">
        <f t="shared" si="27"/>
        <v>828</v>
      </c>
      <c r="B876" s="21">
        <v>45362</v>
      </c>
      <c r="C876" s="65" t="s">
        <v>1601</v>
      </c>
      <c r="D876" s="65" t="s">
        <v>2233</v>
      </c>
      <c r="E876" s="65" t="s">
        <v>1915</v>
      </c>
      <c r="F876" t="s">
        <v>1603</v>
      </c>
      <c r="G876" s="161">
        <f>MONTH(EJECUTADO[[#This Row],[FECHA]])</f>
        <v>3</v>
      </c>
      <c r="H876" s="163" t="str">
        <f>MID(EJECUTADO[[#This Row],[CUENTA]],1,4)</f>
        <v>E-22</v>
      </c>
      <c r="I876" s="163" t="str">
        <f>INDEX(CATALOGO[Descripción],MATCH(EJECUTADO[[#This Row],[APLICACIÓN]]&amp;"-00-00-00",CATALOGO[Código],0))</f>
        <v>CAPACITACIÓN AL PERSONAL</v>
      </c>
      <c r="J8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Maestría Beatríaz Martínez</v>
      </c>
      <c r="K876" s="161" t="str">
        <f>IF((EJECUTADO[[#This Row],[MONTO DISPONIBLE ]]-EJECUTADO[[#This Row],[MONTO SOLICITADO]])&gt;=0,"PRESUPUESTO: SI","PRESUPUESTO: NO")</f>
        <v>PRESUPUESTO: SI</v>
      </c>
      <c r="L876" s="162">
        <f>SUMIF(PRESUPUESTO[CUENTA],EJECUTADO[[#This Row],[CUENTA]],PRESUPUESTO[MONTO])-SUMIF($F$1:F875,EJECUTADO[[#This Row],[CUENTA]],$M$1:M875)</f>
        <v>1250</v>
      </c>
      <c r="M876" s="2">
        <v>150</v>
      </c>
      <c r="N876" s="84"/>
      <c r="O876" s="84"/>
      <c r="P876" s="162">
        <f>+EJECUTADO[[#This Row],[MONTO SOLICITADO]]-EJECUTADO[[#This Row],[RETENCION IVA]]-EJECUTADO[[#This Row],[RETENCION ISR]]</f>
        <v>150</v>
      </c>
      <c r="Q876" s="84" t="s">
        <v>1786</v>
      </c>
      <c r="R876" s="84"/>
      <c r="S876">
        <v>1875483</v>
      </c>
      <c r="T876" s="168" t="str">
        <f t="shared" si="28"/>
        <v>CAPACITACIÓN AL PERSONAL - FCCS - Maestría Beatríaz Martínez Disponible $1250 Solicitado $150 PRESUPUESTO: SI</v>
      </c>
    </row>
    <row r="877" spans="1:20" ht="30" x14ac:dyDescent="0.25">
      <c r="A877" s="6">
        <f t="shared" si="27"/>
        <v>829</v>
      </c>
      <c r="B877" s="21">
        <v>45362</v>
      </c>
      <c r="C877" s="126" t="s">
        <v>2234</v>
      </c>
      <c r="D877" s="65" t="s">
        <v>2235</v>
      </c>
      <c r="E877" s="65" t="s">
        <v>2236</v>
      </c>
      <c r="F877" s="37" t="s">
        <v>2237</v>
      </c>
      <c r="G877" s="161">
        <f>MONTH(EJECUTADO[[#This Row],[FECHA]])</f>
        <v>3</v>
      </c>
      <c r="H877" s="163" t="str">
        <f>MID(EJECUTADO[[#This Row],[CUENTA]],1,4)</f>
        <v>E-26</v>
      </c>
      <c r="I877" s="163" t="str">
        <f>INDEX(CATALOGO[Descripción],MATCH(EJECUTADO[[#This Row],[APLICACIÓN]]&amp;"-00-00-00",CATALOGO[Código],0))</f>
        <v>EVENTOS ACADEMICOS, CULTURALES  E INSTITUCIONALES</v>
      </c>
      <c r="J8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77" s="161" t="str">
        <f>IF((EJECUTADO[[#This Row],[MONTO DISPONIBLE ]]-EJECUTADO[[#This Row],[MONTO SOLICITADO]])&gt;=0,"PRESUPUESTO: SI","PRESUPUESTO: NO")</f>
        <v>PRESUPUESTO: SI</v>
      </c>
      <c r="L877" s="162">
        <f>SUMIF(PRESUPUESTO[CUENTA],EJECUTADO[[#This Row],[CUENTA]],PRESUPUESTO[MONTO])-SUMIF($F$1:F876,EJECUTADO[[#This Row],[CUENTA]],$M$1:M876)</f>
        <v>8333.33</v>
      </c>
      <c r="M877" s="2">
        <v>225</v>
      </c>
      <c r="N877" s="84">
        <v>29.25</v>
      </c>
      <c r="O877" s="84">
        <v>19.579999999999998</v>
      </c>
      <c r="P877" s="162">
        <f>+EJECUTADO[[#This Row],[MONTO SOLICITADO]]-EJECUTADO[[#This Row],[RETENCION IVA]]-EJECUTADO[[#This Row],[RETENCION ISR]]</f>
        <v>176.17000000000002</v>
      </c>
      <c r="Q877" s="84" t="s">
        <v>1800</v>
      </c>
      <c r="R877" s="84"/>
      <c r="S877" s="112">
        <v>3248</v>
      </c>
      <c r="T877" s="168" t="str">
        <f t="shared" si="28"/>
        <v>EVENTOS ACADEMICOS, CULTURALES  E INSTITUCIONALES - SESIONES Y CONFERENCIAS   Disponible $8333.33 Solicitado $225 PRESUPUESTO: SI</v>
      </c>
    </row>
    <row r="878" spans="1:20" ht="30" x14ac:dyDescent="0.25">
      <c r="A878" s="6">
        <f t="shared" si="27"/>
        <v>830</v>
      </c>
      <c r="B878" s="21">
        <v>45362</v>
      </c>
      <c r="C878" s="126" t="s">
        <v>1738</v>
      </c>
      <c r="D878" s="65" t="s">
        <v>2235</v>
      </c>
      <c r="E878" s="65" t="s">
        <v>2238</v>
      </c>
      <c r="F878" s="37" t="s">
        <v>2237</v>
      </c>
      <c r="G878" s="161">
        <f>MONTH(EJECUTADO[[#This Row],[FECHA]])</f>
        <v>3</v>
      </c>
      <c r="H878" s="163" t="str">
        <f>MID(EJECUTADO[[#This Row],[CUENTA]],1,4)</f>
        <v>E-26</v>
      </c>
      <c r="I878" s="163" t="str">
        <f>INDEX(CATALOGO[Descripción],MATCH(EJECUTADO[[#This Row],[APLICACIÓN]]&amp;"-00-00-00",CATALOGO[Código],0))</f>
        <v>EVENTOS ACADEMICOS, CULTURALES  E INSTITUCIONALES</v>
      </c>
      <c r="J8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78" s="161" t="str">
        <f>IF((EJECUTADO[[#This Row],[MONTO DISPONIBLE ]]-EJECUTADO[[#This Row],[MONTO SOLICITADO]])&gt;=0,"PRESUPUESTO: SI","PRESUPUESTO: NO")</f>
        <v>PRESUPUESTO: SI</v>
      </c>
      <c r="L878" s="162">
        <f>SUMIF(PRESUPUESTO[CUENTA],EJECUTADO[[#This Row],[CUENTA]],PRESUPUESTO[MONTO])-SUMIF($F$1:F877,EJECUTADO[[#This Row],[CUENTA]],$M$1:M877)</f>
        <v>8108.33</v>
      </c>
      <c r="M878" s="2">
        <v>225</v>
      </c>
      <c r="N878" s="84">
        <v>29.25</v>
      </c>
      <c r="O878" s="84">
        <v>19.579999999999998</v>
      </c>
      <c r="P878" s="162">
        <f>+EJECUTADO[[#This Row],[MONTO SOLICITADO]]-EJECUTADO[[#This Row],[RETENCION IVA]]-EJECUTADO[[#This Row],[RETENCION ISR]]</f>
        <v>176.17000000000002</v>
      </c>
      <c r="Q878" s="84" t="s">
        <v>1800</v>
      </c>
      <c r="R878" s="84"/>
      <c r="S878" s="112">
        <v>3249</v>
      </c>
      <c r="T878" s="168" t="str">
        <f t="shared" si="28"/>
        <v>EVENTOS ACADEMICOS, CULTURALES  E INSTITUCIONALES - SESIONES Y CONFERENCIAS   Disponible $8108.33 Solicitado $225 PRESUPUESTO: SI</v>
      </c>
    </row>
    <row r="879" spans="1:20" ht="30" x14ac:dyDescent="0.25">
      <c r="A879" s="6">
        <f t="shared" si="27"/>
        <v>831</v>
      </c>
      <c r="B879" s="21">
        <v>45362</v>
      </c>
      <c r="C879" s="126" t="s">
        <v>2239</v>
      </c>
      <c r="D879" s="65" t="s">
        <v>2235</v>
      </c>
      <c r="E879" s="65" t="s">
        <v>2240</v>
      </c>
      <c r="F879" s="37" t="s">
        <v>2237</v>
      </c>
      <c r="G879" s="161">
        <f>MONTH(EJECUTADO[[#This Row],[FECHA]])</f>
        <v>3</v>
      </c>
      <c r="H879" s="163" t="str">
        <f>MID(EJECUTADO[[#This Row],[CUENTA]],1,4)</f>
        <v>E-26</v>
      </c>
      <c r="I879" s="163" t="str">
        <f>INDEX(CATALOGO[Descripción],MATCH(EJECUTADO[[#This Row],[APLICACIÓN]]&amp;"-00-00-00",CATALOGO[Código],0))</f>
        <v>EVENTOS ACADEMICOS, CULTURALES  E INSTITUCIONALES</v>
      </c>
      <c r="J8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79" s="161" t="str">
        <f>IF((EJECUTADO[[#This Row],[MONTO DISPONIBLE ]]-EJECUTADO[[#This Row],[MONTO SOLICITADO]])&gt;=0,"PRESUPUESTO: SI","PRESUPUESTO: NO")</f>
        <v>PRESUPUESTO: SI</v>
      </c>
      <c r="L879" s="162">
        <f>SUMIF(PRESUPUESTO[CUENTA],EJECUTADO[[#This Row],[CUENTA]],PRESUPUESTO[MONTO])-SUMIF($F$1:F878,EJECUTADO[[#This Row],[CUENTA]],$M$1:M878)</f>
        <v>7883.33</v>
      </c>
      <c r="M879" s="2">
        <v>225</v>
      </c>
      <c r="N879" s="84">
        <v>29.25</v>
      </c>
      <c r="O879" s="84">
        <v>19.579999999999998</v>
      </c>
      <c r="P879" s="162">
        <f>+EJECUTADO[[#This Row],[MONTO SOLICITADO]]-EJECUTADO[[#This Row],[RETENCION IVA]]-EJECUTADO[[#This Row],[RETENCION ISR]]</f>
        <v>176.17000000000002</v>
      </c>
      <c r="Q879" s="84" t="s">
        <v>1800</v>
      </c>
      <c r="R879" s="84"/>
      <c r="S879" s="112">
        <v>3250</v>
      </c>
      <c r="T879" s="168" t="str">
        <f t="shared" si="28"/>
        <v>EVENTOS ACADEMICOS, CULTURALES  E INSTITUCIONALES - SESIONES Y CONFERENCIAS   Disponible $7883.33 Solicitado $225 PRESUPUESTO: SI</v>
      </c>
    </row>
    <row r="880" spans="1:20" ht="30" x14ac:dyDescent="0.25">
      <c r="A880" s="6">
        <f t="shared" ref="A880:A950" si="34">+A879+1</f>
        <v>832</v>
      </c>
      <c r="B880" s="21">
        <v>45362</v>
      </c>
      <c r="C880" s="126" t="s">
        <v>2241</v>
      </c>
      <c r="D880" s="65" t="s">
        <v>2235</v>
      </c>
      <c r="E880" s="65" t="s">
        <v>2242</v>
      </c>
      <c r="F880" s="37" t="s">
        <v>2237</v>
      </c>
      <c r="G880" s="161">
        <f>MONTH(EJECUTADO[[#This Row],[FECHA]])</f>
        <v>3</v>
      </c>
      <c r="H880" s="163" t="str">
        <f>MID(EJECUTADO[[#This Row],[CUENTA]],1,4)</f>
        <v>E-26</v>
      </c>
      <c r="I880" s="163" t="str">
        <f>INDEX(CATALOGO[Descripción],MATCH(EJECUTADO[[#This Row],[APLICACIÓN]]&amp;"-00-00-00",CATALOGO[Código],0))</f>
        <v>EVENTOS ACADEMICOS, CULTURALES  E INSTITUCIONALES</v>
      </c>
      <c r="J8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0" s="161" t="str">
        <f>IF((EJECUTADO[[#This Row],[MONTO DISPONIBLE ]]-EJECUTADO[[#This Row],[MONTO SOLICITADO]])&gt;=0,"PRESUPUESTO: SI","PRESUPUESTO: NO")</f>
        <v>PRESUPUESTO: SI</v>
      </c>
      <c r="L880" s="162">
        <f>SUMIF(PRESUPUESTO[CUENTA],EJECUTADO[[#This Row],[CUENTA]],PRESUPUESTO[MONTO])-SUMIF($F$1:F879,EJECUTADO[[#This Row],[CUENTA]],$M$1:M879)</f>
        <v>7658.33</v>
      </c>
      <c r="M880" s="2">
        <v>225</v>
      </c>
      <c r="N880" s="84">
        <v>29.25</v>
      </c>
      <c r="O880" s="84">
        <v>19.579999999999998</v>
      </c>
      <c r="P880" s="162">
        <f>+EJECUTADO[[#This Row],[MONTO SOLICITADO]]-EJECUTADO[[#This Row],[RETENCION IVA]]-EJECUTADO[[#This Row],[RETENCION ISR]]</f>
        <v>176.17000000000002</v>
      </c>
      <c r="Q880" s="84" t="s">
        <v>1800</v>
      </c>
      <c r="R880" s="84"/>
      <c r="S880" s="112">
        <v>3251</v>
      </c>
      <c r="T880" s="168" t="str">
        <f t="shared" si="28"/>
        <v>EVENTOS ACADEMICOS, CULTURALES  E INSTITUCIONALES - SESIONES Y CONFERENCIAS   Disponible $7658.33 Solicitado $225 PRESUPUESTO: SI</v>
      </c>
    </row>
    <row r="881" spans="1:20" ht="30" x14ac:dyDescent="0.25">
      <c r="A881" s="6">
        <f t="shared" si="34"/>
        <v>833</v>
      </c>
      <c r="B881" s="21">
        <v>45362</v>
      </c>
      <c r="C881" s="126" t="s">
        <v>2243</v>
      </c>
      <c r="D881" s="65" t="s">
        <v>2235</v>
      </c>
      <c r="E881" s="65" t="s">
        <v>2244</v>
      </c>
      <c r="F881" s="37" t="s">
        <v>2237</v>
      </c>
      <c r="G881" s="161">
        <f>MONTH(EJECUTADO[[#This Row],[FECHA]])</f>
        <v>3</v>
      </c>
      <c r="H881" s="163" t="str">
        <f>MID(EJECUTADO[[#This Row],[CUENTA]],1,4)</f>
        <v>E-26</v>
      </c>
      <c r="I881" s="163" t="str">
        <f>INDEX(CATALOGO[Descripción],MATCH(EJECUTADO[[#This Row],[APLICACIÓN]]&amp;"-00-00-00",CATALOGO[Código],0))</f>
        <v>EVENTOS ACADEMICOS, CULTURALES  E INSTITUCIONALES</v>
      </c>
      <c r="J8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1" s="161" t="str">
        <f>IF((EJECUTADO[[#This Row],[MONTO DISPONIBLE ]]-EJECUTADO[[#This Row],[MONTO SOLICITADO]])&gt;=0,"PRESUPUESTO: SI","PRESUPUESTO: NO")</f>
        <v>PRESUPUESTO: SI</v>
      </c>
      <c r="L881" s="162">
        <f>SUMIF(PRESUPUESTO[CUENTA],EJECUTADO[[#This Row],[CUENTA]],PRESUPUESTO[MONTO])-SUMIF($F$1:F880,EJECUTADO[[#This Row],[CUENTA]],$M$1:M880)</f>
        <v>7433.33</v>
      </c>
      <c r="M881" s="2">
        <v>225</v>
      </c>
      <c r="N881" s="84">
        <v>29.25</v>
      </c>
      <c r="O881" s="84">
        <v>19.579999999999998</v>
      </c>
      <c r="P881" s="162">
        <f>+EJECUTADO[[#This Row],[MONTO SOLICITADO]]-EJECUTADO[[#This Row],[RETENCION IVA]]-EJECUTADO[[#This Row],[RETENCION ISR]]</f>
        <v>176.17000000000002</v>
      </c>
      <c r="Q881" s="84" t="s">
        <v>1800</v>
      </c>
      <c r="R881" s="84"/>
      <c r="S881" s="112">
        <v>3252</v>
      </c>
      <c r="T881" s="168" t="str">
        <f t="shared" si="28"/>
        <v>EVENTOS ACADEMICOS, CULTURALES  E INSTITUCIONALES - SESIONES Y CONFERENCIAS   Disponible $7433.33 Solicitado $225 PRESUPUESTO: SI</v>
      </c>
    </row>
    <row r="882" spans="1:20" ht="30" x14ac:dyDescent="0.25">
      <c r="A882" s="6">
        <f t="shared" si="34"/>
        <v>834</v>
      </c>
      <c r="B882" s="21">
        <v>45362</v>
      </c>
      <c r="C882" s="126" t="s">
        <v>2245</v>
      </c>
      <c r="D882" s="65" t="s">
        <v>2235</v>
      </c>
      <c r="E882" s="65" t="s">
        <v>2246</v>
      </c>
      <c r="F882" s="37" t="s">
        <v>2237</v>
      </c>
      <c r="G882" s="161">
        <f>MONTH(EJECUTADO[[#This Row],[FECHA]])</f>
        <v>3</v>
      </c>
      <c r="H882" s="163" t="str">
        <f>MID(EJECUTADO[[#This Row],[CUENTA]],1,4)</f>
        <v>E-26</v>
      </c>
      <c r="I882" s="163" t="str">
        <f>INDEX(CATALOGO[Descripción],MATCH(EJECUTADO[[#This Row],[APLICACIÓN]]&amp;"-00-00-00",CATALOGO[Código],0))</f>
        <v>EVENTOS ACADEMICOS, CULTURALES  E INSTITUCIONALES</v>
      </c>
      <c r="J8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2" s="161" t="str">
        <f>IF((EJECUTADO[[#This Row],[MONTO DISPONIBLE ]]-EJECUTADO[[#This Row],[MONTO SOLICITADO]])&gt;=0,"PRESUPUESTO: SI","PRESUPUESTO: NO")</f>
        <v>PRESUPUESTO: SI</v>
      </c>
      <c r="L882" s="162">
        <f>SUMIF(PRESUPUESTO[CUENTA],EJECUTADO[[#This Row],[CUENTA]],PRESUPUESTO[MONTO])-SUMIF($F$1:F881,EJECUTADO[[#This Row],[CUENTA]],$M$1:M881)</f>
        <v>7208.33</v>
      </c>
      <c r="M882" s="2">
        <v>225</v>
      </c>
      <c r="N882" s="84">
        <v>29.25</v>
      </c>
      <c r="O882" s="84">
        <v>19.579999999999998</v>
      </c>
      <c r="P882" s="162">
        <f>+EJECUTADO[[#This Row],[MONTO SOLICITADO]]-EJECUTADO[[#This Row],[RETENCION IVA]]-EJECUTADO[[#This Row],[RETENCION ISR]]</f>
        <v>176.17000000000002</v>
      </c>
      <c r="Q882" s="84" t="s">
        <v>1800</v>
      </c>
      <c r="R882" s="84"/>
      <c r="S882" s="112">
        <v>3253</v>
      </c>
      <c r="T882" s="168" t="str">
        <f t="shared" si="28"/>
        <v>EVENTOS ACADEMICOS, CULTURALES  E INSTITUCIONALES - SESIONES Y CONFERENCIAS   Disponible $7208.33 Solicitado $225 PRESUPUESTO: SI</v>
      </c>
    </row>
    <row r="883" spans="1:20" ht="30" x14ac:dyDescent="0.25">
      <c r="A883" s="6">
        <f t="shared" si="34"/>
        <v>835</v>
      </c>
      <c r="B883" s="21">
        <v>45362</v>
      </c>
      <c r="C883" s="126" t="s">
        <v>2247</v>
      </c>
      <c r="D883" s="65" t="s">
        <v>2235</v>
      </c>
      <c r="E883" s="65" t="s">
        <v>2248</v>
      </c>
      <c r="F883" s="37" t="s">
        <v>2237</v>
      </c>
      <c r="G883" s="161">
        <f>MONTH(EJECUTADO[[#This Row],[FECHA]])</f>
        <v>3</v>
      </c>
      <c r="H883" s="163" t="str">
        <f>MID(EJECUTADO[[#This Row],[CUENTA]],1,4)</f>
        <v>E-26</v>
      </c>
      <c r="I883" s="163" t="str">
        <f>INDEX(CATALOGO[Descripción],MATCH(EJECUTADO[[#This Row],[APLICACIÓN]]&amp;"-00-00-00",CATALOGO[Código],0))</f>
        <v>EVENTOS ACADEMICOS, CULTURALES  E INSTITUCIONALES</v>
      </c>
      <c r="J8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3" s="161" t="str">
        <f>IF((EJECUTADO[[#This Row],[MONTO DISPONIBLE ]]-EJECUTADO[[#This Row],[MONTO SOLICITADO]])&gt;=0,"PRESUPUESTO: SI","PRESUPUESTO: NO")</f>
        <v>PRESUPUESTO: SI</v>
      </c>
      <c r="L883" s="162">
        <f>SUMIF(PRESUPUESTO[CUENTA],EJECUTADO[[#This Row],[CUENTA]],PRESUPUESTO[MONTO])-SUMIF($F$1:F882,EJECUTADO[[#This Row],[CUENTA]],$M$1:M882)</f>
        <v>6983.33</v>
      </c>
      <c r="M883" s="2">
        <v>225</v>
      </c>
      <c r="N883" s="84">
        <v>29.25</v>
      </c>
      <c r="O883" s="84">
        <v>19.579999999999998</v>
      </c>
      <c r="P883" s="162">
        <f>+EJECUTADO[[#This Row],[MONTO SOLICITADO]]-EJECUTADO[[#This Row],[RETENCION IVA]]-EJECUTADO[[#This Row],[RETENCION ISR]]</f>
        <v>176.17000000000002</v>
      </c>
      <c r="Q883" s="84" t="s">
        <v>1800</v>
      </c>
      <c r="R883" s="84"/>
      <c r="S883" s="112">
        <v>3254</v>
      </c>
      <c r="T883" s="168" t="str">
        <f t="shared" si="28"/>
        <v>EVENTOS ACADEMICOS, CULTURALES  E INSTITUCIONALES - SESIONES Y CONFERENCIAS   Disponible $6983.33 Solicitado $225 PRESUPUESTO: SI</v>
      </c>
    </row>
    <row r="884" spans="1:20" ht="30" x14ac:dyDescent="0.25">
      <c r="A884" s="6">
        <f t="shared" si="34"/>
        <v>836</v>
      </c>
      <c r="B884" s="21">
        <v>45362</v>
      </c>
      <c r="C884" s="126" t="s">
        <v>2249</v>
      </c>
      <c r="D884" s="65" t="s">
        <v>2235</v>
      </c>
      <c r="E884" s="65" t="s">
        <v>2250</v>
      </c>
      <c r="F884" s="37" t="s">
        <v>2237</v>
      </c>
      <c r="G884" s="161">
        <f>MONTH(EJECUTADO[[#This Row],[FECHA]])</f>
        <v>3</v>
      </c>
      <c r="H884" s="163" t="str">
        <f>MID(EJECUTADO[[#This Row],[CUENTA]],1,4)</f>
        <v>E-26</v>
      </c>
      <c r="I884" s="163" t="str">
        <f>INDEX(CATALOGO[Descripción],MATCH(EJECUTADO[[#This Row],[APLICACIÓN]]&amp;"-00-00-00",CATALOGO[Código],0))</f>
        <v>EVENTOS ACADEMICOS, CULTURALES  E INSTITUCIONALES</v>
      </c>
      <c r="J8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4" s="161" t="str">
        <f>IF((EJECUTADO[[#This Row],[MONTO DISPONIBLE ]]-EJECUTADO[[#This Row],[MONTO SOLICITADO]])&gt;=0,"PRESUPUESTO: SI","PRESUPUESTO: NO")</f>
        <v>PRESUPUESTO: SI</v>
      </c>
      <c r="L884" s="162">
        <f>SUMIF(PRESUPUESTO[CUENTA],EJECUTADO[[#This Row],[CUENTA]],PRESUPUESTO[MONTO])-SUMIF($F$1:F883,EJECUTADO[[#This Row],[CUENTA]],$M$1:M883)</f>
        <v>6758.33</v>
      </c>
      <c r="M884" s="2">
        <v>225</v>
      </c>
      <c r="N884" s="84">
        <v>29.25</v>
      </c>
      <c r="O884" s="84">
        <v>19.579999999999998</v>
      </c>
      <c r="P884" s="162">
        <f>+EJECUTADO[[#This Row],[MONTO SOLICITADO]]-EJECUTADO[[#This Row],[RETENCION IVA]]-EJECUTADO[[#This Row],[RETENCION ISR]]</f>
        <v>176.17000000000002</v>
      </c>
      <c r="Q884" s="84" t="s">
        <v>1800</v>
      </c>
      <c r="R884" s="84"/>
      <c r="S884" s="112">
        <v>3255</v>
      </c>
      <c r="T884" s="168" t="str">
        <f t="shared" si="28"/>
        <v>EVENTOS ACADEMICOS, CULTURALES  E INSTITUCIONALES - SESIONES Y CONFERENCIAS   Disponible $6758.33 Solicitado $225 PRESUPUESTO: SI</v>
      </c>
    </row>
    <row r="885" spans="1:20" ht="30" x14ac:dyDescent="0.25">
      <c r="A885" s="6">
        <f t="shared" si="34"/>
        <v>837</v>
      </c>
      <c r="B885" s="21">
        <v>45362</v>
      </c>
      <c r="C885" s="126" t="s">
        <v>2251</v>
      </c>
      <c r="D885" s="65" t="s">
        <v>2235</v>
      </c>
      <c r="E885" s="65" t="s">
        <v>2252</v>
      </c>
      <c r="F885" s="37" t="s">
        <v>2237</v>
      </c>
      <c r="G885" s="161">
        <f>MONTH(EJECUTADO[[#This Row],[FECHA]])</f>
        <v>3</v>
      </c>
      <c r="H885" s="163" t="str">
        <f>MID(EJECUTADO[[#This Row],[CUENTA]],1,4)</f>
        <v>E-26</v>
      </c>
      <c r="I885" s="163" t="str">
        <f>INDEX(CATALOGO[Descripción],MATCH(EJECUTADO[[#This Row],[APLICACIÓN]]&amp;"-00-00-00",CATALOGO[Código],0))</f>
        <v>EVENTOS ACADEMICOS, CULTURALES  E INSTITUCIONALES</v>
      </c>
      <c r="J8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5" s="161" t="str">
        <f>IF((EJECUTADO[[#This Row],[MONTO DISPONIBLE ]]-EJECUTADO[[#This Row],[MONTO SOLICITADO]])&gt;=0,"PRESUPUESTO: SI","PRESUPUESTO: NO")</f>
        <v>PRESUPUESTO: SI</v>
      </c>
      <c r="L885" s="162">
        <f>SUMIF(PRESUPUESTO[CUENTA],EJECUTADO[[#This Row],[CUENTA]],PRESUPUESTO[MONTO])-SUMIF($F$1:F884,EJECUTADO[[#This Row],[CUENTA]],$M$1:M884)</f>
        <v>6533.33</v>
      </c>
      <c r="M885" s="2">
        <v>225</v>
      </c>
      <c r="N885" s="84">
        <v>29.25</v>
      </c>
      <c r="O885" s="84">
        <v>19.579999999999998</v>
      </c>
      <c r="P885" s="162">
        <f>+EJECUTADO[[#This Row],[MONTO SOLICITADO]]-EJECUTADO[[#This Row],[RETENCION IVA]]-EJECUTADO[[#This Row],[RETENCION ISR]]</f>
        <v>176.17000000000002</v>
      </c>
      <c r="Q885" s="84" t="s">
        <v>1800</v>
      </c>
      <c r="R885" s="84"/>
      <c r="S885" s="112">
        <v>3256</v>
      </c>
      <c r="T885" s="168" t="str">
        <f t="shared" si="28"/>
        <v>EVENTOS ACADEMICOS, CULTURALES  E INSTITUCIONALES - SESIONES Y CONFERENCIAS   Disponible $6533.33 Solicitado $225 PRESUPUESTO: SI</v>
      </c>
    </row>
    <row r="886" spans="1:20" ht="30" x14ac:dyDescent="0.25">
      <c r="A886" s="6">
        <f t="shared" si="34"/>
        <v>838</v>
      </c>
      <c r="B886" s="21">
        <v>45362</v>
      </c>
      <c r="C886" s="126" t="s">
        <v>2253</v>
      </c>
      <c r="D886" s="65" t="s">
        <v>2235</v>
      </c>
      <c r="E886" s="65" t="s">
        <v>2254</v>
      </c>
      <c r="F886" s="37" t="s">
        <v>2237</v>
      </c>
      <c r="G886" s="161">
        <f>MONTH(EJECUTADO[[#This Row],[FECHA]])</f>
        <v>3</v>
      </c>
      <c r="H886" s="163" t="str">
        <f>MID(EJECUTADO[[#This Row],[CUENTA]],1,4)</f>
        <v>E-26</v>
      </c>
      <c r="I886" s="163" t="str">
        <f>INDEX(CATALOGO[Descripción],MATCH(EJECUTADO[[#This Row],[APLICACIÓN]]&amp;"-00-00-00",CATALOGO[Código],0))</f>
        <v>EVENTOS ACADEMICOS, CULTURALES  E INSTITUCIONALES</v>
      </c>
      <c r="J8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6" s="161" t="str">
        <f>IF((EJECUTADO[[#This Row],[MONTO DISPONIBLE ]]-EJECUTADO[[#This Row],[MONTO SOLICITADO]])&gt;=0,"PRESUPUESTO: SI","PRESUPUESTO: NO")</f>
        <v>PRESUPUESTO: SI</v>
      </c>
      <c r="L886" s="162">
        <f>SUMIF(PRESUPUESTO[CUENTA],EJECUTADO[[#This Row],[CUENTA]],PRESUPUESTO[MONTO])-SUMIF($F$1:F885,EJECUTADO[[#This Row],[CUENTA]],$M$1:M885)</f>
        <v>6308.33</v>
      </c>
      <c r="M886" s="2">
        <v>225</v>
      </c>
      <c r="N886" s="84">
        <v>29.25</v>
      </c>
      <c r="O886" s="84">
        <v>19.579999999999998</v>
      </c>
      <c r="P886" s="162">
        <f>+EJECUTADO[[#This Row],[MONTO SOLICITADO]]-EJECUTADO[[#This Row],[RETENCION IVA]]-EJECUTADO[[#This Row],[RETENCION ISR]]</f>
        <v>176.17000000000002</v>
      </c>
      <c r="Q886" s="84" t="s">
        <v>1800</v>
      </c>
      <c r="R886" s="84"/>
      <c r="S886" s="112">
        <v>3257</v>
      </c>
      <c r="T886" s="168" t="str">
        <f t="shared" si="28"/>
        <v>EVENTOS ACADEMICOS, CULTURALES  E INSTITUCIONALES - SESIONES Y CONFERENCIAS   Disponible $6308.33 Solicitado $225 PRESUPUESTO: SI</v>
      </c>
    </row>
    <row r="887" spans="1:20" ht="30" x14ac:dyDescent="0.25">
      <c r="A887" s="6">
        <f t="shared" si="34"/>
        <v>839</v>
      </c>
      <c r="B887" s="21">
        <v>45362</v>
      </c>
      <c r="C887" s="126" t="s">
        <v>1717</v>
      </c>
      <c r="D887" s="65" t="s">
        <v>2235</v>
      </c>
      <c r="E887" s="65" t="s">
        <v>2255</v>
      </c>
      <c r="F887" s="37" t="s">
        <v>2237</v>
      </c>
      <c r="G887" s="161">
        <f>MONTH(EJECUTADO[[#This Row],[FECHA]])</f>
        <v>3</v>
      </c>
      <c r="H887" s="163" t="str">
        <f>MID(EJECUTADO[[#This Row],[CUENTA]],1,4)</f>
        <v>E-26</v>
      </c>
      <c r="I887" s="163" t="str">
        <f>INDEX(CATALOGO[Descripción],MATCH(EJECUTADO[[#This Row],[APLICACIÓN]]&amp;"-00-00-00",CATALOGO[Código],0))</f>
        <v>EVENTOS ACADEMICOS, CULTURALES  E INSTITUCIONALES</v>
      </c>
      <c r="J8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7" s="161" t="str">
        <f>IF((EJECUTADO[[#This Row],[MONTO DISPONIBLE ]]-EJECUTADO[[#This Row],[MONTO SOLICITADO]])&gt;=0,"PRESUPUESTO: SI","PRESUPUESTO: NO")</f>
        <v>PRESUPUESTO: SI</v>
      </c>
      <c r="L887" s="162">
        <f>SUMIF(PRESUPUESTO[CUENTA],EJECUTADO[[#This Row],[CUENTA]],PRESUPUESTO[MONTO])-SUMIF($F$1:F886,EJECUTADO[[#This Row],[CUENTA]],$M$1:M886)</f>
        <v>6083.33</v>
      </c>
      <c r="M887" s="2">
        <v>225</v>
      </c>
      <c r="N887" s="84">
        <v>29.25</v>
      </c>
      <c r="O887" s="84">
        <v>19.579999999999998</v>
      </c>
      <c r="P887" s="162">
        <f>+EJECUTADO[[#This Row],[MONTO SOLICITADO]]-EJECUTADO[[#This Row],[RETENCION IVA]]-EJECUTADO[[#This Row],[RETENCION ISR]]</f>
        <v>176.17000000000002</v>
      </c>
      <c r="Q887" s="84" t="s">
        <v>1800</v>
      </c>
      <c r="R887" s="84"/>
      <c r="S887" s="112">
        <v>3258</v>
      </c>
      <c r="T887" s="168" t="str">
        <f t="shared" si="28"/>
        <v>EVENTOS ACADEMICOS, CULTURALES  E INSTITUCIONALES - SESIONES Y CONFERENCIAS   Disponible $6083.33 Solicitado $225 PRESUPUESTO: SI</v>
      </c>
    </row>
    <row r="888" spans="1:20" ht="30" x14ac:dyDescent="0.25">
      <c r="A888" s="6">
        <f t="shared" si="34"/>
        <v>840</v>
      </c>
      <c r="B888" s="21">
        <v>45362</v>
      </c>
      <c r="C888" s="126" t="s">
        <v>2256</v>
      </c>
      <c r="D888" s="65" t="s">
        <v>2235</v>
      </c>
      <c r="E888" s="65" t="s">
        <v>2257</v>
      </c>
      <c r="F888" s="37" t="s">
        <v>2237</v>
      </c>
      <c r="G888" s="161">
        <f>MONTH(EJECUTADO[[#This Row],[FECHA]])</f>
        <v>3</v>
      </c>
      <c r="H888" s="163" t="str">
        <f>MID(EJECUTADO[[#This Row],[CUENTA]],1,4)</f>
        <v>E-26</v>
      </c>
      <c r="I888" s="163" t="str">
        <f>INDEX(CATALOGO[Descripción],MATCH(EJECUTADO[[#This Row],[APLICACIÓN]]&amp;"-00-00-00",CATALOGO[Código],0))</f>
        <v>EVENTOS ACADEMICOS, CULTURALES  E INSTITUCIONALES</v>
      </c>
      <c r="J8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8" s="161" t="str">
        <f>IF((EJECUTADO[[#This Row],[MONTO DISPONIBLE ]]-EJECUTADO[[#This Row],[MONTO SOLICITADO]])&gt;=0,"PRESUPUESTO: SI","PRESUPUESTO: NO")</f>
        <v>PRESUPUESTO: SI</v>
      </c>
      <c r="L888" s="162">
        <f>SUMIF(PRESUPUESTO[CUENTA],EJECUTADO[[#This Row],[CUENTA]],PRESUPUESTO[MONTO])-SUMIF($F$1:F887,EJECUTADO[[#This Row],[CUENTA]],$M$1:M887)</f>
        <v>5858.33</v>
      </c>
      <c r="M888" s="2">
        <v>225</v>
      </c>
      <c r="N888" s="84">
        <v>29.25</v>
      </c>
      <c r="O888" s="84">
        <v>19.579999999999998</v>
      </c>
      <c r="P888" s="162">
        <f>+EJECUTADO[[#This Row],[MONTO SOLICITADO]]-EJECUTADO[[#This Row],[RETENCION IVA]]-EJECUTADO[[#This Row],[RETENCION ISR]]</f>
        <v>176.17000000000002</v>
      </c>
      <c r="Q888" s="84" t="s">
        <v>1800</v>
      </c>
      <c r="R888" s="84"/>
      <c r="S888" s="112">
        <v>3262</v>
      </c>
      <c r="T888" s="168" t="str">
        <f t="shared" si="28"/>
        <v>EVENTOS ACADEMICOS, CULTURALES  E INSTITUCIONALES - SESIONES Y CONFERENCIAS   Disponible $5858.33 Solicitado $225 PRESUPUESTO: SI</v>
      </c>
    </row>
    <row r="889" spans="1:20" ht="30" x14ac:dyDescent="0.25">
      <c r="A889" s="6">
        <f t="shared" si="34"/>
        <v>841</v>
      </c>
      <c r="B889" s="21">
        <v>45362</v>
      </c>
      <c r="C889" s="126" t="s">
        <v>2258</v>
      </c>
      <c r="D889" s="65" t="s">
        <v>2235</v>
      </c>
      <c r="E889" s="65" t="s">
        <v>2259</v>
      </c>
      <c r="F889" s="37" t="s">
        <v>2237</v>
      </c>
      <c r="G889" s="161">
        <f>MONTH(EJECUTADO[[#This Row],[FECHA]])</f>
        <v>3</v>
      </c>
      <c r="H889" s="163" t="str">
        <f>MID(EJECUTADO[[#This Row],[CUENTA]],1,4)</f>
        <v>E-26</v>
      </c>
      <c r="I889" s="163" t="str">
        <f>INDEX(CATALOGO[Descripción],MATCH(EJECUTADO[[#This Row],[APLICACIÓN]]&amp;"-00-00-00",CATALOGO[Código],0))</f>
        <v>EVENTOS ACADEMICOS, CULTURALES  E INSTITUCIONALES</v>
      </c>
      <c r="J8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89" s="161" t="str">
        <f>IF((EJECUTADO[[#This Row],[MONTO DISPONIBLE ]]-EJECUTADO[[#This Row],[MONTO SOLICITADO]])&gt;=0,"PRESUPUESTO: SI","PRESUPUESTO: NO")</f>
        <v>PRESUPUESTO: SI</v>
      </c>
      <c r="L889" s="162">
        <f>SUMIF(PRESUPUESTO[CUENTA],EJECUTADO[[#This Row],[CUENTA]],PRESUPUESTO[MONTO])-SUMIF($F$1:F888,EJECUTADO[[#This Row],[CUENTA]],$M$1:M888)</f>
        <v>5633.33</v>
      </c>
      <c r="M889" s="2">
        <v>225</v>
      </c>
      <c r="N889" s="84">
        <v>29.25</v>
      </c>
      <c r="O889" s="84">
        <v>19.579999999999998</v>
      </c>
      <c r="P889" s="162">
        <f>+EJECUTADO[[#This Row],[MONTO SOLICITADO]]-EJECUTADO[[#This Row],[RETENCION IVA]]-EJECUTADO[[#This Row],[RETENCION ISR]]</f>
        <v>176.17000000000002</v>
      </c>
      <c r="Q889" s="84" t="s">
        <v>1800</v>
      </c>
      <c r="R889" s="84"/>
      <c r="S889" s="112">
        <v>3259</v>
      </c>
      <c r="T889" s="168" t="str">
        <f t="shared" si="28"/>
        <v>EVENTOS ACADEMICOS, CULTURALES  E INSTITUCIONALES - SESIONES Y CONFERENCIAS   Disponible $5633.33 Solicitado $225 PRESUPUESTO: SI</v>
      </c>
    </row>
    <row r="890" spans="1:20" ht="30" x14ac:dyDescent="0.25">
      <c r="A890" s="6">
        <f t="shared" si="34"/>
        <v>842</v>
      </c>
      <c r="B890" s="21">
        <v>45362</v>
      </c>
      <c r="C890" s="126" t="s">
        <v>2260</v>
      </c>
      <c r="D890" s="65" t="s">
        <v>2235</v>
      </c>
      <c r="E890" s="65" t="s">
        <v>2261</v>
      </c>
      <c r="F890" s="37" t="s">
        <v>2237</v>
      </c>
      <c r="G890" s="161">
        <f>MONTH(EJECUTADO[[#This Row],[FECHA]])</f>
        <v>3</v>
      </c>
      <c r="H890" s="163" t="str">
        <f>MID(EJECUTADO[[#This Row],[CUENTA]],1,4)</f>
        <v>E-26</v>
      </c>
      <c r="I890" s="163" t="str">
        <f>INDEX(CATALOGO[Descripción],MATCH(EJECUTADO[[#This Row],[APLICACIÓN]]&amp;"-00-00-00",CATALOGO[Código],0))</f>
        <v>EVENTOS ACADEMICOS, CULTURALES  E INSTITUCIONALES</v>
      </c>
      <c r="J8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90" s="161" t="str">
        <f>IF((EJECUTADO[[#This Row],[MONTO DISPONIBLE ]]-EJECUTADO[[#This Row],[MONTO SOLICITADO]])&gt;=0,"PRESUPUESTO: SI","PRESUPUESTO: NO")</f>
        <v>PRESUPUESTO: SI</v>
      </c>
      <c r="L890" s="162">
        <f>SUMIF(PRESUPUESTO[CUENTA],EJECUTADO[[#This Row],[CUENTA]],PRESUPUESTO[MONTO])-SUMIF($F$1:F889,EJECUTADO[[#This Row],[CUENTA]],$M$1:M889)</f>
        <v>5408.33</v>
      </c>
      <c r="M890" s="2">
        <v>225</v>
      </c>
      <c r="N890" s="84">
        <v>29.25</v>
      </c>
      <c r="O890" s="84">
        <v>19.579999999999998</v>
      </c>
      <c r="P890" s="162">
        <f>+EJECUTADO[[#This Row],[MONTO SOLICITADO]]-EJECUTADO[[#This Row],[RETENCION IVA]]-EJECUTADO[[#This Row],[RETENCION ISR]]</f>
        <v>176.17000000000002</v>
      </c>
      <c r="Q890" s="84" t="s">
        <v>1800</v>
      </c>
      <c r="R890" s="84"/>
      <c r="S890" s="112">
        <v>3260</v>
      </c>
      <c r="T890" s="168" t="str">
        <f t="shared" si="28"/>
        <v>EVENTOS ACADEMICOS, CULTURALES  E INSTITUCIONALES - SESIONES Y CONFERENCIAS   Disponible $5408.33 Solicitado $225 PRESUPUESTO: SI</v>
      </c>
    </row>
    <row r="891" spans="1:20" ht="30" x14ac:dyDescent="0.25">
      <c r="A891" s="6">
        <f t="shared" si="34"/>
        <v>843</v>
      </c>
      <c r="B891" s="21">
        <v>45362</v>
      </c>
      <c r="C891" s="126" t="s">
        <v>2262</v>
      </c>
      <c r="D891" s="65" t="s">
        <v>2235</v>
      </c>
      <c r="E891" s="65" t="s">
        <v>2263</v>
      </c>
      <c r="F891" s="37" t="s">
        <v>2237</v>
      </c>
      <c r="G891" s="161">
        <f>MONTH(EJECUTADO[[#This Row],[FECHA]])</f>
        <v>3</v>
      </c>
      <c r="H891" s="163" t="str">
        <f>MID(EJECUTADO[[#This Row],[CUENTA]],1,4)</f>
        <v>E-26</v>
      </c>
      <c r="I891" s="163" t="str">
        <f>INDEX(CATALOGO[Descripción],MATCH(EJECUTADO[[#This Row],[APLICACIÓN]]&amp;"-00-00-00",CATALOGO[Código],0))</f>
        <v>EVENTOS ACADEMICOS, CULTURALES  E INSTITUCIONALES</v>
      </c>
      <c r="J8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891" s="161" t="str">
        <f>IF((EJECUTADO[[#This Row],[MONTO DISPONIBLE ]]-EJECUTADO[[#This Row],[MONTO SOLICITADO]])&gt;=0,"PRESUPUESTO: SI","PRESUPUESTO: NO")</f>
        <v>PRESUPUESTO: SI</v>
      </c>
      <c r="L891" s="162">
        <f>SUMIF(PRESUPUESTO[CUENTA],EJECUTADO[[#This Row],[CUENTA]],PRESUPUESTO[MONTO])-SUMIF($F$1:F890,EJECUTADO[[#This Row],[CUENTA]],$M$1:M890)</f>
        <v>5183.33</v>
      </c>
      <c r="M891" s="2">
        <v>225</v>
      </c>
      <c r="N891" s="84">
        <v>29.25</v>
      </c>
      <c r="O891" s="84">
        <v>19.579999999999998</v>
      </c>
      <c r="P891" s="162">
        <f>+EJECUTADO[[#This Row],[MONTO SOLICITADO]]-EJECUTADO[[#This Row],[RETENCION IVA]]-EJECUTADO[[#This Row],[RETENCION ISR]]</f>
        <v>176.17000000000002</v>
      </c>
      <c r="Q891" s="84" t="s">
        <v>1800</v>
      </c>
      <c r="R891" s="84"/>
      <c r="S891" s="112">
        <v>3261</v>
      </c>
      <c r="T891" s="168" t="str">
        <f t="shared" si="28"/>
        <v>EVENTOS ACADEMICOS, CULTURALES  E INSTITUCIONALES - SESIONES Y CONFERENCIAS   Disponible $5183.33 Solicitado $225 PRESUPUESTO: SI</v>
      </c>
    </row>
    <row r="892" spans="1:20" ht="75" x14ac:dyDescent="0.25">
      <c r="A892" s="6">
        <v>844</v>
      </c>
      <c r="B892" s="21">
        <v>45362</v>
      </c>
      <c r="C892" s="126" t="s">
        <v>1079</v>
      </c>
      <c r="D892" s="65" t="s">
        <v>2264</v>
      </c>
      <c r="E892" s="65"/>
      <c r="F892" t="s">
        <v>1081</v>
      </c>
      <c r="G892" s="161">
        <f>MONTH(EJECUTADO[[#This Row],[FECHA]])</f>
        <v>3</v>
      </c>
      <c r="H892" s="163" t="str">
        <f>MID(EJECUTADO[[#This Row],[CUENTA]],1,4)</f>
        <v>E-10</v>
      </c>
      <c r="I892" s="163" t="str">
        <f>INDEX(CATALOGO[Descripción],MATCH(EJECUTADO[[#This Row],[APLICACIÓN]]&amp;"-00-00-00",CATALOGO[Código],0))</f>
        <v>SERVICIOS PUBLICOS</v>
      </c>
      <c r="J8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892" s="161" t="str">
        <f>IF((EJECUTADO[[#This Row],[MONTO DISPONIBLE ]]-EJECUTADO[[#This Row],[MONTO SOLICITADO]])&gt;=0,"PRESUPUESTO: SI","PRESUPUESTO: NO")</f>
        <v>PRESUPUESTO: SI</v>
      </c>
      <c r="L892" s="162">
        <f>SUMIF(PRESUPUESTO[CUENTA],EJECUTADO[[#This Row],[CUENTA]],PRESUPUESTO[MONTO])-SUMIF($F$1:F891,EJECUTADO[[#This Row],[CUENTA]],$M$1:M891)</f>
        <v>316287.48</v>
      </c>
      <c r="M892" s="2">
        <v>6693</v>
      </c>
      <c r="N892" s="84"/>
      <c r="O892" s="84"/>
      <c r="P892" s="162">
        <f>+EJECUTADO[[#This Row],[MONTO SOLICITADO]]-EJECUTADO[[#This Row],[RETENCION IVA]]-EJECUTADO[[#This Row],[RETENCION ISR]]</f>
        <v>6693</v>
      </c>
      <c r="Q892" s="84" t="s">
        <v>1786</v>
      </c>
      <c r="R892" s="84"/>
      <c r="S892" s="112">
        <v>3265</v>
      </c>
      <c r="T892" s="168" t="str">
        <f t="shared" si="28"/>
        <v>SERVICIOS PUBLICOS - ENERGÍA ELÉCTRICA Disponible $316287.48 Solicitado $6693 PRESUPUESTO: SI</v>
      </c>
    </row>
    <row r="893" spans="1:20" ht="75" x14ac:dyDescent="0.25">
      <c r="A893" s="6">
        <v>844</v>
      </c>
      <c r="B893" s="21">
        <v>45362</v>
      </c>
      <c r="C893" s="126" t="s">
        <v>1079</v>
      </c>
      <c r="D893" s="65" t="s">
        <v>2264</v>
      </c>
      <c r="E893" s="65"/>
      <c r="F893" t="s">
        <v>1082</v>
      </c>
      <c r="G893" s="161">
        <f>MONTH(EJECUTADO[[#This Row],[FECHA]])</f>
        <v>3</v>
      </c>
      <c r="H893" s="163" t="str">
        <f>MID(EJECUTADO[[#This Row],[CUENTA]],1,4)</f>
        <v>E-10</v>
      </c>
      <c r="I893" s="163" t="str">
        <f>INDEX(CATALOGO[Descripción],MATCH(EJECUTADO[[#This Row],[APLICACIÓN]]&amp;"-00-00-00",CATALOGO[Código],0))</f>
        <v>SERVICIOS PUBLICOS</v>
      </c>
      <c r="J8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893" s="161" t="str">
        <f>IF((EJECUTADO[[#This Row],[MONTO DISPONIBLE ]]-EJECUTADO[[#This Row],[MONTO SOLICITADO]])&gt;=0,"PRESUPUESTO: SI","PRESUPUESTO: NO")</f>
        <v>PRESUPUESTO: SI</v>
      </c>
      <c r="L893" s="162">
        <f>SUMIF(PRESUPUESTO[CUENTA],EJECUTADO[[#This Row],[CUENTA]],PRESUPUESTO[MONTO])-SUMIF($F$1:F892,EJECUTADO[[#This Row],[CUENTA]],$M$1:M892)</f>
        <v>144138.29</v>
      </c>
      <c r="M893" s="2">
        <v>552.22</v>
      </c>
      <c r="N893" s="84"/>
      <c r="O893" s="84"/>
      <c r="P893" s="162">
        <f>+EJECUTADO[[#This Row],[MONTO SOLICITADO]]-EJECUTADO[[#This Row],[RETENCION IVA]]-EJECUTADO[[#This Row],[RETENCION ISR]]</f>
        <v>552.22</v>
      </c>
      <c r="Q893" s="84" t="s">
        <v>1786</v>
      </c>
      <c r="R893" s="84"/>
      <c r="S893" s="151">
        <v>3265</v>
      </c>
      <c r="T893" s="168" t="str">
        <f t="shared" si="28"/>
        <v>SERVICIOS PUBLICOS - IMPUESTOS FISCALES  Disponible $144138.29 Solicitado $552.22 PRESUPUESTO: SI</v>
      </c>
    </row>
    <row r="894" spans="1:20" ht="37.5" customHeight="1" x14ac:dyDescent="0.25">
      <c r="A894" s="6">
        <f t="shared" si="34"/>
        <v>845</v>
      </c>
      <c r="B894" s="21">
        <v>45363</v>
      </c>
      <c r="C894" s="126" t="s">
        <v>2265</v>
      </c>
      <c r="D894" s="65" t="s">
        <v>2266</v>
      </c>
      <c r="E894" s="65" t="s">
        <v>1915</v>
      </c>
      <c r="F894" t="s">
        <v>1470</v>
      </c>
      <c r="G894" s="161">
        <f>MONTH(EJECUTADO[[#This Row],[FECHA]])</f>
        <v>3</v>
      </c>
      <c r="H894" s="163" t="str">
        <f>MID(EJECUTADO[[#This Row],[CUENTA]],1,4)</f>
        <v>E-25</v>
      </c>
      <c r="I894" s="163" t="str">
        <f>INDEX(CATALOGO[Descripción],MATCH(EJECUTADO[[#This Row],[APLICACIÓN]]&amp;"-00-00-00",CATALOGO[Código],0))</f>
        <v>DECANATO DE ESTUDIANTES</v>
      </c>
      <c r="J8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894" s="161" t="str">
        <f>IF((EJECUTADO[[#This Row],[MONTO DISPONIBLE ]]-EJECUTADO[[#This Row],[MONTO SOLICITADO]])&gt;=0,"PRESUPUESTO: SI","PRESUPUESTO: NO")</f>
        <v>PRESUPUESTO: SI</v>
      </c>
      <c r="L894" s="162">
        <f>SUMIF(PRESUPUESTO[CUENTA],EJECUTADO[[#This Row],[CUENTA]],PRESUPUESTO[MONTO])-SUMIF($F$1:F893,EJECUTADO[[#This Row],[CUENTA]],$M$1:M893)</f>
        <v>47800</v>
      </c>
      <c r="M894" s="2">
        <v>188.47</v>
      </c>
      <c r="N894" s="84"/>
      <c r="O894" s="84"/>
      <c r="P894" s="162">
        <f>+EJECUTADO[[#This Row],[MONTO SOLICITADO]]-EJECUTADO[[#This Row],[RETENCION IVA]]-EJECUTADO[[#This Row],[RETENCION ISR]]</f>
        <v>188.47</v>
      </c>
      <c r="Q894" s="84" t="s">
        <v>1554</v>
      </c>
      <c r="R894" s="84"/>
      <c r="S894" s="112">
        <v>756</v>
      </c>
      <c r="T894" s="168" t="str">
        <f t="shared" si="28"/>
        <v>DECANATO DE ESTUDIANTES - SUELDOS Y SALARIOS Disponible $47800 Solicitado $188.47 PRESUPUESTO: SI</v>
      </c>
    </row>
    <row r="895" spans="1:20" ht="60" x14ac:dyDescent="0.25">
      <c r="A895" s="149">
        <f t="shared" si="34"/>
        <v>846</v>
      </c>
      <c r="B895" s="21">
        <v>45363</v>
      </c>
      <c r="C895" s="126" t="s">
        <v>1289</v>
      </c>
      <c r="D895" s="65" t="s">
        <v>2267</v>
      </c>
      <c r="E895" s="65" t="s">
        <v>1915</v>
      </c>
      <c r="F895" t="s">
        <v>1286</v>
      </c>
      <c r="G895" s="161">
        <f>MONTH(EJECUTADO[[#This Row],[FECHA]])</f>
        <v>3</v>
      </c>
      <c r="H895" s="163" t="str">
        <f>MID(EJECUTADO[[#This Row],[CUENTA]],1,4)</f>
        <v>E-09</v>
      </c>
      <c r="I895" s="163" t="str">
        <f>INDEX(CATALOGO[Descripción],MATCH(EJECUTADO[[#This Row],[APLICACIÓN]]&amp;"-00-00-00",CATALOGO[Código],0))</f>
        <v>PRESTACIONES AL PERSONAL</v>
      </c>
      <c r="J8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895" s="161" t="str">
        <f>IF((EJECUTADO[[#This Row],[MONTO DISPONIBLE ]]-EJECUTADO[[#This Row],[MONTO SOLICITADO]])&gt;=0,"PRESUPUESTO: SI","PRESUPUESTO: NO")</f>
        <v>PRESUPUESTO: SI</v>
      </c>
      <c r="L895" s="162">
        <f>SUMIF(PRESUPUESTO[CUENTA],EJECUTADO[[#This Row],[CUENTA]],PRESUPUESTO[MONTO])-SUMIF($F$1:F894,EJECUTADO[[#This Row],[CUENTA]],$M$1:M894)</f>
        <v>20162.13</v>
      </c>
      <c r="M895" s="146">
        <v>140</v>
      </c>
      <c r="N895" s="150"/>
      <c r="O895" s="150"/>
      <c r="P895" s="162">
        <f>+EJECUTADO[[#This Row],[MONTO SOLICITADO]]-EJECUTADO[[#This Row],[RETENCION IVA]]-EJECUTADO[[#This Row],[RETENCION ISR]]</f>
        <v>140</v>
      </c>
      <c r="Q895" s="150" t="s">
        <v>1554</v>
      </c>
      <c r="R895" s="150"/>
      <c r="S895" s="112">
        <v>3266</v>
      </c>
      <c r="T895" s="168" t="str">
        <f t="shared" si="28"/>
        <v>PRESTACIONES AL PERSONAL - Cuotas Clubes Sociales Disponible $20162.13 Solicitado $140 PRESUPUESTO: SI</v>
      </c>
    </row>
    <row r="896" spans="1:20" ht="45" x14ac:dyDescent="0.25">
      <c r="A896" s="149">
        <f t="shared" si="34"/>
        <v>847</v>
      </c>
      <c r="B896" s="21">
        <v>45363</v>
      </c>
      <c r="C896" s="126" t="s">
        <v>1289</v>
      </c>
      <c r="D896" s="65" t="s">
        <v>2268</v>
      </c>
      <c r="E896" s="65" t="s">
        <v>1915</v>
      </c>
      <c r="F896" t="s">
        <v>1695</v>
      </c>
      <c r="G896" s="161">
        <f>MONTH(EJECUTADO[[#This Row],[FECHA]])</f>
        <v>3</v>
      </c>
      <c r="H896" s="163" t="str">
        <f>MID(EJECUTADO[[#This Row],[CUENTA]],1,4)</f>
        <v>E-25</v>
      </c>
      <c r="I896" s="163" t="str">
        <f>INDEX(CATALOGO[Descripción],MATCH(EJECUTADO[[#This Row],[APLICACIÓN]]&amp;"-00-00-00",CATALOGO[Código],0))</f>
        <v>DECANATO DE ESTUDIANTES</v>
      </c>
      <c r="J8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MEMBRESIAS</v>
      </c>
      <c r="K896" s="161" t="str">
        <f>IF((EJECUTADO[[#This Row],[MONTO DISPONIBLE ]]-EJECUTADO[[#This Row],[MONTO SOLICITADO]])&gt;=0,"PRESUPUESTO: SI","PRESUPUESTO: NO")</f>
        <v>PRESUPUESTO: SI</v>
      </c>
      <c r="L896" s="162">
        <f>SUMIF(PRESUPUESTO[CUENTA],EJECUTADO[[#This Row],[CUENTA]],PRESUPUESTO[MONTO])-SUMIF($F$1:F895,EJECUTADO[[#This Row],[CUENTA]],$M$1:M895)</f>
        <v>1390</v>
      </c>
      <c r="M896" s="146">
        <v>140</v>
      </c>
      <c r="N896" s="150"/>
      <c r="O896" s="150"/>
      <c r="P896" s="162">
        <f>+EJECUTADO[[#This Row],[MONTO SOLICITADO]]-EJECUTADO[[#This Row],[RETENCION IVA]]-EJECUTADO[[#This Row],[RETENCION ISR]]</f>
        <v>140</v>
      </c>
      <c r="Q896" s="150" t="s">
        <v>1554</v>
      </c>
      <c r="R896" s="150"/>
      <c r="S896" s="112">
        <v>3266</v>
      </c>
      <c r="T896" s="168" t="str">
        <f t="shared" si="28"/>
        <v>DECANATO DE ESTUDIANTES - MEMBRESIAS Disponible $1390 Solicitado $140 PRESUPUESTO: SI</v>
      </c>
    </row>
    <row r="897" spans="1:20" ht="45" x14ac:dyDescent="0.25">
      <c r="A897" s="149">
        <f t="shared" si="34"/>
        <v>848</v>
      </c>
      <c r="B897" s="21">
        <v>45363</v>
      </c>
      <c r="C897" s="126" t="s">
        <v>1289</v>
      </c>
      <c r="D897" s="65" t="s">
        <v>2268</v>
      </c>
      <c r="E897" s="65" t="s">
        <v>1915</v>
      </c>
      <c r="F897" t="s">
        <v>1286</v>
      </c>
      <c r="G897" s="161">
        <f>MONTH(EJECUTADO[[#This Row],[FECHA]])</f>
        <v>3</v>
      </c>
      <c r="H897" s="163" t="str">
        <f>MID(EJECUTADO[[#This Row],[CUENTA]],1,4)</f>
        <v>E-09</v>
      </c>
      <c r="I897" s="163" t="str">
        <f>INDEX(CATALOGO[Descripción],MATCH(EJECUTADO[[#This Row],[APLICACIÓN]]&amp;"-00-00-00",CATALOGO[Código],0))</f>
        <v>PRESTACIONES AL PERSONAL</v>
      </c>
      <c r="J8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897" s="161" t="str">
        <f>IF((EJECUTADO[[#This Row],[MONTO DISPONIBLE ]]-EJECUTADO[[#This Row],[MONTO SOLICITADO]])&gt;=0,"PRESUPUESTO: SI","PRESUPUESTO: NO")</f>
        <v>PRESUPUESTO: SI</v>
      </c>
      <c r="L897" s="162">
        <f>SUMIF(PRESUPUESTO[CUENTA],EJECUTADO[[#This Row],[CUENTA]],PRESUPUESTO[MONTO])-SUMIF($F$1:F896,EJECUTADO[[#This Row],[CUENTA]],$M$1:M896)</f>
        <v>20022.13</v>
      </c>
      <c r="M897" s="146">
        <v>420</v>
      </c>
      <c r="N897" s="150"/>
      <c r="O897" s="150"/>
      <c r="P897" s="162">
        <f>+EJECUTADO[[#This Row],[MONTO SOLICITADO]]-EJECUTADO[[#This Row],[RETENCION IVA]]-EJECUTADO[[#This Row],[RETENCION ISR]]</f>
        <v>420</v>
      </c>
      <c r="Q897" s="150" t="s">
        <v>1554</v>
      </c>
      <c r="R897" s="150"/>
      <c r="S897" s="112">
        <v>3266</v>
      </c>
      <c r="T897" s="168" t="str">
        <f t="shared" si="28"/>
        <v>PRESTACIONES AL PERSONAL - Cuotas Clubes Sociales Disponible $20022.13 Solicitado $420 PRESUPUESTO: SI</v>
      </c>
    </row>
    <row r="898" spans="1:20" ht="30" x14ac:dyDescent="0.25">
      <c r="A898" s="6">
        <v>849</v>
      </c>
      <c r="B898" s="21">
        <v>45363</v>
      </c>
      <c r="C898" s="126" t="s">
        <v>1083</v>
      </c>
      <c r="D898" s="65" t="s">
        <v>2269</v>
      </c>
      <c r="E898" s="65"/>
      <c r="F898" t="s">
        <v>1084</v>
      </c>
      <c r="G898" s="161">
        <f>MONTH(EJECUTADO[[#This Row],[FECHA]])</f>
        <v>3</v>
      </c>
      <c r="H898" s="163" t="str">
        <f>MID(EJECUTADO[[#This Row],[CUENTA]],1,4)</f>
        <v>E-10</v>
      </c>
      <c r="I898" s="163" t="str">
        <f>INDEX(CATALOGO[Descripción],MATCH(EJECUTADO[[#This Row],[APLICACIÓN]]&amp;"-00-00-00",CATALOGO[Código],0))</f>
        <v>SERVICIOS PUBLICOS</v>
      </c>
      <c r="J8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898" s="161" t="str">
        <f>IF((EJECUTADO[[#This Row],[MONTO DISPONIBLE ]]-EJECUTADO[[#This Row],[MONTO SOLICITADO]])&gt;=0,"PRESUPUESTO: SI","PRESUPUESTO: NO")</f>
        <v>PRESUPUESTO: SI</v>
      </c>
      <c r="L898" s="162">
        <f>SUMIF(PRESUPUESTO[CUENTA],EJECUTADO[[#This Row],[CUENTA]],PRESUPUESTO[MONTO])-SUMIF($F$1:F897,EJECUTADO[[#This Row],[CUENTA]],$M$1:M897)</f>
        <v>77535.86</v>
      </c>
      <c r="M898" s="2">
        <v>7670.89</v>
      </c>
      <c r="N898" s="84"/>
      <c r="O898" s="84"/>
      <c r="P898" s="162">
        <f>+EJECUTADO[[#This Row],[MONTO SOLICITADO]]-EJECUTADO[[#This Row],[RETENCION IVA]]-EJECUTADO[[#This Row],[RETENCION ISR]]</f>
        <v>7670.89</v>
      </c>
      <c r="Q898" s="84" t="s">
        <v>1786</v>
      </c>
      <c r="R898" s="84"/>
      <c r="S898" s="112">
        <v>3273</v>
      </c>
      <c r="T898" s="168" t="str">
        <f t="shared" si="28"/>
        <v>SERVICIOS PUBLICOS - SERVICIO DE AGUA Disponible $77535.86 Solicitado $7670.89 PRESUPUESTO: SI</v>
      </c>
    </row>
    <row r="899" spans="1:20" ht="30" x14ac:dyDescent="0.25">
      <c r="A899" s="6">
        <f t="shared" si="34"/>
        <v>850</v>
      </c>
      <c r="B899" s="21">
        <v>45363</v>
      </c>
      <c r="C899" s="126" t="s">
        <v>2270</v>
      </c>
      <c r="D899" s="65" t="s">
        <v>2271</v>
      </c>
      <c r="E899" s="65" t="s">
        <v>1915</v>
      </c>
      <c r="F899" t="s">
        <v>1082</v>
      </c>
      <c r="G899" s="161">
        <f>MONTH(EJECUTADO[[#This Row],[FECHA]])</f>
        <v>3</v>
      </c>
      <c r="H899" s="163" t="str">
        <f>MID(EJECUTADO[[#This Row],[CUENTA]],1,4)</f>
        <v>E-10</v>
      </c>
      <c r="I899" s="163" t="str">
        <f>INDEX(CATALOGO[Descripción],MATCH(EJECUTADO[[#This Row],[APLICACIÓN]]&amp;"-00-00-00",CATALOGO[Código],0))</f>
        <v>SERVICIOS PUBLICOS</v>
      </c>
      <c r="J8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899" s="161" t="str">
        <f>IF((EJECUTADO[[#This Row],[MONTO DISPONIBLE ]]-EJECUTADO[[#This Row],[MONTO SOLICITADO]])&gt;=0,"PRESUPUESTO: SI","PRESUPUESTO: NO")</f>
        <v>PRESUPUESTO: SI</v>
      </c>
      <c r="L899" s="162">
        <f>SUMIF(PRESUPUESTO[CUENTA],EJECUTADO[[#This Row],[CUENTA]],PRESUPUESTO[MONTO])-SUMIF($F$1:F898,EJECUTADO[[#This Row],[CUENTA]],$M$1:M898)</f>
        <v>143586.07</v>
      </c>
      <c r="M899" s="2">
        <v>2620.64</v>
      </c>
      <c r="N899" s="84"/>
      <c r="O899" s="84"/>
      <c r="P899" s="162">
        <f>+EJECUTADO[[#This Row],[MONTO SOLICITADO]]-EJECUTADO[[#This Row],[RETENCION IVA]]-EJECUTADO[[#This Row],[RETENCION ISR]]</f>
        <v>2620.64</v>
      </c>
      <c r="Q899" s="84" t="s">
        <v>1800</v>
      </c>
      <c r="R899" s="84"/>
      <c r="S899" s="112">
        <v>32105</v>
      </c>
      <c r="T899" s="168" t="str">
        <f t="shared" si="28"/>
        <v>SERVICIOS PUBLICOS - IMPUESTOS FISCALES  Disponible $143586.07 Solicitado $2620.64 PRESUPUESTO: SI</v>
      </c>
    </row>
    <row r="900" spans="1:20" ht="30" x14ac:dyDescent="0.25">
      <c r="A900" s="6">
        <f t="shared" si="34"/>
        <v>851</v>
      </c>
      <c r="B900" s="21">
        <v>45363</v>
      </c>
      <c r="C900" s="154" t="s">
        <v>2272</v>
      </c>
      <c r="D900" s="65" t="s">
        <v>2273</v>
      </c>
      <c r="E900" s="65" t="s">
        <v>1915</v>
      </c>
      <c r="F900" t="s">
        <v>2274</v>
      </c>
      <c r="G900" s="161">
        <f>MONTH(EJECUTADO[[#This Row],[FECHA]])</f>
        <v>3</v>
      </c>
      <c r="H900" s="163" t="str">
        <f>MID(EJECUTADO[[#This Row],[CUENTA]],1,4)</f>
        <v>E-24</v>
      </c>
      <c r="I900" s="163" t="str">
        <f>INDEX(CATALOGO[Descripción],MATCH(EJECUTADO[[#This Row],[APLICACIÓN]]&amp;"-00-00-00",CATALOGO[Código],0))</f>
        <v>NUEVO INGRESO</v>
      </c>
      <c r="J9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 de colegios -Refrigerios</v>
      </c>
      <c r="K900" s="161" t="str">
        <f>IF((EJECUTADO[[#This Row],[MONTO DISPONIBLE ]]-EJECUTADO[[#This Row],[MONTO SOLICITADO]])&gt;=0,"PRESUPUESTO: SI","PRESUPUESTO: NO")</f>
        <v>PRESUPUESTO: NO</v>
      </c>
      <c r="L900" s="162">
        <f>SUMIF(PRESUPUESTO[CUENTA],EJECUTADO[[#This Row],[CUENTA]],PRESUPUESTO[MONTO])-SUMIF($F$1:F899,EJECUTADO[[#This Row],[CUENTA]],$M$1:M899)</f>
        <v>1500</v>
      </c>
      <c r="M900" s="2">
        <v>1910.76</v>
      </c>
      <c r="N900" s="84"/>
      <c r="O900" s="84"/>
      <c r="P900" s="162">
        <f>+EJECUTADO[[#This Row],[MONTO SOLICITADO]]-EJECUTADO[[#This Row],[RETENCION IVA]]-EJECUTADO[[#This Row],[RETENCION ISR]]</f>
        <v>1910.76</v>
      </c>
      <c r="Q900" s="84"/>
      <c r="R900" s="84"/>
      <c r="S900" s="134">
        <v>545</v>
      </c>
      <c r="T900" s="168" t="str">
        <f t="shared" si="28"/>
        <v>NUEVO INGRESO - Red de colegios -Refrigerios Disponible $1500 Solicitado $1910.76 PRESUPUESTO: NO</v>
      </c>
    </row>
    <row r="901" spans="1:20" ht="45" x14ac:dyDescent="0.25">
      <c r="A901" s="6">
        <f t="shared" si="34"/>
        <v>852</v>
      </c>
      <c r="B901" s="21">
        <v>45363</v>
      </c>
      <c r="C901" s="126" t="s">
        <v>2275</v>
      </c>
      <c r="D901" s="65" t="s">
        <v>1342</v>
      </c>
      <c r="E901" s="65" t="s">
        <v>1915</v>
      </c>
      <c r="F901" t="s">
        <v>1032</v>
      </c>
      <c r="G901" s="161">
        <f>MONTH(EJECUTADO[[#This Row],[FECHA]])</f>
        <v>3</v>
      </c>
      <c r="H901" s="163" t="str">
        <f>MID(EJECUTADO[[#This Row],[CUENTA]],1,4)</f>
        <v>E-09</v>
      </c>
      <c r="I901" s="163" t="str">
        <f>INDEX(CATALOGO[Descripción],MATCH(EJECUTADO[[#This Row],[APLICACIÓN]]&amp;"-00-00-00",CATALOGO[Código],0))</f>
        <v>PRESTACIONES AL PERSONAL</v>
      </c>
      <c r="J9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901" s="161" t="str">
        <f>IF((EJECUTADO[[#This Row],[MONTO DISPONIBLE ]]-EJECUTADO[[#This Row],[MONTO SOLICITADO]])&gt;=0,"PRESUPUESTO: SI","PRESUPUESTO: NO")</f>
        <v>PRESUPUESTO: SI</v>
      </c>
      <c r="L901" s="162">
        <f>SUMIF(PRESUPUESTO[CUENTA],EJECUTADO[[#This Row],[CUENTA]],PRESUPUESTO[MONTO])-SUMIF($F$1:F900,EJECUTADO[[#This Row],[CUENTA]],$M$1:M900)</f>
        <v>76484.41</v>
      </c>
      <c r="M901" s="2">
        <v>820.64</v>
      </c>
      <c r="N901" s="84"/>
      <c r="O901" s="84"/>
      <c r="P901" s="162">
        <f>+EJECUTADO[[#This Row],[MONTO SOLICITADO]]-EJECUTADO[[#This Row],[RETENCION IVA]]-EJECUTADO[[#This Row],[RETENCION ISR]]</f>
        <v>820.64</v>
      </c>
      <c r="Q901" s="84" t="s">
        <v>1554</v>
      </c>
      <c r="R901" s="84"/>
      <c r="S901">
        <v>1</v>
      </c>
      <c r="T901" s="168" t="str">
        <f t="shared" si="28"/>
        <v>PRESTACIONES AL PERSONAL - Liquidaciones laborales y compensaciones Disponible $76484.41 Solicitado $820.64 PRESUPUESTO: SI</v>
      </c>
    </row>
    <row r="902" spans="1:20" ht="60" x14ac:dyDescent="0.25">
      <c r="A902" s="6">
        <f t="shared" si="34"/>
        <v>853</v>
      </c>
      <c r="B902" s="21">
        <v>45364</v>
      </c>
      <c r="C902" s="126" t="s">
        <v>2276</v>
      </c>
      <c r="D902" s="65" t="s">
        <v>2277</v>
      </c>
      <c r="E902" s="65" t="s">
        <v>2278</v>
      </c>
      <c r="F902" t="s">
        <v>2279</v>
      </c>
      <c r="G902" s="161">
        <f>MONTH(EJECUTADO[[#This Row],[FECHA]])</f>
        <v>3</v>
      </c>
      <c r="H902" s="163" t="str">
        <f>MID(EJECUTADO[[#This Row],[CUENTA]],1,4)</f>
        <v>E-08</v>
      </c>
      <c r="I902" s="163" t="str">
        <f>INDEX(CATALOGO[Descripción],MATCH(EJECUTADO[[#This Row],[APLICACIÓN]]&amp;"-00-00-00",CATALOGO[Código],0))</f>
        <v>INVERSIONES Y PROYECTOS ESPECIALES</v>
      </c>
      <c r="J9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2" s="161" t="str">
        <f>IF((EJECUTADO[[#This Row],[MONTO DISPONIBLE ]]-EJECUTADO[[#This Row],[MONTO SOLICITADO]])&gt;=0,"PRESUPUESTO: SI","PRESUPUESTO: NO")</f>
        <v>PRESUPUESTO: NO</v>
      </c>
      <c r="L902" s="162">
        <f>SUMIF(PRESUPUESTO[CUENTA],EJECUTADO[[#This Row],[CUENTA]],PRESUPUESTO[MONTO])-SUMIF($F$1:F901,EJECUTADO[[#This Row],[CUENTA]],$M$1:M901)</f>
        <v>0</v>
      </c>
      <c r="M902" s="2">
        <v>620</v>
      </c>
      <c r="N902" s="84"/>
      <c r="O902" s="84">
        <v>62</v>
      </c>
      <c r="P902" s="162">
        <f>+EJECUTADO[[#This Row],[MONTO SOLICITADO]]-EJECUTADO[[#This Row],[RETENCION IVA]]-EJECUTADO[[#This Row],[RETENCION ISR]]</f>
        <v>558</v>
      </c>
      <c r="Q902" s="84" t="s">
        <v>1786</v>
      </c>
      <c r="R902" s="84"/>
      <c r="S902">
        <v>3286</v>
      </c>
      <c r="T902" s="168" t="str">
        <f t="shared" si="28"/>
        <v>INVERSIONES Y PROYECTOS ESPECIALES - CIOPS Disponible $0 Solicitado $620 PRESUPUESTO: NO</v>
      </c>
    </row>
    <row r="903" spans="1:20" ht="60" x14ac:dyDescent="0.25">
      <c r="A903" s="6">
        <f t="shared" si="34"/>
        <v>854</v>
      </c>
      <c r="B903" s="21">
        <v>45364</v>
      </c>
      <c r="C903" s="126" t="s">
        <v>2280</v>
      </c>
      <c r="D903" s="65" t="s">
        <v>2277</v>
      </c>
      <c r="E903" s="65" t="s">
        <v>2281</v>
      </c>
      <c r="F903" t="s">
        <v>2279</v>
      </c>
      <c r="G903" s="161">
        <f>MONTH(EJECUTADO[[#This Row],[FECHA]])</f>
        <v>3</v>
      </c>
      <c r="H903" s="163" t="str">
        <f>MID(EJECUTADO[[#This Row],[CUENTA]],1,4)</f>
        <v>E-08</v>
      </c>
      <c r="I903" s="163" t="str">
        <f>INDEX(CATALOGO[Descripción],MATCH(EJECUTADO[[#This Row],[APLICACIÓN]]&amp;"-00-00-00",CATALOGO[Código],0))</f>
        <v>INVERSIONES Y PROYECTOS ESPECIALES</v>
      </c>
      <c r="J9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3" s="161" t="str">
        <f>IF((EJECUTADO[[#This Row],[MONTO DISPONIBLE ]]-EJECUTADO[[#This Row],[MONTO SOLICITADO]])&gt;=0,"PRESUPUESTO: SI","PRESUPUESTO: NO")</f>
        <v>PRESUPUESTO: NO</v>
      </c>
      <c r="L903" s="162">
        <f>SUMIF(PRESUPUESTO[CUENTA],EJECUTADO[[#This Row],[CUENTA]],PRESUPUESTO[MONTO])-SUMIF($F$1:F902,EJECUTADO[[#This Row],[CUENTA]],$M$1:M902)</f>
        <v>-620</v>
      </c>
      <c r="M903" s="2">
        <v>310</v>
      </c>
      <c r="N903" s="84"/>
      <c r="O903" s="84">
        <v>24.5</v>
      </c>
      <c r="P903" s="162">
        <f>+EJECUTADO[[#This Row],[MONTO SOLICITADO]]-EJECUTADO[[#This Row],[RETENCION IVA]]-EJECUTADO[[#This Row],[RETENCION ISR]]</f>
        <v>285.5</v>
      </c>
      <c r="Q903" s="84" t="s">
        <v>1786</v>
      </c>
      <c r="R903" s="84"/>
      <c r="S903">
        <v>3287</v>
      </c>
      <c r="T903" s="168" t="str">
        <f t="shared" si="28"/>
        <v>INVERSIONES Y PROYECTOS ESPECIALES - CIOPS Disponible $-620 Solicitado $310 PRESUPUESTO: NO</v>
      </c>
    </row>
    <row r="904" spans="1:20" ht="60" x14ac:dyDescent="0.25">
      <c r="A904" s="6">
        <f t="shared" si="34"/>
        <v>855</v>
      </c>
      <c r="B904" s="21">
        <v>45364</v>
      </c>
      <c r="C904" s="126" t="s">
        <v>2282</v>
      </c>
      <c r="D904" s="65" t="s">
        <v>2277</v>
      </c>
      <c r="E904" s="65" t="s">
        <v>2283</v>
      </c>
      <c r="F904" t="s">
        <v>2279</v>
      </c>
      <c r="G904" s="161">
        <f>MONTH(EJECUTADO[[#This Row],[FECHA]])</f>
        <v>3</v>
      </c>
      <c r="H904" s="163" t="str">
        <f>MID(EJECUTADO[[#This Row],[CUENTA]],1,4)</f>
        <v>E-08</v>
      </c>
      <c r="I904" s="163" t="str">
        <f>INDEX(CATALOGO[Descripción],MATCH(EJECUTADO[[#This Row],[APLICACIÓN]]&amp;"-00-00-00",CATALOGO[Código],0))</f>
        <v>INVERSIONES Y PROYECTOS ESPECIALES</v>
      </c>
      <c r="J9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4" s="161" t="str">
        <f>IF((EJECUTADO[[#This Row],[MONTO DISPONIBLE ]]-EJECUTADO[[#This Row],[MONTO SOLICITADO]])&gt;=0,"PRESUPUESTO: SI","PRESUPUESTO: NO")</f>
        <v>PRESUPUESTO: NO</v>
      </c>
      <c r="L904" s="162">
        <f>SUMIF(PRESUPUESTO[CUENTA],EJECUTADO[[#This Row],[CUENTA]],PRESUPUESTO[MONTO])-SUMIF($F$1:F903,EJECUTADO[[#This Row],[CUENTA]],$M$1:M903)</f>
        <v>-930</v>
      </c>
      <c r="M904" s="2">
        <v>300</v>
      </c>
      <c r="N904" s="84"/>
      <c r="O904" s="84">
        <v>24.5</v>
      </c>
      <c r="P904" s="162">
        <f>+EJECUTADO[[#This Row],[MONTO SOLICITADO]]-EJECUTADO[[#This Row],[RETENCION IVA]]-EJECUTADO[[#This Row],[RETENCION ISR]]</f>
        <v>275.5</v>
      </c>
      <c r="Q904" s="84" t="s">
        <v>1786</v>
      </c>
      <c r="R904" s="84"/>
      <c r="S904">
        <v>3291</v>
      </c>
      <c r="T904" s="168" t="str">
        <f t="shared" si="28"/>
        <v>INVERSIONES Y PROYECTOS ESPECIALES - CIOPS Disponible $-930 Solicitado $300 PRESUPUESTO: NO</v>
      </c>
    </row>
    <row r="905" spans="1:20" ht="60" x14ac:dyDescent="0.25">
      <c r="A905" s="6">
        <f t="shared" si="34"/>
        <v>856</v>
      </c>
      <c r="B905" s="21">
        <v>45364</v>
      </c>
      <c r="C905" s="126" t="s">
        <v>2284</v>
      </c>
      <c r="D905" s="65" t="s">
        <v>2277</v>
      </c>
      <c r="E905" s="65" t="s">
        <v>2285</v>
      </c>
      <c r="F905" t="s">
        <v>2279</v>
      </c>
      <c r="G905" s="161">
        <f>MONTH(EJECUTADO[[#This Row],[FECHA]])</f>
        <v>3</v>
      </c>
      <c r="H905" s="163" t="str">
        <f>MID(EJECUTADO[[#This Row],[CUENTA]],1,4)</f>
        <v>E-08</v>
      </c>
      <c r="I905" s="163" t="str">
        <f>INDEX(CATALOGO[Descripción],MATCH(EJECUTADO[[#This Row],[APLICACIÓN]]&amp;"-00-00-00",CATALOGO[Código],0))</f>
        <v>INVERSIONES Y PROYECTOS ESPECIALES</v>
      </c>
      <c r="J9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5" s="161" t="str">
        <f>IF((EJECUTADO[[#This Row],[MONTO DISPONIBLE ]]-EJECUTADO[[#This Row],[MONTO SOLICITADO]])&gt;=0,"PRESUPUESTO: SI","PRESUPUESTO: NO")</f>
        <v>PRESUPUESTO: NO</v>
      </c>
      <c r="L905" s="162">
        <f>SUMIF(PRESUPUESTO[CUENTA],EJECUTADO[[#This Row],[CUENTA]],PRESUPUESTO[MONTO])-SUMIF($F$1:F904,EJECUTADO[[#This Row],[CUENTA]],$M$1:M904)</f>
        <v>-1230</v>
      </c>
      <c r="M905" s="2">
        <v>200</v>
      </c>
      <c r="N905" s="84"/>
      <c r="O905" s="84">
        <v>17</v>
      </c>
      <c r="P905" s="162">
        <f>+EJECUTADO[[#This Row],[MONTO SOLICITADO]]-EJECUTADO[[#This Row],[RETENCION IVA]]-EJECUTADO[[#This Row],[RETENCION ISR]]</f>
        <v>183</v>
      </c>
      <c r="Q905" s="84" t="s">
        <v>1786</v>
      </c>
      <c r="R905" s="84"/>
      <c r="S905">
        <v>3290</v>
      </c>
      <c r="T905" s="168" t="str">
        <f t="shared" si="28"/>
        <v>INVERSIONES Y PROYECTOS ESPECIALES - CIOPS Disponible $-1230 Solicitado $200 PRESUPUESTO: NO</v>
      </c>
    </row>
    <row r="906" spans="1:20" ht="60" x14ac:dyDescent="0.25">
      <c r="A906" s="6">
        <f t="shared" si="34"/>
        <v>857</v>
      </c>
      <c r="B906" s="21">
        <v>45364</v>
      </c>
      <c r="C906" s="126" t="s">
        <v>2286</v>
      </c>
      <c r="D906" s="65" t="s">
        <v>2277</v>
      </c>
      <c r="E906" s="65" t="s">
        <v>2287</v>
      </c>
      <c r="F906" t="s">
        <v>2279</v>
      </c>
      <c r="G906" s="161">
        <f>MONTH(EJECUTADO[[#This Row],[FECHA]])</f>
        <v>3</v>
      </c>
      <c r="H906" s="163" t="str">
        <f>MID(EJECUTADO[[#This Row],[CUENTA]],1,4)</f>
        <v>E-08</v>
      </c>
      <c r="I906" s="163" t="str">
        <f>INDEX(CATALOGO[Descripción],MATCH(EJECUTADO[[#This Row],[APLICACIÓN]]&amp;"-00-00-00",CATALOGO[Código],0))</f>
        <v>INVERSIONES Y PROYECTOS ESPECIALES</v>
      </c>
      <c r="J9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6" s="161" t="str">
        <f>IF((EJECUTADO[[#This Row],[MONTO DISPONIBLE ]]-EJECUTADO[[#This Row],[MONTO SOLICITADO]])&gt;=0,"PRESUPUESTO: SI","PRESUPUESTO: NO")</f>
        <v>PRESUPUESTO: NO</v>
      </c>
      <c r="L906" s="162">
        <f>SUMIF(PRESUPUESTO[CUENTA],EJECUTADO[[#This Row],[CUENTA]],PRESUPUESTO[MONTO])-SUMIF($F$1:F905,EJECUTADO[[#This Row],[CUENTA]],$M$1:M905)</f>
        <v>-1430</v>
      </c>
      <c r="M906" s="2">
        <v>310</v>
      </c>
      <c r="N906" s="84"/>
      <c r="O906" s="84">
        <v>24.5</v>
      </c>
      <c r="P906" s="162">
        <f>+EJECUTADO[[#This Row],[MONTO SOLICITADO]]-EJECUTADO[[#This Row],[RETENCION IVA]]-EJECUTADO[[#This Row],[RETENCION ISR]]</f>
        <v>285.5</v>
      </c>
      <c r="Q906" s="84" t="s">
        <v>1786</v>
      </c>
      <c r="R906" s="84"/>
      <c r="S906">
        <v>3289</v>
      </c>
      <c r="T906" s="168" t="str">
        <f t="shared" si="28"/>
        <v>INVERSIONES Y PROYECTOS ESPECIALES - CIOPS Disponible $-1430 Solicitado $310 PRESUPUESTO: NO</v>
      </c>
    </row>
    <row r="907" spans="1:20" ht="60" x14ac:dyDescent="0.25">
      <c r="A907" s="6">
        <f t="shared" si="34"/>
        <v>858</v>
      </c>
      <c r="B907" s="21">
        <v>45364</v>
      </c>
      <c r="C907" s="126" t="s">
        <v>2288</v>
      </c>
      <c r="D907" s="65" t="s">
        <v>2277</v>
      </c>
      <c r="E907" s="65" t="s">
        <v>2289</v>
      </c>
      <c r="F907" t="s">
        <v>2279</v>
      </c>
      <c r="G907" s="161">
        <f>MONTH(EJECUTADO[[#This Row],[FECHA]])</f>
        <v>3</v>
      </c>
      <c r="H907" s="163" t="str">
        <f>MID(EJECUTADO[[#This Row],[CUENTA]],1,4)</f>
        <v>E-08</v>
      </c>
      <c r="I907" s="163" t="str">
        <f>INDEX(CATALOGO[Descripción],MATCH(EJECUTADO[[#This Row],[APLICACIÓN]]&amp;"-00-00-00",CATALOGO[Código],0))</f>
        <v>INVERSIONES Y PROYECTOS ESPECIALES</v>
      </c>
      <c r="J9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7" s="161" t="str">
        <f>IF((EJECUTADO[[#This Row],[MONTO DISPONIBLE ]]-EJECUTADO[[#This Row],[MONTO SOLICITADO]])&gt;=0,"PRESUPUESTO: SI","PRESUPUESTO: NO")</f>
        <v>PRESUPUESTO: NO</v>
      </c>
      <c r="L907" s="162">
        <f>SUMIF(PRESUPUESTO[CUENTA],EJECUTADO[[#This Row],[CUENTA]],PRESUPUESTO[MONTO])-SUMIF($F$1:F906,EJECUTADO[[#This Row],[CUENTA]],$M$1:M906)</f>
        <v>-1740</v>
      </c>
      <c r="M907" s="2">
        <v>190</v>
      </c>
      <c r="N907" s="84"/>
      <c r="O907" s="84">
        <v>14.5</v>
      </c>
      <c r="P907" s="162">
        <f>+EJECUTADO[[#This Row],[MONTO SOLICITADO]]-EJECUTADO[[#This Row],[RETENCION IVA]]-EJECUTADO[[#This Row],[RETENCION ISR]]</f>
        <v>175.5</v>
      </c>
      <c r="Q907" s="84" t="s">
        <v>1786</v>
      </c>
      <c r="R907" s="84"/>
      <c r="S907">
        <v>3288</v>
      </c>
      <c r="T907" s="168" t="str">
        <f t="shared" si="28"/>
        <v>INVERSIONES Y PROYECTOS ESPECIALES - CIOPS Disponible $-1740 Solicitado $190 PRESUPUESTO: NO</v>
      </c>
    </row>
    <row r="908" spans="1:20" ht="60" x14ac:dyDescent="0.25">
      <c r="A908" s="6">
        <f t="shared" si="34"/>
        <v>859</v>
      </c>
      <c r="B908" s="21">
        <v>45364</v>
      </c>
      <c r="C908" s="126" t="s">
        <v>2290</v>
      </c>
      <c r="D908" s="65" t="s">
        <v>2277</v>
      </c>
      <c r="E908" s="65" t="s">
        <v>2291</v>
      </c>
      <c r="F908" t="s">
        <v>2279</v>
      </c>
      <c r="G908" s="161">
        <f>MONTH(EJECUTADO[[#This Row],[FECHA]])</f>
        <v>3</v>
      </c>
      <c r="H908" s="163" t="str">
        <f>MID(EJECUTADO[[#This Row],[CUENTA]],1,4)</f>
        <v>E-08</v>
      </c>
      <c r="I908" s="163" t="str">
        <f>INDEX(CATALOGO[Descripción],MATCH(EJECUTADO[[#This Row],[APLICACIÓN]]&amp;"-00-00-00",CATALOGO[Código],0))</f>
        <v>INVERSIONES Y PROYECTOS ESPECIALES</v>
      </c>
      <c r="J9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8" s="161" t="str">
        <f>IF((EJECUTADO[[#This Row],[MONTO DISPONIBLE ]]-EJECUTADO[[#This Row],[MONTO SOLICITADO]])&gt;=0,"PRESUPUESTO: SI","PRESUPUESTO: NO")</f>
        <v>PRESUPUESTO: NO</v>
      </c>
      <c r="L908" s="162">
        <f>SUMIF(PRESUPUESTO[CUENTA],EJECUTADO[[#This Row],[CUENTA]],PRESUPUESTO[MONTO])-SUMIF($F$1:F907,EJECUTADO[[#This Row],[CUENTA]],$M$1:M907)</f>
        <v>-1930</v>
      </c>
      <c r="M908" s="2">
        <v>320</v>
      </c>
      <c r="N908" s="84"/>
      <c r="O908" s="84">
        <v>24.5</v>
      </c>
      <c r="P908" s="162">
        <f>+EJECUTADO[[#This Row],[MONTO SOLICITADO]]-EJECUTADO[[#This Row],[RETENCION IVA]]-EJECUTADO[[#This Row],[RETENCION ISR]]</f>
        <v>295.5</v>
      </c>
      <c r="Q908" s="84" t="s">
        <v>1786</v>
      </c>
      <c r="R908" s="84"/>
      <c r="S908">
        <v>3293</v>
      </c>
      <c r="T908" s="168" t="str">
        <f t="shared" si="28"/>
        <v>INVERSIONES Y PROYECTOS ESPECIALES - CIOPS Disponible $-1930 Solicitado $320 PRESUPUESTO: NO</v>
      </c>
    </row>
    <row r="909" spans="1:20" ht="60" x14ac:dyDescent="0.25">
      <c r="A909" s="6">
        <f t="shared" si="34"/>
        <v>860</v>
      </c>
      <c r="B909" s="21">
        <v>45364</v>
      </c>
      <c r="C909" s="126" t="s">
        <v>2292</v>
      </c>
      <c r="D909" s="65" t="s">
        <v>2277</v>
      </c>
      <c r="E909" s="65" t="s">
        <v>2293</v>
      </c>
      <c r="F909" t="s">
        <v>2279</v>
      </c>
      <c r="G909" s="161">
        <f>MONTH(EJECUTADO[[#This Row],[FECHA]])</f>
        <v>3</v>
      </c>
      <c r="H909" s="163" t="str">
        <f>MID(EJECUTADO[[#This Row],[CUENTA]],1,4)</f>
        <v>E-08</v>
      </c>
      <c r="I909" s="163" t="str">
        <f>INDEX(CATALOGO[Descripción],MATCH(EJECUTADO[[#This Row],[APLICACIÓN]]&amp;"-00-00-00",CATALOGO[Código],0))</f>
        <v>INVERSIONES Y PROYECTOS ESPECIALES</v>
      </c>
      <c r="J9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09" s="161" t="str">
        <f>IF((EJECUTADO[[#This Row],[MONTO DISPONIBLE ]]-EJECUTADO[[#This Row],[MONTO SOLICITADO]])&gt;=0,"PRESUPUESTO: SI","PRESUPUESTO: NO")</f>
        <v>PRESUPUESTO: NO</v>
      </c>
      <c r="L909" s="162">
        <f>SUMIF(PRESUPUESTO[CUENTA],EJECUTADO[[#This Row],[CUENTA]],PRESUPUESTO[MONTO])-SUMIF($F$1:F908,EJECUTADO[[#This Row],[CUENTA]],$M$1:M908)</f>
        <v>-2250</v>
      </c>
      <c r="M909" s="2">
        <v>300</v>
      </c>
      <c r="N909" s="84"/>
      <c r="O909" s="84">
        <v>22</v>
      </c>
      <c r="P909" s="162">
        <f>+EJECUTADO[[#This Row],[MONTO SOLICITADO]]-EJECUTADO[[#This Row],[RETENCION IVA]]-EJECUTADO[[#This Row],[RETENCION ISR]]</f>
        <v>278</v>
      </c>
      <c r="Q909" s="84" t="s">
        <v>1786</v>
      </c>
      <c r="R909" s="84"/>
      <c r="S909">
        <v>3294</v>
      </c>
      <c r="T909" s="168" t="str">
        <f t="shared" ref="T909:T973" si="35">_xlfn.CONCAT(I909," - ",J909," Disponible $",L909," Solicitado $",M909," ",K909,)</f>
        <v>INVERSIONES Y PROYECTOS ESPECIALES - CIOPS Disponible $-2250 Solicitado $300 PRESUPUESTO: NO</v>
      </c>
    </row>
    <row r="910" spans="1:20" ht="60" x14ac:dyDescent="0.25">
      <c r="A910" s="6">
        <f t="shared" si="34"/>
        <v>861</v>
      </c>
      <c r="B910" s="21">
        <v>45364</v>
      </c>
      <c r="C910" s="126" t="s">
        <v>2294</v>
      </c>
      <c r="D910" s="65" t="s">
        <v>2277</v>
      </c>
      <c r="E910" s="65" t="s">
        <v>2295</v>
      </c>
      <c r="F910" t="s">
        <v>2279</v>
      </c>
      <c r="G910" s="161">
        <f>MONTH(EJECUTADO[[#This Row],[FECHA]])</f>
        <v>3</v>
      </c>
      <c r="H910" s="163" t="str">
        <f>MID(EJECUTADO[[#This Row],[CUENTA]],1,4)</f>
        <v>E-08</v>
      </c>
      <c r="I910" s="163" t="str">
        <f>INDEX(CATALOGO[Descripción],MATCH(EJECUTADO[[#This Row],[APLICACIÓN]]&amp;"-00-00-00",CATALOGO[Código],0))</f>
        <v>INVERSIONES Y PROYECTOS ESPECIALES</v>
      </c>
      <c r="J9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10" s="161" t="str">
        <f>IF((EJECUTADO[[#This Row],[MONTO DISPONIBLE ]]-EJECUTADO[[#This Row],[MONTO SOLICITADO]])&gt;=0,"PRESUPUESTO: SI","PRESUPUESTO: NO")</f>
        <v>PRESUPUESTO: NO</v>
      </c>
      <c r="L910" s="162">
        <f>SUMIF(PRESUPUESTO[CUENTA],EJECUTADO[[#This Row],[CUENTA]],PRESUPUESTO[MONTO])-SUMIF($F$1:F909,EJECUTADO[[#This Row],[CUENTA]],$M$1:M909)</f>
        <v>-2550</v>
      </c>
      <c r="M910" s="2">
        <v>310</v>
      </c>
      <c r="N910" s="84"/>
      <c r="O910" s="84">
        <v>24.5</v>
      </c>
      <c r="P910" s="162">
        <f>+EJECUTADO[[#This Row],[MONTO SOLICITADO]]-EJECUTADO[[#This Row],[RETENCION IVA]]-EJECUTADO[[#This Row],[RETENCION ISR]]</f>
        <v>285.5</v>
      </c>
      <c r="Q910" s="84" t="s">
        <v>1786</v>
      </c>
      <c r="R910" s="84"/>
      <c r="S910">
        <v>3292</v>
      </c>
      <c r="T910" s="168" t="str">
        <f t="shared" si="35"/>
        <v>INVERSIONES Y PROYECTOS ESPECIALES - CIOPS Disponible $-2550 Solicitado $310 PRESUPUESTO: NO</v>
      </c>
    </row>
    <row r="911" spans="1:20" ht="45" x14ac:dyDescent="0.25">
      <c r="A911" s="6">
        <f t="shared" si="34"/>
        <v>862</v>
      </c>
      <c r="B911" s="21">
        <v>45364</v>
      </c>
      <c r="C911" s="126" t="s">
        <v>2296</v>
      </c>
      <c r="D911" s="65" t="s">
        <v>2297</v>
      </c>
      <c r="E911" s="65" t="s">
        <v>2298</v>
      </c>
      <c r="F911" t="s">
        <v>1638</v>
      </c>
      <c r="G911" s="161">
        <f>MONTH(EJECUTADO[[#This Row],[FECHA]])</f>
        <v>3</v>
      </c>
      <c r="H911" s="163" t="str">
        <f>MID(EJECUTADO[[#This Row],[CUENTA]],1,4)</f>
        <v>E-22</v>
      </c>
      <c r="I911" s="163" t="str">
        <f>INDEX(CATALOGO[Descripción],MATCH(EJECUTADO[[#This Row],[APLICACIÓN]]&amp;"-00-00-00",CATALOGO[Código],0))</f>
        <v>CAPACITACIÓN AL PERSONAL</v>
      </c>
      <c r="J9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911" s="161" t="str">
        <f>IF((EJECUTADO[[#This Row],[MONTO DISPONIBLE ]]-EJECUTADO[[#This Row],[MONTO SOLICITADO]])&gt;=0,"PRESUPUESTO: SI","PRESUPUESTO: NO")</f>
        <v>PRESUPUESTO: SI</v>
      </c>
      <c r="L911" s="162">
        <f>SUMIF(PRESUPUESTO[CUENTA],EJECUTADO[[#This Row],[CUENTA]],PRESUPUESTO[MONTO])-SUMIF($F$1:F910,EJECUTADO[[#This Row],[CUENTA]],$M$1:M910)</f>
        <v>20672.189999999999</v>
      </c>
      <c r="M911" s="2">
        <v>463.27</v>
      </c>
      <c r="N911" s="84">
        <v>53.3</v>
      </c>
      <c r="O911" s="84">
        <v>41</v>
      </c>
      <c r="P911" s="162">
        <f>+EJECUTADO[[#This Row],[MONTO SOLICITADO]]-EJECUTADO[[#This Row],[RETENCION IVA]]-EJECUTADO[[#This Row],[RETENCION ISR]]</f>
        <v>368.96999999999997</v>
      </c>
      <c r="Q911" s="84" t="s">
        <v>1786</v>
      </c>
      <c r="R911" s="84"/>
      <c r="T911" s="168" t="str">
        <f t="shared" si="35"/>
        <v>CAPACITACIÓN AL PERSONAL - Cohorte No. 2 (10 participantes) año 1 Disponible $20672.19 Solicitado $463.27 PRESUPUESTO: SI</v>
      </c>
    </row>
    <row r="912" spans="1:20" ht="45" x14ac:dyDescent="0.25">
      <c r="A912" s="6">
        <f t="shared" si="34"/>
        <v>863</v>
      </c>
      <c r="B912" s="21">
        <v>45364</v>
      </c>
      <c r="C912" s="126" t="s">
        <v>2272</v>
      </c>
      <c r="D912" s="65" t="s">
        <v>2297</v>
      </c>
      <c r="E912" s="65" t="s">
        <v>2298</v>
      </c>
      <c r="F912" t="s">
        <v>1638</v>
      </c>
      <c r="G912" s="161">
        <f>MONTH(EJECUTADO[[#This Row],[FECHA]])</f>
        <v>3</v>
      </c>
      <c r="H912" s="163" t="str">
        <f>MID(EJECUTADO[[#This Row],[CUENTA]],1,4)</f>
        <v>E-22</v>
      </c>
      <c r="I912" s="163" t="str">
        <f>INDEX(CATALOGO[Descripción],MATCH(EJECUTADO[[#This Row],[APLICACIÓN]]&amp;"-00-00-00",CATALOGO[Código],0))</f>
        <v>CAPACITACIÓN AL PERSONAL</v>
      </c>
      <c r="J9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912" s="161" t="str">
        <f>IF((EJECUTADO[[#This Row],[MONTO DISPONIBLE ]]-EJECUTADO[[#This Row],[MONTO SOLICITADO]])&gt;=0,"PRESUPUESTO: SI","PRESUPUESTO: NO")</f>
        <v>PRESUPUESTO: SI</v>
      </c>
      <c r="L912" s="162">
        <f>SUMIF(PRESUPUESTO[CUENTA],EJECUTADO[[#This Row],[CUENTA]],PRESUPUESTO[MONTO])-SUMIF($F$1:F911,EJECUTADO[[#This Row],[CUENTA]],$M$1:M911)</f>
        <v>20208.919999999998</v>
      </c>
      <c r="M912" s="2">
        <v>463.27</v>
      </c>
      <c r="N912" s="84">
        <v>53.3</v>
      </c>
      <c r="O912" s="84">
        <v>41</v>
      </c>
      <c r="P912" s="162">
        <v>368.96999999999997</v>
      </c>
      <c r="Q912" s="84" t="s">
        <v>1786</v>
      </c>
      <c r="R912" s="84"/>
      <c r="T912" s="168" t="str">
        <f t="shared" si="35"/>
        <v>CAPACITACIÓN AL PERSONAL - Cohorte No. 2 (10 participantes) año 1 Disponible $20208.92 Solicitado $463.27 PRESUPUESTO: SI</v>
      </c>
    </row>
    <row r="913" spans="1:20" ht="60" x14ac:dyDescent="0.25">
      <c r="A913" s="6">
        <f t="shared" si="34"/>
        <v>864</v>
      </c>
      <c r="B913" s="21">
        <v>45364</v>
      </c>
      <c r="C913" s="126" t="s">
        <v>2299</v>
      </c>
      <c r="D913" s="65" t="s">
        <v>2300</v>
      </c>
      <c r="E913" s="65" t="s">
        <v>1915</v>
      </c>
      <c r="G913" s="161">
        <f>MONTH(EJECUTADO[[#This Row],[FECHA]])</f>
        <v>3</v>
      </c>
      <c r="H913" s="163" t="str">
        <f>MID(EJECUTADO[[#This Row],[CUENTA]],1,4)</f>
        <v/>
      </c>
      <c r="I913" s="163" t="e">
        <f>INDEX(CATALOGO[Descripción],MATCH(EJECUTADO[[#This Row],[APLICACIÓN]]&amp;"-00-00-00",CATALOGO[Código],0))</f>
        <v>#N/A</v>
      </c>
      <c r="J91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13" s="161" t="str">
        <f>IF((EJECUTADO[[#This Row],[MONTO DISPONIBLE ]]-EJECUTADO[[#This Row],[MONTO SOLICITADO]])&gt;=0,"PRESUPUESTO: SI","PRESUPUESTO: NO")</f>
        <v>PRESUPUESTO: NO</v>
      </c>
      <c r="L913" s="162">
        <f>SUMIF(PRESUPUESTO[CUENTA],EJECUTADO[[#This Row],[CUENTA]],PRESUPUESTO[MONTO])-SUMIF($F$1:F912,EJECUTADO[[#This Row],[CUENTA]],$M$1:M912)</f>
        <v>0</v>
      </c>
      <c r="M913" s="2">
        <v>300</v>
      </c>
      <c r="N913" s="84"/>
      <c r="O913" s="84"/>
      <c r="P913" s="162">
        <f>+EJECUTADO[[#This Row],[MONTO SOLICITADO]]-EJECUTADO[[#This Row],[RETENCION IVA]]-EJECUTADO[[#This Row],[RETENCION ISR]]</f>
        <v>300</v>
      </c>
      <c r="Q913" s="84"/>
      <c r="R913" s="84"/>
      <c r="S913" s="112">
        <v>172</v>
      </c>
      <c r="T913" s="168" t="e">
        <f t="shared" si="35"/>
        <v>#N/A</v>
      </c>
    </row>
    <row r="914" spans="1:20" ht="75" x14ac:dyDescent="0.25">
      <c r="A914" s="115">
        <f t="shared" si="34"/>
        <v>865</v>
      </c>
      <c r="B914" s="118">
        <v>45364</v>
      </c>
      <c r="C914" s="129" t="s">
        <v>2301</v>
      </c>
      <c r="D914" s="65" t="s">
        <v>2302</v>
      </c>
      <c r="E914" s="65" t="s">
        <v>2303</v>
      </c>
      <c r="F914" t="s">
        <v>1008</v>
      </c>
      <c r="G914" s="161">
        <f>MONTH(EJECUTADO[[#This Row],[FECHA]])</f>
        <v>3</v>
      </c>
      <c r="H914" s="163" t="str">
        <f>MID(EJECUTADO[[#This Row],[CUENTA]],1,4)</f>
        <v>E-19</v>
      </c>
      <c r="I914" s="163" t="str">
        <f>INDEX(CATALOGO[Descripción],MATCH(EJECUTADO[[#This Row],[APLICACIÓN]]&amp;"-00-00-00",CATALOGO[Código],0))</f>
        <v>MANTENIMIENTO</v>
      </c>
      <c r="J9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914" s="161" t="str">
        <f>IF((EJECUTADO[[#This Row],[MONTO DISPONIBLE ]]-EJECUTADO[[#This Row],[MONTO SOLICITADO]])&gt;=0,"PRESUPUESTO: SI","PRESUPUESTO: NO")</f>
        <v>PRESUPUESTO: SI</v>
      </c>
      <c r="L914" s="162">
        <f>SUMIF(PRESUPUESTO[CUENTA],EJECUTADO[[#This Row],[CUENTA]],PRESUPUESTO[MONTO])-SUMIF($F$1:F913,EJECUTADO[[#This Row],[CUENTA]],$M$1:M913)</f>
        <v>7943.07</v>
      </c>
      <c r="M914" s="119">
        <v>948</v>
      </c>
      <c r="N914" s="84">
        <v>8.39</v>
      </c>
      <c r="O914" s="84"/>
      <c r="P914" s="165">
        <f>+EJECUTADO[[#This Row],[MONTO SOLICITADO]]-EJECUTADO[[#This Row],[RETENCION IVA]]-EJECUTADO[[#This Row],[RETENCION ISR]]</f>
        <v>939.61</v>
      </c>
      <c r="Q914" s="120" t="s">
        <v>2304</v>
      </c>
      <c r="R914" s="120" t="s">
        <v>2071</v>
      </c>
      <c r="S914">
        <v>1875499</v>
      </c>
      <c r="T914" s="168" t="str">
        <f t="shared" si="35"/>
        <v>MANTENIMIENTO - Dir. Mantenimiento - Manto. Oficinas, Mobiliario y equipos Disponible $7943.07 Solicitado $948 PRESUPUESTO: SI</v>
      </c>
    </row>
    <row r="915" spans="1:20" ht="21" customHeight="1" x14ac:dyDescent="0.25">
      <c r="A915" s="6">
        <f t="shared" si="34"/>
        <v>866</v>
      </c>
      <c r="B915" s="21">
        <v>45364</v>
      </c>
      <c r="C915" s="126" t="s">
        <v>2305</v>
      </c>
      <c r="D915" s="64" t="s">
        <v>2306</v>
      </c>
      <c r="E915" s="65" t="s">
        <v>2307</v>
      </c>
      <c r="F915" t="s">
        <v>1911</v>
      </c>
      <c r="G915" s="161">
        <f>MONTH(EJECUTADO[[#This Row],[FECHA]])</f>
        <v>3</v>
      </c>
      <c r="H915" s="163" t="str">
        <f>MID(EJECUTADO[[#This Row],[CUENTA]],1,4)</f>
        <v>E-19</v>
      </c>
      <c r="I915" s="163" t="str">
        <f>INDEX(CATALOGO[Descripción],MATCH(EJECUTADO[[#This Row],[APLICACIÓN]]&amp;"-00-00-00",CATALOGO[Código],0))</f>
        <v>MANTENIMIENTO</v>
      </c>
      <c r="J9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Herramientas (carpinteros, mecánicos, pintores, fontaneros, jardineros, varias)</v>
      </c>
      <c r="K915" s="161" t="str">
        <f>IF((EJECUTADO[[#This Row],[MONTO DISPONIBLE ]]-EJECUTADO[[#This Row],[MONTO SOLICITADO]])&gt;=0,"PRESUPUESTO: SI","PRESUPUESTO: NO")</f>
        <v>PRESUPUESTO: SI</v>
      </c>
      <c r="L915" s="162">
        <f>SUMIF(PRESUPUESTO[CUENTA],EJECUTADO[[#This Row],[CUENTA]],PRESUPUESTO[MONTO])-SUMIF($F$1:F914,EJECUTADO[[#This Row],[CUENTA]],$M$1:M914)</f>
        <v>9556.06</v>
      </c>
      <c r="M915" s="2">
        <v>147</v>
      </c>
      <c r="N915" s="84"/>
      <c r="O915" s="84"/>
      <c r="P915" s="162">
        <f>+EJECUTADO[[#This Row],[MONTO SOLICITADO]]-EJECUTADO[[#This Row],[RETENCION IVA]]-EJECUTADO[[#This Row],[RETENCION ISR]]</f>
        <v>147</v>
      </c>
      <c r="Q915" s="152" t="s">
        <v>2304</v>
      </c>
      <c r="R915" s="152" t="s">
        <v>2071</v>
      </c>
      <c r="S915" s="112">
        <v>556</v>
      </c>
      <c r="T915" s="168" t="str">
        <f t="shared" si="35"/>
        <v>MANTENIMIENTO - Dir. Mantenimiento - Herramientas (carpinteros, mecánicos, pintores, fontaneros, jardineros, varias) Disponible $9556.06 Solicitado $147 PRESUPUESTO: SI</v>
      </c>
    </row>
    <row r="916" spans="1:20" ht="19.5" customHeight="1" x14ac:dyDescent="0.25">
      <c r="A916" s="6" t="s">
        <v>2308</v>
      </c>
      <c r="B916" s="21">
        <v>45364</v>
      </c>
      <c r="C916" s="126" t="s">
        <v>2305</v>
      </c>
      <c r="D916" s="64" t="s">
        <v>2309</v>
      </c>
      <c r="E916" s="65" t="s">
        <v>2310</v>
      </c>
      <c r="F916" t="s">
        <v>1047</v>
      </c>
      <c r="G916" s="161">
        <f>MONTH(EJECUTADO[[#This Row],[FECHA]])</f>
        <v>3</v>
      </c>
      <c r="H916" s="163" t="str">
        <f>MID(EJECUTADO[[#This Row],[CUENTA]],1,4)</f>
        <v>E-19</v>
      </c>
      <c r="I916" s="163" t="str">
        <f>INDEX(CATALOGO[Descripción],MATCH(EJECUTADO[[#This Row],[APLICACIÓN]]&amp;"-00-00-00",CATALOGO[Código],0))</f>
        <v>MANTENIMIENTO</v>
      </c>
      <c r="J9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916" s="161" t="str">
        <f>IF((EJECUTADO[[#This Row],[MONTO DISPONIBLE ]]-EJECUTADO[[#This Row],[MONTO SOLICITADO]])&gt;=0,"PRESUPUESTO: SI","PRESUPUESTO: NO")</f>
        <v>PRESUPUESTO: SI</v>
      </c>
      <c r="L916" s="162">
        <f>SUMIF(PRESUPUESTO[CUENTA],EJECUTADO[[#This Row],[CUENTA]],PRESUPUESTO[MONTO])-SUMIF($F$1:F915,EJECUTADO[[#This Row],[CUENTA]],$M$1:M915)</f>
        <v>35962.82</v>
      </c>
      <c r="M916" s="2">
        <v>134</v>
      </c>
      <c r="N916" s="84"/>
      <c r="O916" s="84"/>
      <c r="P916" s="162">
        <f>+EJECUTADO[[#This Row],[MONTO SOLICITADO]]-EJECUTADO[[#This Row],[RETENCION IVA]]-EJECUTADO[[#This Row],[RETENCION ISR]]</f>
        <v>134</v>
      </c>
      <c r="Q916" s="152" t="s">
        <v>2304</v>
      </c>
      <c r="R916" s="152" t="s">
        <v>2071</v>
      </c>
      <c r="S916" s="112">
        <v>556</v>
      </c>
      <c r="T916" s="168" t="str">
        <f t="shared" si="35"/>
        <v>MANTENIMIENTO - Casos eventuales- mantenimiento imprevistos Disponible $35962.82 Solicitado $134 PRESUPUESTO: SI</v>
      </c>
    </row>
    <row r="917" spans="1:20" ht="19.5" customHeight="1" x14ac:dyDescent="0.25">
      <c r="A917" s="6" t="s">
        <v>2311</v>
      </c>
      <c r="B917" s="21">
        <v>45364</v>
      </c>
      <c r="C917" s="126" t="s">
        <v>2305</v>
      </c>
      <c r="D917" s="64" t="s">
        <v>2312</v>
      </c>
      <c r="E917" s="65" t="s">
        <v>2313</v>
      </c>
      <c r="F917" t="s">
        <v>1047</v>
      </c>
      <c r="G917" s="161">
        <f>MONTH(EJECUTADO[[#This Row],[FECHA]])</f>
        <v>3</v>
      </c>
      <c r="H917" s="163" t="str">
        <f>MID(EJECUTADO[[#This Row],[CUENTA]],1,4)</f>
        <v>E-19</v>
      </c>
      <c r="I917" s="163" t="str">
        <f>INDEX(CATALOGO[Descripción],MATCH(EJECUTADO[[#This Row],[APLICACIÓN]]&amp;"-00-00-00",CATALOGO[Código],0))</f>
        <v>MANTENIMIENTO</v>
      </c>
      <c r="J9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917" s="161" t="str">
        <f>IF((EJECUTADO[[#This Row],[MONTO DISPONIBLE ]]-EJECUTADO[[#This Row],[MONTO SOLICITADO]])&gt;=0,"PRESUPUESTO: SI","PRESUPUESTO: NO")</f>
        <v>PRESUPUESTO: SI</v>
      </c>
      <c r="L917" s="162">
        <f>SUMIF(PRESUPUESTO[CUENTA],EJECUTADO[[#This Row],[CUENTA]],PRESUPUESTO[MONTO])-SUMIF($F$1:F916,EJECUTADO[[#This Row],[CUENTA]],$M$1:M916)</f>
        <v>35828.82</v>
      </c>
      <c r="M917" s="2">
        <v>219</v>
      </c>
      <c r="N917" s="84"/>
      <c r="O917" s="84"/>
      <c r="P917" s="162">
        <f>+EJECUTADO[[#This Row],[MONTO SOLICITADO]]-EJECUTADO[[#This Row],[RETENCION IVA]]-EJECUTADO[[#This Row],[RETENCION ISR]]</f>
        <v>219</v>
      </c>
      <c r="Q917" s="152" t="s">
        <v>2304</v>
      </c>
      <c r="R917" s="152" t="s">
        <v>2071</v>
      </c>
      <c r="S917" s="112">
        <v>556</v>
      </c>
      <c r="T917" s="168" t="str">
        <f t="shared" si="35"/>
        <v>MANTENIMIENTO - Casos eventuales- mantenimiento imprevistos Disponible $35828.82 Solicitado $219 PRESUPUESTO: SI</v>
      </c>
    </row>
    <row r="918" spans="1:20" ht="21.75" customHeight="1" x14ac:dyDescent="0.25">
      <c r="A918" s="6" t="s">
        <v>2314</v>
      </c>
      <c r="B918" s="21">
        <v>45364</v>
      </c>
      <c r="C918" s="126" t="s">
        <v>2305</v>
      </c>
      <c r="D918" s="64" t="s">
        <v>2315</v>
      </c>
      <c r="E918" s="65" t="s">
        <v>2316</v>
      </c>
      <c r="F918" t="s">
        <v>1047</v>
      </c>
      <c r="G918" s="161">
        <f>MONTH(EJECUTADO[[#This Row],[FECHA]])</f>
        <v>3</v>
      </c>
      <c r="H918" s="163" t="str">
        <f>MID(EJECUTADO[[#This Row],[CUENTA]],1,4)</f>
        <v>E-19</v>
      </c>
      <c r="I918" s="163" t="str">
        <f>INDEX(CATALOGO[Descripción],MATCH(EJECUTADO[[#This Row],[APLICACIÓN]]&amp;"-00-00-00",CATALOGO[Código],0))</f>
        <v>MANTENIMIENTO</v>
      </c>
      <c r="J9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918" s="161" t="str">
        <f>IF((EJECUTADO[[#This Row],[MONTO DISPONIBLE ]]-EJECUTADO[[#This Row],[MONTO SOLICITADO]])&gt;=0,"PRESUPUESTO: SI","PRESUPUESTO: NO")</f>
        <v>PRESUPUESTO: SI</v>
      </c>
      <c r="L918" s="162">
        <f>SUMIF(PRESUPUESTO[CUENTA],EJECUTADO[[#This Row],[CUENTA]],PRESUPUESTO[MONTO])-SUMIF($F$1:F917,EJECUTADO[[#This Row],[CUENTA]],$M$1:M917)</f>
        <v>35609.82</v>
      </c>
      <c r="M918" s="2">
        <v>112.32</v>
      </c>
      <c r="N918" s="84"/>
      <c r="O918" s="84"/>
      <c r="P918" s="162">
        <f>+EJECUTADO[[#This Row],[MONTO SOLICITADO]]-EJECUTADO[[#This Row],[RETENCION IVA]]-EJECUTADO[[#This Row],[RETENCION ISR]]</f>
        <v>112.32</v>
      </c>
      <c r="Q918" s="152" t="s">
        <v>2304</v>
      </c>
      <c r="R918" s="152" t="s">
        <v>2071</v>
      </c>
      <c r="S918" s="112">
        <v>556</v>
      </c>
      <c r="T918" s="168" t="str">
        <f t="shared" si="35"/>
        <v>MANTENIMIENTO - Casos eventuales- mantenimiento imprevistos Disponible $35609.82 Solicitado $112.32 PRESUPUESTO: SI</v>
      </c>
    </row>
    <row r="919" spans="1:20" ht="135" x14ac:dyDescent="0.25">
      <c r="A919" s="115">
        <f>+A915+1</f>
        <v>867</v>
      </c>
      <c r="B919" s="118">
        <v>45364</v>
      </c>
      <c r="C919" s="129" t="s">
        <v>2317</v>
      </c>
      <c r="D919" s="65" t="s">
        <v>2318</v>
      </c>
      <c r="E919" s="65"/>
      <c r="G919" s="161">
        <f>MONTH(EJECUTADO[[#This Row],[FECHA]])</f>
        <v>3</v>
      </c>
      <c r="H919" s="163" t="str">
        <f>MID(EJECUTADO[[#This Row],[CUENTA]],1,4)</f>
        <v/>
      </c>
      <c r="I919" s="163" t="e">
        <f>INDEX(CATALOGO[Descripción],MATCH(EJECUTADO[[#This Row],[APLICACIÓN]]&amp;"-00-00-00",CATALOGO[Código],0))</f>
        <v>#N/A</v>
      </c>
      <c r="J91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19" s="161" t="str">
        <f>IF((EJECUTADO[[#This Row],[MONTO DISPONIBLE ]]-EJECUTADO[[#This Row],[MONTO SOLICITADO]])&gt;=0,"PRESUPUESTO: SI","PRESUPUESTO: NO")</f>
        <v>PRESUPUESTO: NO</v>
      </c>
      <c r="L919" s="162">
        <f>SUMIF(PRESUPUESTO[CUENTA],EJECUTADO[[#This Row],[CUENTA]],PRESUPUESTO[MONTO])-SUMIF($F$1:F918,EJECUTADO[[#This Row],[CUENTA]],$M$1:M918)</f>
        <v>0</v>
      </c>
      <c r="M919" s="119">
        <v>288.05</v>
      </c>
      <c r="N919" s="84"/>
      <c r="O919" s="84"/>
      <c r="P919" s="165">
        <f>+EJECUTADO[[#This Row],[MONTO SOLICITADO]]-EJECUTADO[[#This Row],[RETENCION IVA]]-EJECUTADO[[#This Row],[RETENCION ISR]]</f>
        <v>288.05</v>
      </c>
      <c r="Q919" s="120" t="s">
        <v>1971</v>
      </c>
      <c r="R919" s="120" t="s">
        <v>2319</v>
      </c>
      <c r="T919" s="168" t="e">
        <f t="shared" si="35"/>
        <v>#N/A</v>
      </c>
    </row>
    <row r="920" spans="1:20" ht="50.25" customHeight="1" x14ac:dyDescent="0.25">
      <c r="A920" s="115">
        <f t="shared" si="34"/>
        <v>868</v>
      </c>
      <c r="B920" s="118">
        <v>45364</v>
      </c>
      <c r="C920" s="129" t="s">
        <v>2320</v>
      </c>
      <c r="D920" s="65" t="s">
        <v>2321</v>
      </c>
      <c r="E920" s="65" t="s">
        <v>2322</v>
      </c>
      <c r="F920" t="s">
        <v>1384</v>
      </c>
      <c r="G920" s="161">
        <f>MONTH(EJECUTADO[[#This Row],[FECHA]])</f>
        <v>3</v>
      </c>
      <c r="H920" s="163" t="str">
        <f>MID(EJECUTADO[[#This Row],[CUENTA]],1,4)</f>
        <v>E-19</v>
      </c>
      <c r="I920" s="163" t="str">
        <f>INDEX(CATALOGO[Descripción],MATCH(EJECUTADO[[#This Row],[APLICACIÓN]]&amp;"-00-00-00",CATALOGO[Código],0))</f>
        <v>MANTENIMIENTO</v>
      </c>
      <c r="J9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920" s="161" t="str">
        <f>IF((EJECUTADO[[#This Row],[MONTO DISPONIBLE ]]-EJECUTADO[[#This Row],[MONTO SOLICITADO]])&gt;=0,"PRESUPUESTO: SI","PRESUPUESTO: NO")</f>
        <v>PRESUPUESTO: SI</v>
      </c>
      <c r="L920" s="162">
        <f>SUMIF(PRESUPUESTO[CUENTA],EJECUTADO[[#This Row],[CUENTA]],PRESUPUESTO[MONTO])-SUMIF($F$1:F919,EJECUTADO[[#This Row],[CUENTA]],$M$1:M919)</f>
        <v>16865.919999999998</v>
      </c>
      <c r="M920" s="119">
        <v>1175.2</v>
      </c>
      <c r="N920" s="84">
        <v>10.4</v>
      </c>
      <c r="O920" s="84"/>
      <c r="P920" s="165">
        <f>+EJECUTADO[[#This Row],[MONTO SOLICITADO]]-EJECUTADO[[#This Row],[RETENCION IVA]]-EJECUTADO[[#This Row],[RETENCION ISR]]</f>
        <v>1164.8</v>
      </c>
      <c r="Q920" s="119" t="s">
        <v>1971</v>
      </c>
      <c r="R920" s="119" t="s">
        <v>2319</v>
      </c>
      <c r="S920" s="112">
        <v>3285</v>
      </c>
      <c r="T920" s="168" t="str">
        <f t="shared" si="35"/>
        <v>MANTENIMIENTO - Mantenimiento de Limpieza Disponible $16865.92 Solicitado $1175.2 PRESUPUESTO: SI</v>
      </c>
    </row>
    <row r="921" spans="1:20" ht="90" x14ac:dyDescent="0.25">
      <c r="A921" s="115">
        <f t="shared" si="34"/>
        <v>869</v>
      </c>
      <c r="B921" s="118">
        <v>45364</v>
      </c>
      <c r="C921" s="129" t="s">
        <v>1697</v>
      </c>
      <c r="D921" s="65" t="s">
        <v>2323</v>
      </c>
      <c r="E921" s="65" t="s">
        <v>2324</v>
      </c>
      <c r="F921" s="37" t="s">
        <v>1622</v>
      </c>
      <c r="G921" s="161">
        <f>MONTH(EJECUTADO[[#This Row],[FECHA]])</f>
        <v>3</v>
      </c>
      <c r="H921" s="163" t="str">
        <f>MID(EJECUTADO[[#This Row],[CUENTA]],1,4)</f>
        <v>E-19</v>
      </c>
      <c r="I921" s="163" t="str">
        <f>INDEX(CATALOGO[Descripción],MATCH(EJECUTADO[[#This Row],[APLICACIÓN]]&amp;"-00-00-00",CATALOGO[Código],0))</f>
        <v>MANTENIMIENTO</v>
      </c>
      <c r="J9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Mantenimiento de Jardines</v>
      </c>
      <c r="K921" s="161" t="str">
        <f>IF((EJECUTADO[[#This Row],[MONTO DISPONIBLE ]]-EJECUTADO[[#This Row],[MONTO SOLICITADO]])&gt;=0,"PRESUPUESTO: SI","PRESUPUESTO: NO")</f>
        <v>PRESUPUESTO: SI</v>
      </c>
      <c r="L921" s="162">
        <f>SUMIF(PRESUPUESTO[CUENTA],EJECUTADO[[#This Row],[CUENTA]],PRESUPUESTO[MONTO])-SUMIF($F$1:F920,EJECUTADO[[#This Row],[CUENTA]],$M$1:M920)</f>
        <v>1255.8</v>
      </c>
      <c r="M921" s="2">
        <v>275</v>
      </c>
      <c r="N921" s="84">
        <v>2.4300000000000002</v>
      </c>
      <c r="O921" s="84"/>
      <c r="P921" s="162">
        <f>+EJECUTADO[[#This Row],[MONTO SOLICITADO]]-EJECUTADO[[#This Row],[RETENCION IVA]]-EJECUTADO[[#This Row],[RETENCION ISR]]</f>
        <v>272.57</v>
      </c>
      <c r="Q921" s="152" t="s">
        <v>1971</v>
      </c>
      <c r="R921" s="152" t="s">
        <v>2325</v>
      </c>
      <c r="S921" s="112">
        <v>564</v>
      </c>
      <c r="T921" s="168" t="str">
        <f t="shared" si="35"/>
        <v>MANTENIMIENTO - Dir. Mantenimiento - Mantenimiento de Jardines Disponible $1255.8 Solicitado $275 PRESUPUESTO: SI</v>
      </c>
    </row>
    <row r="922" spans="1:20" ht="90" x14ac:dyDescent="0.25">
      <c r="A922" s="115">
        <f t="shared" si="34"/>
        <v>870</v>
      </c>
      <c r="B922" s="118">
        <v>45364</v>
      </c>
      <c r="C922" s="129" t="s">
        <v>2326</v>
      </c>
      <c r="D922" s="116" t="s">
        <v>2327</v>
      </c>
      <c r="E922" s="65" t="s">
        <v>2328</v>
      </c>
      <c r="F922" t="s">
        <v>1275</v>
      </c>
      <c r="G922" s="161">
        <f>MONTH(EJECUTADO[[#This Row],[FECHA]])</f>
        <v>3</v>
      </c>
      <c r="H922" s="163" t="str">
        <f>MID(EJECUTADO[[#This Row],[CUENTA]],1,4)</f>
        <v>E-27</v>
      </c>
      <c r="I922" s="163" t="str">
        <f>INDEX(CATALOGO[Descripción],MATCH(EJECUTADO[[#This Row],[APLICACIÓN]]&amp;"-00-00-00",CATALOGO[Código],0))</f>
        <v>INSUMOS DE OFICINA</v>
      </c>
      <c r="J9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922" s="161" t="str">
        <f>IF((EJECUTADO[[#This Row],[MONTO DISPONIBLE ]]-EJECUTADO[[#This Row],[MONTO SOLICITADO]])&gt;=0,"PRESUPUESTO: SI","PRESUPUESTO: NO")</f>
        <v>PRESUPUESTO: SI</v>
      </c>
      <c r="L922" s="162">
        <f>SUMIF(PRESUPUESTO[CUENTA],EJECUTADO[[#This Row],[CUENTA]],PRESUPUESTO[MONTO])-SUMIF($F$1:F921,EJECUTADO[[#This Row],[CUENTA]],$M$1:M921)</f>
        <v>44489.96</v>
      </c>
      <c r="M922" s="119">
        <v>140.9</v>
      </c>
      <c r="N922" s="84">
        <v>1.25</v>
      </c>
      <c r="O922" s="84"/>
      <c r="P922" s="165">
        <f>+EJECUTADO[[#This Row],[MONTO SOLICITADO]]-EJECUTADO[[#This Row],[RETENCION IVA]]-EJECUTADO[[#This Row],[RETENCION ISR]]</f>
        <v>139.65</v>
      </c>
      <c r="Q922" s="119" t="s">
        <v>1971</v>
      </c>
      <c r="R922" s="119" t="s">
        <v>2325</v>
      </c>
      <c r="S922" s="112">
        <v>563</v>
      </c>
      <c r="T922" s="168" t="str">
        <f t="shared" si="35"/>
        <v>INSUMOS DE OFICINA - PAPELERIA Y UTILES Disponible $44489.96 Solicitado $140.9 PRESUPUESTO: SI</v>
      </c>
    </row>
    <row r="923" spans="1:20" ht="33" customHeight="1" x14ac:dyDescent="0.25">
      <c r="A923" s="115">
        <f t="shared" si="34"/>
        <v>871</v>
      </c>
      <c r="B923" s="118">
        <v>45364</v>
      </c>
      <c r="C923" s="129" t="s">
        <v>2305</v>
      </c>
      <c r="D923" s="116" t="s">
        <v>2329</v>
      </c>
      <c r="E923" s="65" t="s">
        <v>2330</v>
      </c>
      <c r="F923" t="s">
        <v>1114</v>
      </c>
      <c r="G923" s="161">
        <f>MONTH(EJECUTADO[[#This Row],[FECHA]])</f>
        <v>3</v>
      </c>
      <c r="H923" s="163" t="str">
        <f>MID(EJECUTADO[[#This Row],[CUENTA]],1,4)</f>
        <v>E-19</v>
      </c>
      <c r="I923" s="163" t="str">
        <f>INDEX(CATALOGO[Descripción],MATCH(EJECUTADO[[#This Row],[APLICACIÓN]]&amp;"-00-00-00",CATALOGO[Código],0))</f>
        <v>MANTENIMIENTO</v>
      </c>
      <c r="J9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mantenimiento </v>
      </c>
      <c r="K923" s="161" t="str">
        <f>IF((EJECUTADO[[#This Row],[MONTO DISPONIBLE ]]-EJECUTADO[[#This Row],[MONTO SOLICITADO]])&gt;=0,"PRESUPUESTO: SI","PRESUPUESTO: NO")</f>
        <v>PRESUPUESTO: SI</v>
      </c>
      <c r="L923" s="162">
        <f>SUMIF(PRESUPUESTO[CUENTA],EJECUTADO[[#This Row],[CUENTA]],PRESUPUESTO[MONTO])-SUMIF($F$1:F922,EJECUTADO[[#This Row],[CUENTA]],$M$1:M922)</f>
        <v>7437.5</v>
      </c>
      <c r="M923" s="119">
        <v>3.4</v>
      </c>
      <c r="N923" s="84"/>
      <c r="O923" s="84"/>
      <c r="P923" s="162">
        <f>+EJECUTADO[[#This Row],[MONTO SOLICITADO]]-EJECUTADO[[#This Row],[RETENCION IVA]]-EJECUTADO[[#This Row],[RETENCION ISR]]</f>
        <v>3.4</v>
      </c>
      <c r="Q923" s="119" t="s">
        <v>1971</v>
      </c>
      <c r="R923" s="119" t="s">
        <v>2325</v>
      </c>
      <c r="S923" s="112">
        <v>557</v>
      </c>
      <c r="T923" s="168" t="str">
        <f t="shared" si="35"/>
        <v>MANTENIMIENTO - Dir. Mantenimiento - Materiales mantenimiento  Disponible $7437.5 Solicitado $3.4 PRESUPUESTO: SI</v>
      </c>
    </row>
    <row r="924" spans="1:20" ht="33" customHeight="1" x14ac:dyDescent="0.25">
      <c r="A924" s="115" t="s">
        <v>2331</v>
      </c>
      <c r="B924" s="118">
        <v>45364</v>
      </c>
      <c r="C924" s="129" t="s">
        <v>2305</v>
      </c>
      <c r="D924" s="116" t="s">
        <v>2329</v>
      </c>
      <c r="E924" s="65" t="s">
        <v>2332</v>
      </c>
      <c r="F924" t="s">
        <v>1114</v>
      </c>
      <c r="G924" s="161">
        <f>MONTH(EJECUTADO[[#This Row],[FECHA]])</f>
        <v>3</v>
      </c>
      <c r="H924" s="163" t="str">
        <f>MID(EJECUTADO[[#This Row],[CUENTA]],1,4)</f>
        <v>E-19</v>
      </c>
      <c r="I924" s="163" t="str">
        <f>INDEX(CATALOGO[Descripción],MATCH(EJECUTADO[[#This Row],[APLICACIÓN]]&amp;"-00-00-00",CATALOGO[Código],0))</f>
        <v>MANTENIMIENTO</v>
      </c>
      <c r="J9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mantenimiento </v>
      </c>
      <c r="K924" s="161" t="str">
        <f>IF((EJECUTADO[[#This Row],[MONTO DISPONIBLE ]]-EJECUTADO[[#This Row],[MONTO SOLICITADO]])&gt;=0,"PRESUPUESTO: SI","PRESUPUESTO: NO")</f>
        <v>PRESUPUESTO: SI</v>
      </c>
      <c r="L924" s="162">
        <f>SUMIF(PRESUPUESTO[CUENTA],EJECUTADO[[#This Row],[CUENTA]],PRESUPUESTO[MONTO])-SUMIF($F$1:F923,EJECUTADO[[#This Row],[CUENTA]],$M$1:M923)</f>
        <v>7434.1</v>
      </c>
      <c r="M924" s="119">
        <v>537.1</v>
      </c>
      <c r="N924" s="84"/>
      <c r="O924" s="84"/>
      <c r="P924" s="162">
        <f>+EJECUTADO[[#This Row],[MONTO SOLICITADO]]-EJECUTADO[[#This Row],[RETENCION IVA]]-EJECUTADO[[#This Row],[RETENCION ISR]]</f>
        <v>537.1</v>
      </c>
      <c r="Q924" s="119" t="s">
        <v>1971</v>
      </c>
      <c r="R924" s="119" t="s">
        <v>2325</v>
      </c>
      <c r="S924" s="112">
        <v>557</v>
      </c>
      <c r="T924" s="168" t="str">
        <f t="shared" si="35"/>
        <v>MANTENIMIENTO - Dir. Mantenimiento - Materiales mantenimiento  Disponible $7434.1 Solicitado $537.1 PRESUPUESTO: SI</v>
      </c>
    </row>
    <row r="925" spans="1:20" ht="42" customHeight="1" x14ac:dyDescent="0.25">
      <c r="A925" s="115" t="s">
        <v>2333</v>
      </c>
      <c r="B925" s="118">
        <v>45364</v>
      </c>
      <c r="C925" s="129" t="s">
        <v>2305</v>
      </c>
      <c r="D925" s="116" t="s">
        <v>2334</v>
      </c>
      <c r="E925" s="65" t="s">
        <v>2335</v>
      </c>
      <c r="F925" t="s">
        <v>1582</v>
      </c>
      <c r="G925" s="161">
        <f>MONTH(EJECUTADO[[#This Row],[FECHA]])</f>
        <v>3</v>
      </c>
      <c r="H925" s="163" t="str">
        <f>MID(EJECUTADO[[#This Row],[CUENTA]],1,4)</f>
        <v>E-19</v>
      </c>
      <c r="I925" s="163" t="str">
        <f>INDEX(CATALOGO[Descripción],MATCH(EJECUTADO[[#This Row],[APLICACIÓN]]&amp;"-00-00-00",CATALOGO[Código],0))</f>
        <v>MANTENIMIENTO</v>
      </c>
      <c r="J9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925" s="161" t="str">
        <f>IF((EJECUTADO[[#This Row],[MONTO DISPONIBLE ]]-EJECUTADO[[#This Row],[MONTO SOLICITADO]])&gt;=0,"PRESUPUESTO: SI","PRESUPUESTO: NO")</f>
        <v>PRESUPUESTO: SI</v>
      </c>
      <c r="L925" s="162">
        <f>SUMIF(PRESUPUESTO[CUENTA],EJECUTADO[[#This Row],[CUENTA]],PRESUPUESTO[MONTO])-SUMIF($F$1:F924,EJECUTADO[[#This Row],[CUENTA]],$M$1:M924)</f>
        <v>4969.8500000000004</v>
      </c>
      <c r="M925" s="119">
        <v>62.68</v>
      </c>
      <c r="N925" s="84"/>
      <c r="O925" s="84"/>
      <c r="P925" s="162">
        <f>+EJECUTADO[[#This Row],[MONTO SOLICITADO]]-EJECUTADO[[#This Row],[RETENCION IVA]]-EJECUTADO[[#This Row],[RETENCION ISR]]</f>
        <v>62.68</v>
      </c>
      <c r="Q925" s="119" t="s">
        <v>1971</v>
      </c>
      <c r="R925" s="119" t="s">
        <v>2325</v>
      </c>
      <c r="S925" s="112">
        <v>557</v>
      </c>
      <c r="T925" s="168" t="str">
        <f t="shared" si="35"/>
        <v>MANTENIMIENTO - Dir. Mantenimiento - Materiales Eléctricos  Disponible $4969.85 Solicitado $62.68 PRESUPUESTO: SI</v>
      </c>
    </row>
    <row r="926" spans="1:20" ht="36" customHeight="1" x14ac:dyDescent="0.25">
      <c r="A926" s="115">
        <f>+A923+1</f>
        <v>872</v>
      </c>
      <c r="B926" s="118">
        <v>45364</v>
      </c>
      <c r="C926" s="129" t="s">
        <v>2336</v>
      </c>
      <c r="D926" s="65" t="s">
        <v>2337</v>
      </c>
      <c r="E926" s="65" t="s">
        <v>2338</v>
      </c>
      <c r="F926" t="s">
        <v>1591</v>
      </c>
      <c r="G926" s="161">
        <f>MONTH(EJECUTADO[[#This Row],[FECHA]])</f>
        <v>3</v>
      </c>
      <c r="H926" s="163" t="str">
        <f>MID(EJECUTADO[[#This Row],[CUENTA]],1,4)</f>
        <v>E-07</v>
      </c>
      <c r="I926" s="163" t="str">
        <f>INDEX(CATALOGO[Descripción],MATCH(EJECUTADO[[#This Row],[APLICACIÓN]]&amp;"-00-00-00",CATALOGO[Código],0))</f>
        <v>SERVICIOS TECNOLOGICOS</v>
      </c>
      <c r="J9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Enlace Comercial Columbus Network COLUMBUS NETWORKS  $ 11,967.00 x 12</v>
      </c>
      <c r="K926" s="161" t="str">
        <f>IF((EJECUTADO[[#This Row],[MONTO DISPONIBLE ]]-EJECUTADO[[#This Row],[MONTO SOLICITADO]])&gt;=0,"PRESUPUESTO: SI","PRESUPUESTO: NO")</f>
        <v>PRESUPUESTO: SI</v>
      </c>
      <c r="L926" s="162">
        <f>SUMIF(PRESUPUESTO[CUENTA],EJECUTADO[[#This Row],[CUENTA]],PRESUPUESTO[MONTO])-SUMIF($F$1:F925,EJECUTADO[[#This Row],[CUENTA]],$M$1:M925)</f>
        <v>131633.29999999999</v>
      </c>
      <c r="M926" s="119">
        <v>429.4</v>
      </c>
      <c r="N926" s="84"/>
      <c r="O926" s="84"/>
      <c r="P926" s="165">
        <f>+EJECUTADO[[#This Row],[MONTO SOLICITADO]]-EJECUTADO[[#This Row],[RETENCION IVA]]-EJECUTADO[[#This Row],[RETENCION ISR]]</f>
        <v>429.4</v>
      </c>
      <c r="Q926" s="119" t="s">
        <v>1971</v>
      </c>
      <c r="R926" s="119" t="s">
        <v>2325</v>
      </c>
      <c r="T926" s="168" t="str">
        <f t="shared" si="35"/>
        <v>SERVICIOS TECNOLOGICOS - Enlace Comercial Columbus Network COLUMBUS NETWORKS  $ 11,967.00 x 12 Disponible $131633.3 Solicitado $429.4 PRESUPUESTO: SI</v>
      </c>
    </row>
    <row r="927" spans="1:20" ht="36" customHeight="1" x14ac:dyDescent="0.25">
      <c r="A927" s="115" t="s">
        <v>2339</v>
      </c>
      <c r="B927" s="118">
        <v>45364</v>
      </c>
      <c r="C927" s="129" t="s">
        <v>2336</v>
      </c>
      <c r="D927" s="65" t="s">
        <v>2340</v>
      </c>
      <c r="E927" s="65" t="s">
        <v>2341</v>
      </c>
      <c r="F927" t="s">
        <v>1591</v>
      </c>
      <c r="G927" s="161">
        <f>MONTH(EJECUTADO[[#This Row],[FECHA]])</f>
        <v>3</v>
      </c>
      <c r="H927" s="163" t="str">
        <f>MID(EJECUTADO[[#This Row],[CUENTA]],1,4)</f>
        <v>E-07</v>
      </c>
      <c r="I927" s="163" t="str">
        <f>INDEX(CATALOGO[Descripción],MATCH(EJECUTADO[[#This Row],[APLICACIÓN]]&amp;"-00-00-00",CATALOGO[Código],0))</f>
        <v>SERVICIOS TECNOLOGICOS</v>
      </c>
      <c r="J9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Enlace Comercial Columbus Network COLUMBUS NETWORKS  $ 11,967.00 x 12</v>
      </c>
      <c r="K927" s="161" t="str">
        <f>IF((EJECUTADO[[#This Row],[MONTO DISPONIBLE ]]-EJECUTADO[[#This Row],[MONTO SOLICITADO]])&gt;=0,"PRESUPUESTO: SI","PRESUPUESTO: NO")</f>
        <v>PRESUPUESTO: SI</v>
      </c>
      <c r="L927" s="162">
        <f>SUMIF(PRESUPUESTO[CUENTA],EJECUTADO[[#This Row],[CUENTA]],PRESUPUESTO[MONTO])-SUMIF($F$1:F926,EJECUTADO[[#This Row],[CUENTA]],$M$1:M926)</f>
        <v>131203.9</v>
      </c>
      <c r="M927" s="119">
        <v>11260.45</v>
      </c>
      <c r="N927" s="84"/>
      <c r="O927" s="84"/>
      <c r="P927" s="165">
        <f>+EJECUTADO[[#This Row],[MONTO SOLICITADO]]-EJECUTADO[[#This Row],[RETENCION IVA]]-EJECUTADO[[#This Row],[RETENCION ISR]]</f>
        <v>11260.45</v>
      </c>
      <c r="Q927" s="119" t="s">
        <v>1971</v>
      </c>
      <c r="R927" s="119" t="s">
        <v>2325</v>
      </c>
      <c r="T927" s="168" t="str">
        <f t="shared" si="35"/>
        <v>SERVICIOS TECNOLOGICOS - Enlace Comercial Columbus Network COLUMBUS NETWORKS  $ 11,967.00 x 12 Disponible $131203.9 Solicitado $11260.45 PRESUPUESTO: SI</v>
      </c>
    </row>
    <row r="928" spans="1:20" ht="36" customHeight="1" x14ac:dyDescent="0.25">
      <c r="A928" s="115" t="s">
        <v>2342</v>
      </c>
      <c r="B928" s="118">
        <v>45364</v>
      </c>
      <c r="C928" s="129" t="s">
        <v>2336</v>
      </c>
      <c r="D928" s="65" t="s">
        <v>2343</v>
      </c>
      <c r="E928" s="65" t="s">
        <v>2344</v>
      </c>
      <c r="F928" t="s">
        <v>1591</v>
      </c>
      <c r="G928" s="161">
        <f>MONTH(EJECUTADO[[#This Row],[FECHA]])</f>
        <v>3</v>
      </c>
      <c r="H928" s="163" t="str">
        <f>MID(EJECUTADO[[#This Row],[CUENTA]],1,4)</f>
        <v>E-07</v>
      </c>
      <c r="I928" s="163" t="str">
        <f>INDEX(CATALOGO[Descripción],MATCH(EJECUTADO[[#This Row],[APLICACIÓN]]&amp;"-00-00-00",CATALOGO[Código],0))</f>
        <v>SERVICIOS TECNOLOGICOS</v>
      </c>
      <c r="J9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Enlace Comercial Columbus Network COLUMBUS NETWORKS  $ 11,967.00 x 12</v>
      </c>
      <c r="K928" s="161" t="str">
        <f>IF((EJECUTADO[[#This Row],[MONTO DISPONIBLE ]]-EJECUTADO[[#This Row],[MONTO SOLICITADO]])&gt;=0,"PRESUPUESTO: SI","PRESUPUESTO: NO")</f>
        <v>PRESUPUESTO: SI</v>
      </c>
      <c r="L928" s="162">
        <f>SUMIF(PRESUPUESTO[CUENTA],EJECUTADO[[#This Row],[CUENTA]],PRESUPUESTO[MONTO])-SUMIF($F$1:F927,EJECUTADO[[#This Row],[CUENTA]],$M$1:M927)</f>
        <v>119943.45</v>
      </c>
      <c r="M928" s="119">
        <v>2853.25</v>
      </c>
      <c r="N928" s="84"/>
      <c r="O928" s="84"/>
      <c r="P928" s="165">
        <f>+EJECUTADO[[#This Row],[MONTO SOLICITADO]]-EJECUTADO[[#This Row],[RETENCION IVA]]-EJECUTADO[[#This Row],[RETENCION ISR]]</f>
        <v>2853.25</v>
      </c>
      <c r="Q928" s="119" t="s">
        <v>1971</v>
      </c>
      <c r="R928" s="119" t="s">
        <v>2325</v>
      </c>
      <c r="T928" s="168" t="str">
        <f t="shared" si="35"/>
        <v>SERVICIOS TECNOLOGICOS - Enlace Comercial Columbus Network COLUMBUS NETWORKS  $ 11,967.00 x 12 Disponible $119943.45 Solicitado $2853.25 PRESUPUESTO: SI</v>
      </c>
    </row>
    <row r="929" spans="1:20" ht="45" x14ac:dyDescent="0.25">
      <c r="A929" s="6">
        <f>+A926+1</f>
        <v>873</v>
      </c>
      <c r="B929" s="21">
        <v>45364</v>
      </c>
      <c r="C929" s="126" t="s">
        <v>2345</v>
      </c>
      <c r="D929" s="65" t="s">
        <v>2346</v>
      </c>
      <c r="E929" s="65"/>
      <c r="F929" s="65" t="s">
        <v>1272</v>
      </c>
      <c r="G929" s="161">
        <f>MONTH(EJECUTADO[[#This Row],[FECHA]])</f>
        <v>3</v>
      </c>
      <c r="H929" s="163" t="str">
        <f>MID(EJECUTADO[[#This Row],[CUENTA]],1,4)</f>
        <v>E-24</v>
      </c>
      <c r="I929" s="163" t="str">
        <f>INDEX(CATALOGO[Descripción],MATCH(EJECUTADO[[#This Row],[APLICACIÓN]]&amp;"-00-00-00",CATALOGO[Código],0))</f>
        <v>NUEVO INGRESO</v>
      </c>
      <c r="J9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Centro de soluciones - Servicio telefónico Telefonica $ 419 x 12</v>
      </c>
      <c r="K929" s="161" t="str">
        <f>IF((EJECUTADO[[#This Row],[MONTO DISPONIBLE ]]-EJECUTADO[[#This Row],[MONTO SOLICITADO]])&gt;=0,"PRESUPUESTO: SI","PRESUPUESTO: NO")</f>
        <v>PRESUPUESTO: SI</v>
      </c>
      <c r="L929" s="162">
        <f>SUMIF(PRESUPUESTO[CUENTA],EJECUTADO[[#This Row],[CUENTA]],PRESUPUESTO[MONTO])-SUMIF($F$1:F928,EJECUTADO[[#This Row],[CUENTA]],$M$1:M928)</f>
        <v>4189.7700000000004</v>
      </c>
      <c r="M929" s="2">
        <v>419.23</v>
      </c>
      <c r="N929" s="84"/>
      <c r="O929" s="84"/>
      <c r="P929" s="162">
        <f>+EJECUTADO[[#This Row],[MONTO SOLICITADO]]-EJECUTADO[[#This Row],[RETENCION IVA]]-EJECUTADO[[#This Row],[RETENCION ISR]]</f>
        <v>419.23</v>
      </c>
      <c r="Q929" s="84" t="s">
        <v>1786</v>
      </c>
      <c r="R929" s="84"/>
      <c r="S929" s="112">
        <v>3272</v>
      </c>
      <c r="T929" s="168" t="str">
        <f t="shared" si="35"/>
        <v>NUEVO INGRESO - Centro de soluciones - Servicio telefónico Telefonica $ 419 x 12 Disponible $4189.77 Solicitado $419.23 PRESUPUESTO: SI</v>
      </c>
    </row>
    <row r="930" spans="1:20" ht="30" x14ac:dyDescent="0.25">
      <c r="A930" s="6">
        <v>873</v>
      </c>
      <c r="B930" s="21">
        <v>45364</v>
      </c>
      <c r="C930" s="126" t="s">
        <v>2345</v>
      </c>
      <c r="D930" s="65" t="s">
        <v>2347</v>
      </c>
      <c r="E930" s="65"/>
      <c r="F930" t="s">
        <v>1271</v>
      </c>
      <c r="G930" s="161">
        <f>MONTH(EJECUTADO[[#This Row],[FECHA]])</f>
        <v>3</v>
      </c>
      <c r="H930" s="163" t="str">
        <f>MID(EJECUTADO[[#This Row],[CUENTA]],1,4)</f>
        <v>E-24</v>
      </c>
      <c r="I930" s="163" t="str">
        <f>INDEX(CATALOGO[Descripción],MATCH(EJECUTADO[[#This Row],[APLICACIÓN]]&amp;"-00-00-00",CATALOGO[Código],0))</f>
        <v>NUEVO INGRESO</v>
      </c>
      <c r="J9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Internet $ 203.*12</v>
      </c>
      <c r="K930" s="161" t="str">
        <f>IF((EJECUTADO[[#This Row],[MONTO DISPONIBLE ]]-EJECUTADO[[#This Row],[MONTO SOLICITADO]])&gt;=0,"PRESUPUESTO: SI","PRESUPUESTO: NO")</f>
        <v>PRESUPUESTO: SI</v>
      </c>
      <c r="L930" s="162">
        <f>SUMIF(PRESUPUESTO[CUENTA],EJECUTADO[[#This Row],[CUENTA]],PRESUPUESTO[MONTO])-SUMIF($F$1:F929,EJECUTADO[[#This Row],[CUENTA]],$M$1:M929)</f>
        <v>2029.2</v>
      </c>
      <c r="M930" s="2">
        <v>203.4</v>
      </c>
      <c r="N930" s="84"/>
      <c r="O930" s="84"/>
      <c r="P930" s="162">
        <f>+EJECUTADO[[#This Row],[MONTO SOLICITADO]]-EJECUTADO[[#This Row],[RETENCION IVA]]-EJECUTADO[[#This Row],[RETENCION ISR]]</f>
        <v>203.4</v>
      </c>
      <c r="Q930" s="84" t="s">
        <v>1786</v>
      </c>
      <c r="R930" s="84"/>
      <c r="S930" s="112">
        <v>3272</v>
      </c>
      <c r="T930" s="168" t="str">
        <f t="shared" si="35"/>
        <v>NUEVO INGRESO - Metrocentro - Servicio Internet $ 203.*12 Disponible $2029.2 Solicitado $203.4 PRESUPUESTO: SI</v>
      </c>
    </row>
    <row r="931" spans="1:20" ht="30" x14ac:dyDescent="0.25">
      <c r="A931" s="6">
        <v>873</v>
      </c>
      <c r="B931" s="21">
        <v>45364</v>
      </c>
      <c r="C931" s="126" t="s">
        <v>2345</v>
      </c>
      <c r="D931" s="65" t="s">
        <v>2348</v>
      </c>
      <c r="E931" s="65"/>
      <c r="F931" t="s">
        <v>1273</v>
      </c>
      <c r="G931" s="161">
        <f>MONTH(EJECUTADO[[#This Row],[FECHA]])</f>
        <v>3</v>
      </c>
      <c r="H931" s="163" t="str">
        <f>MID(EJECUTADO[[#This Row],[CUENTA]],1,4)</f>
        <v>E-24</v>
      </c>
      <c r="I931" s="163" t="str">
        <f>INDEX(CATALOGO[Descripción],MATCH(EJECUTADO[[#This Row],[APLICACIÓN]]&amp;"-00-00-00",CATALOGO[Código],0))</f>
        <v>NUEVO INGRESO</v>
      </c>
      <c r="J9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internet $ 203 x 12</v>
      </c>
      <c r="K931" s="161" t="str">
        <f>IF((EJECUTADO[[#This Row],[MONTO DISPONIBLE ]]-EJECUTADO[[#This Row],[MONTO SOLICITADO]])&gt;=0,"PRESUPUESTO: SI","PRESUPUESTO: NO")</f>
        <v>PRESUPUESTO: SI</v>
      </c>
      <c r="L931" s="162">
        <f>SUMIF(PRESUPUESTO[CUENTA],EJECUTADO[[#This Row],[CUENTA]],PRESUPUESTO[MONTO])-SUMIF($F$1:F930,EJECUTADO[[#This Row],[CUENTA]],$M$1:M930)</f>
        <v>1820.15</v>
      </c>
      <c r="M931" s="2">
        <v>203.4</v>
      </c>
      <c r="N931" s="84"/>
      <c r="O931" s="84"/>
      <c r="P931" s="162">
        <f>+EJECUTADO[[#This Row],[MONTO SOLICITADO]]-EJECUTADO[[#This Row],[RETENCION IVA]]-EJECUTADO[[#This Row],[RETENCION ISR]]</f>
        <v>203.4</v>
      </c>
      <c r="Q931" s="84" t="s">
        <v>1786</v>
      </c>
      <c r="R931" s="84"/>
      <c r="S931" s="112">
        <v>3272</v>
      </c>
      <c r="T931" s="168" t="str">
        <f t="shared" si="35"/>
        <v>NUEVO INGRESO - Plaza Mundo - Servicio internet $ 203 x 12 Disponible $1820.15 Solicitado $203.4 PRESUPUESTO: SI</v>
      </c>
    </row>
    <row r="932" spans="1:20" ht="45" x14ac:dyDescent="0.25">
      <c r="A932" s="6">
        <v>873</v>
      </c>
      <c r="B932" s="21">
        <v>45364</v>
      </c>
      <c r="C932" s="126" t="s">
        <v>2345</v>
      </c>
      <c r="D932" s="65" t="s">
        <v>2349</v>
      </c>
      <c r="E932" s="65"/>
      <c r="F932" t="s">
        <v>1269</v>
      </c>
      <c r="G932" s="161">
        <f>MONTH(EJECUTADO[[#This Row],[FECHA]])</f>
        <v>3</v>
      </c>
      <c r="H932" s="163" t="str">
        <f>MID(EJECUTADO[[#This Row],[CUENTA]],1,4)</f>
        <v>E-24</v>
      </c>
      <c r="I932" s="163" t="str">
        <f>INDEX(CATALOGO[Descripción],MATCH(EJECUTADO[[#This Row],[APLICACIÓN]]&amp;"-00-00-00",CATALOGO[Código],0))</f>
        <v>NUEVO INGRESO</v>
      </c>
      <c r="J9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telefónico  $ 20 X 12</v>
      </c>
      <c r="K932" s="161" t="str">
        <f>IF((EJECUTADO[[#This Row],[MONTO DISPONIBLE ]]-EJECUTADO[[#This Row],[MONTO SOLICITADO]])&gt;=0,"PRESUPUESTO: SI","PRESUPUESTO: NO")</f>
        <v>PRESUPUESTO: SI</v>
      </c>
      <c r="L932" s="162">
        <f>SUMIF(PRESUPUESTO[CUENTA],EJECUTADO[[#This Row],[CUENTA]],PRESUPUESTO[MONTO])-SUMIF($F$1:F931,EJECUTADO[[#This Row],[CUENTA]],$M$1:M931)</f>
        <v>241.2</v>
      </c>
      <c r="M932" s="2">
        <v>22.14</v>
      </c>
      <c r="N932" s="84"/>
      <c r="O932" s="84"/>
      <c r="P932" s="162">
        <f>+EJECUTADO[[#This Row],[MONTO SOLICITADO]]-EJECUTADO[[#This Row],[RETENCION IVA]]-EJECUTADO[[#This Row],[RETENCION ISR]]</f>
        <v>22.14</v>
      </c>
      <c r="Q932" s="84" t="s">
        <v>1786</v>
      </c>
      <c r="R932" s="84"/>
      <c r="S932" s="112">
        <v>3272</v>
      </c>
      <c r="T932" s="168" t="str">
        <f t="shared" si="35"/>
        <v>NUEVO INGRESO - Plaza Mundo - Servicio telefónico  $ 20 X 12 Disponible $241.2 Solicitado $22.14 PRESUPUESTO: SI</v>
      </c>
    </row>
    <row r="933" spans="1:20" ht="60" x14ac:dyDescent="0.25">
      <c r="A933" s="6">
        <v>873</v>
      </c>
      <c r="B933" s="21">
        <v>45364</v>
      </c>
      <c r="C933" s="126" t="s">
        <v>2345</v>
      </c>
      <c r="D933" s="65" t="s">
        <v>2350</v>
      </c>
      <c r="E933" s="65"/>
      <c r="F933" t="s">
        <v>1617</v>
      </c>
      <c r="G933" s="161">
        <f>MONTH(EJECUTADO[[#This Row],[FECHA]])</f>
        <v>3</v>
      </c>
      <c r="H933" s="163" t="str">
        <f>MID(EJECUTADO[[#This Row],[CUENTA]],1,4)</f>
        <v>E-10</v>
      </c>
      <c r="I933" s="163" t="str">
        <f>INDEX(CATALOGO[Descripción],MATCH(EJECUTADO[[#This Row],[APLICACIÓN]]&amp;"-00-00-00",CATALOGO[Código],0))</f>
        <v>SERVICIOS PUBLICOS</v>
      </c>
      <c r="J9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933" s="161" t="str">
        <f>IF((EJECUTADO[[#This Row],[MONTO DISPONIBLE ]]-EJECUTADO[[#This Row],[MONTO SOLICITADO]])&gt;=0,"PRESUPUESTO: SI","PRESUPUESTO: NO")</f>
        <v>PRESUPUESTO: SI</v>
      </c>
      <c r="L933" s="162">
        <f>SUMIF(PRESUPUESTO[CUENTA],EJECUTADO[[#This Row],[CUENTA]],PRESUPUESTO[MONTO])-SUMIF($F$1:F932,EJECUTADO[[#This Row],[CUENTA]],$M$1:M932)</f>
        <v>45042.8</v>
      </c>
      <c r="M933" s="2">
        <v>338.99</v>
      </c>
      <c r="N933" s="84"/>
      <c r="O933" s="84"/>
      <c r="P933" s="162">
        <f>+EJECUTADO[[#This Row],[MONTO SOLICITADO]]-EJECUTADO[[#This Row],[RETENCION IVA]]-EJECUTADO[[#This Row],[RETENCION ISR]]</f>
        <v>338.99</v>
      </c>
      <c r="Q933" s="84" t="s">
        <v>1786</v>
      </c>
      <c r="R933" s="84"/>
      <c r="S933" s="112">
        <v>3272</v>
      </c>
      <c r="T933" s="168" t="str">
        <f t="shared" si="35"/>
        <v>SERVICIOS PUBLICOS - SERVICIO TELEFÓNICO Disponible $45042.8 Solicitado $338.99 PRESUPUESTO: SI</v>
      </c>
    </row>
    <row r="934" spans="1:20" ht="45" x14ac:dyDescent="0.25">
      <c r="A934" s="6">
        <v>873</v>
      </c>
      <c r="B934" s="21">
        <v>45364</v>
      </c>
      <c r="C934" s="126" t="s">
        <v>2345</v>
      </c>
      <c r="D934" s="65" t="s">
        <v>2351</v>
      </c>
      <c r="E934" s="65"/>
      <c r="F934" t="s">
        <v>1268</v>
      </c>
      <c r="G934" s="161">
        <f>MONTH(EJECUTADO[[#This Row],[FECHA]])</f>
        <v>3</v>
      </c>
      <c r="H934" s="163" t="str">
        <f>MID(EJECUTADO[[#This Row],[CUENTA]],1,4)</f>
        <v>E-13</v>
      </c>
      <c r="I934" s="163" t="str">
        <f>INDEX(CATALOGO[Descripción],MATCH(EJECUTADO[[#This Row],[APLICACIÓN]]&amp;"-00-00-00",CATALOGO[Código],0))</f>
        <v>MAESTRIAS Y POSTGRADOS</v>
      </c>
      <c r="J9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 DE TELEFONO </v>
      </c>
      <c r="K934" s="161" t="str">
        <f>IF((EJECUTADO[[#This Row],[MONTO DISPONIBLE ]]-EJECUTADO[[#This Row],[MONTO SOLICITADO]])&gt;=0,"PRESUPUESTO: SI","PRESUPUESTO: NO")</f>
        <v>PRESUPUESTO: SI</v>
      </c>
      <c r="L934" s="162">
        <f>SUMIF(PRESUPUESTO[CUENTA],EJECUTADO[[#This Row],[CUENTA]],PRESUPUESTO[MONTO])-SUMIF($F$1:F933,EJECUTADO[[#This Row],[CUENTA]],$M$1:M933)</f>
        <v>3051.0299999999997</v>
      </c>
      <c r="M934" s="2">
        <v>338.99</v>
      </c>
      <c r="N934" s="84"/>
      <c r="O934" s="84"/>
      <c r="P934" s="162">
        <f>+EJECUTADO[[#This Row],[MONTO SOLICITADO]]-EJECUTADO[[#This Row],[RETENCION IVA]]-EJECUTADO[[#This Row],[RETENCION ISR]]</f>
        <v>338.99</v>
      </c>
      <c r="Q934" s="84" t="s">
        <v>1786</v>
      </c>
      <c r="R934" s="84"/>
      <c r="S934" s="112">
        <v>3272</v>
      </c>
      <c r="T934" s="168" t="str">
        <f t="shared" si="35"/>
        <v>MAESTRIAS Y POSTGRADOS - SERVICIO DE TELEFONO  Disponible $3051.03 Solicitado $338.99 PRESUPUESTO: SI</v>
      </c>
    </row>
    <row r="935" spans="1:20" ht="60" x14ac:dyDescent="0.25">
      <c r="A935" s="6">
        <f t="shared" si="34"/>
        <v>874</v>
      </c>
      <c r="B935" s="21">
        <v>45365</v>
      </c>
      <c r="C935" s="126" t="s">
        <v>2352</v>
      </c>
      <c r="D935" s="65" t="s">
        <v>2353</v>
      </c>
      <c r="E935" s="65" t="s">
        <v>1915</v>
      </c>
      <c r="G935" s="161">
        <f>MONTH(EJECUTADO[[#This Row],[FECHA]])</f>
        <v>3</v>
      </c>
      <c r="H935" s="163" t="str">
        <f>MID(EJECUTADO[[#This Row],[CUENTA]],1,4)</f>
        <v/>
      </c>
      <c r="I935" s="163" t="e">
        <f>INDEX(CATALOGO[Descripción],MATCH(EJECUTADO[[#This Row],[APLICACIÓN]]&amp;"-00-00-00",CATALOGO[Código],0))</f>
        <v>#N/A</v>
      </c>
      <c r="J93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35" s="161" t="str">
        <f>IF((EJECUTADO[[#This Row],[MONTO DISPONIBLE ]]-EJECUTADO[[#This Row],[MONTO SOLICITADO]])&gt;=0,"PRESUPUESTO: SI","PRESUPUESTO: NO")</f>
        <v>PRESUPUESTO: NO</v>
      </c>
      <c r="L935" s="162">
        <f>SUMIF(PRESUPUESTO[CUENTA],EJECUTADO[[#This Row],[CUENTA]],PRESUPUESTO[MONTO])-SUMIF($F$1:F934,EJECUTADO[[#This Row],[CUENTA]],$M$1:M934)</f>
        <v>0</v>
      </c>
      <c r="M935" s="2">
        <v>600</v>
      </c>
      <c r="N935" s="84"/>
      <c r="O935" s="84">
        <v>60</v>
      </c>
      <c r="P935" s="162">
        <f>+EJECUTADO[[#This Row],[MONTO SOLICITADO]]-EJECUTADO[[#This Row],[RETENCION IVA]]-EJECUTADO[[#This Row],[RETENCION ISR]]</f>
        <v>540</v>
      </c>
      <c r="Q935" s="84" t="s">
        <v>1554</v>
      </c>
      <c r="R935" s="84"/>
      <c r="S935" s="112">
        <v>3281</v>
      </c>
      <c r="T935" s="168" t="e">
        <f t="shared" si="35"/>
        <v>#N/A</v>
      </c>
    </row>
    <row r="936" spans="1:20" ht="60" x14ac:dyDescent="0.25">
      <c r="A936" s="6">
        <f t="shared" si="34"/>
        <v>875</v>
      </c>
      <c r="B936" s="21">
        <v>45365</v>
      </c>
      <c r="C936" s="126" t="s">
        <v>1349</v>
      </c>
      <c r="D936" s="65" t="s">
        <v>2353</v>
      </c>
      <c r="E936" s="65" t="s">
        <v>2354</v>
      </c>
      <c r="F936" t="s">
        <v>2355</v>
      </c>
      <c r="G936" s="161">
        <f>MONTH(EJECUTADO[[#This Row],[FECHA]])</f>
        <v>3</v>
      </c>
      <c r="H936" s="163" t="str">
        <f>MID(EJECUTADO[[#This Row],[CUENTA]],1,4)</f>
        <v>E-32</v>
      </c>
      <c r="I936" s="163" t="str">
        <f>INDEX(CATALOGO[Descripción],MATCH(EJECUTADO[[#This Row],[APLICACIÓN]]&amp;"-00-00-00",CATALOGO[Código],0))</f>
        <v>RELACIONES INTERNACIONALES</v>
      </c>
      <c r="J9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 revisión curricularr profesor visitante USA por FICA</v>
      </c>
      <c r="K936" s="161" t="str">
        <f>IF((EJECUTADO[[#This Row],[MONTO DISPONIBLE ]]-EJECUTADO[[#This Row],[MONTO SOLICITADO]])&gt;=0,"PRESUPUESTO: SI","PRESUPUESTO: NO")</f>
        <v>PRESUPUESTO: SI</v>
      </c>
      <c r="L936" s="162">
        <f>SUMIF(PRESUPUESTO[CUENTA],EJECUTADO[[#This Row],[CUENTA]],PRESUPUESTO[MONTO])-SUMIF($F$1:F935,EJECUTADO[[#This Row],[CUENTA]],$M$1:M935)</f>
        <v>9000</v>
      </c>
      <c r="M936" s="2">
        <v>1500</v>
      </c>
      <c r="N936" s="84"/>
      <c r="O936" s="84">
        <v>150</v>
      </c>
      <c r="P936" s="162">
        <f>+EJECUTADO[[#This Row],[MONTO SOLICITADO]]-EJECUTADO[[#This Row],[RETENCION IVA]]-EJECUTADO[[#This Row],[RETENCION ISR]]</f>
        <v>1350</v>
      </c>
      <c r="Q936" s="84" t="s">
        <v>1554</v>
      </c>
      <c r="R936" s="84"/>
      <c r="S936" s="112">
        <v>3282</v>
      </c>
      <c r="T936" s="168" t="str">
        <f t="shared" si="35"/>
        <v>RELACIONES INTERNACIONALES - Proyecto revisión curricularr profesor visitante USA por FICA Disponible $9000 Solicitado $1500 PRESUPUESTO: SI</v>
      </c>
    </row>
    <row r="937" spans="1:20" ht="45" x14ac:dyDescent="0.25">
      <c r="A937" s="6">
        <f t="shared" si="34"/>
        <v>876</v>
      </c>
      <c r="B937" s="21">
        <v>45365</v>
      </c>
      <c r="C937" s="126" t="s">
        <v>2356</v>
      </c>
      <c r="D937" s="65" t="s">
        <v>2357</v>
      </c>
      <c r="E937" s="65" t="s">
        <v>1915</v>
      </c>
      <c r="F937" t="s">
        <v>1032</v>
      </c>
      <c r="G937" s="161">
        <f>MONTH(EJECUTADO[[#This Row],[FECHA]])</f>
        <v>3</v>
      </c>
      <c r="H937" s="163" t="str">
        <f>MID(EJECUTADO[[#This Row],[CUENTA]],1,4)</f>
        <v>E-09</v>
      </c>
      <c r="I937" s="163" t="str">
        <f>INDEX(CATALOGO[Descripción],MATCH(EJECUTADO[[#This Row],[APLICACIÓN]]&amp;"-00-00-00",CATALOGO[Código],0))</f>
        <v>PRESTACIONES AL PERSONAL</v>
      </c>
      <c r="J9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937" s="161" t="str">
        <f>IF((EJECUTADO[[#This Row],[MONTO DISPONIBLE ]]-EJECUTADO[[#This Row],[MONTO SOLICITADO]])&gt;=0,"PRESUPUESTO: SI","PRESUPUESTO: NO")</f>
        <v>PRESUPUESTO: SI</v>
      </c>
      <c r="L937" s="162">
        <f>SUMIF(PRESUPUESTO[CUENTA],EJECUTADO[[#This Row],[CUENTA]],PRESUPUESTO[MONTO])-SUMIF($F$1:F936,EJECUTADO[[#This Row],[CUENTA]],$M$1:M936)</f>
        <v>75663.77</v>
      </c>
      <c r="M937" s="2">
        <v>717.27</v>
      </c>
      <c r="N937" s="84"/>
      <c r="O937" s="84"/>
      <c r="P937" s="162">
        <f>+EJECUTADO[[#This Row],[MONTO SOLICITADO]]-EJECUTADO[[#This Row],[RETENCION IVA]]-EJECUTADO[[#This Row],[RETENCION ISR]]</f>
        <v>717.27</v>
      </c>
      <c r="Q937" s="84" t="s">
        <v>1554</v>
      </c>
      <c r="R937" s="84"/>
      <c r="S937" s="112">
        <v>3278</v>
      </c>
      <c r="T937" s="168" t="str">
        <f t="shared" si="35"/>
        <v>PRESTACIONES AL PERSONAL - Liquidaciones laborales y compensaciones Disponible $75663.77 Solicitado $717.27 PRESUPUESTO: SI</v>
      </c>
    </row>
    <row r="938" spans="1:20" ht="45" x14ac:dyDescent="0.25">
      <c r="A938" s="6">
        <f t="shared" si="34"/>
        <v>877</v>
      </c>
      <c r="B938" s="21">
        <v>45365</v>
      </c>
      <c r="C938" s="126" t="s">
        <v>1263</v>
      </c>
      <c r="D938" s="65" t="s">
        <v>1955</v>
      </c>
      <c r="E938" s="65"/>
      <c r="F938" t="s">
        <v>1082</v>
      </c>
      <c r="G938" s="161">
        <f>MONTH(EJECUTADO[[#This Row],[FECHA]])</f>
        <v>3</v>
      </c>
      <c r="H938" s="163" t="str">
        <f>MID(EJECUTADO[[#This Row],[CUENTA]],1,4)</f>
        <v>E-10</v>
      </c>
      <c r="I938" s="163" t="str">
        <f>INDEX(CATALOGO[Descripción],MATCH(EJECUTADO[[#This Row],[APLICACIÓN]]&amp;"-00-00-00",CATALOGO[Código],0))</f>
        <v>SERVICIOS PUBLICOS</v>
      </c>
      <c r="J9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938" s="161" t="str">
        <f>IF((EJECUTADO[[#This Row],[MONTO DISPONIBLE ]]-EJECUTADO[[#This Row],[MONTO SOLICITADO]])&gt;=0,"PRESUPUESTO: SI","PRESUPUESTO: NO")</f>
        <v>PRESUPUESTO: SI</v>
      </c>
      <c r="L938" s="162">
        <f>SUMIF(PRESUPUESTO[CUENTA],EJECUTADO[[#This Row],[CUENTA]],PRESUPUESTO[MONTO])-SUMIF($F$1:F937,EJECUTADO[[#This Row],[CUENTA]],$M$1:M937)</f>
        <v>140965.43</v>
      </c>
      <c r="M938" s="2">
        <v>6931.03</v>
      </c>
      <c r="N938" s="84"/>
      <c r="O938" s="153"/>
      <c r="P938" s="162">
        <f>+EJECUTADO[[#This Row],[MONTO SOLICITADO]]-EJECUTADO[[#This Row],[RETENCION IVA]]-EJECUTADO[[#This Row],[RETENCION ISR]]</f>
        <v>6931.03</v>
      </c>
      <c r="Q938" s="84"/>
      <c r="R938" s="84"/>
      <c r="S938">
        <v>3274</v>
      </c>
      <c r="T938" s="168" t="str">
        <f t="shared" si="35"/>
        <v>SERVICIOS PUBLICOS - IMPUESTOS FISCALES  Disponible $140965.43 Solicitado $6931.03 PRESUPUESTO: SI</v>
      </c>
    </row>
    <row r="939" spans="1:20" ht="75" x14ac:dyDescent="0.25">
      <c r="A939" s="6" t="s">
        <v>2358</v>
      </c>
      <c r="B939" s="21">
        <v>45365</v>
      </c>
      <c r="C939" s="126" t="s">
        <v>1263</v>
      </c>
      <c r="D939" s="65" t="s">
        <v>2359</v>
      </c>
      <c r="E939" s="65"/>
      <c r="F939" t="s">
        <v>1082</v>
      </c>
      <c r="G939" s="161">
        <f>MONTH(EJECUTADO[[#This Row],[FECHA]])</f>
        <v>3</v>
      </c>
      <c r="H939" s="163" t="str">
        <f>MID(EJECUTADO[[#This Row],[CUENTA]],1,4)</f>
        <v>E-10</v>
      </c>
      <c r="I939" s="163" t="str">
        <f>INDEX(CATALOGO[Descripción],MATCH(EJECUTADO[[#This Row],[APLICACIÓN]]&amp;"-00-00-00",CATALOGO[Código],0))</f>
        <v>SERVICIOS PUBLICOS</v>
      </c>
      <c r="J9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939" s="161" t="str">
        <f>IF((EJECUTADO[[#This Row],[MONTO DISPONIBLE ]]-EJECUTADO[[#This Row],[MONTO SOLICITADO]])&gt;=0,"PRESUPUESTO: SI","PRESUPUESTO: NO")</f>
        <v>PRESUPUESTO: SI</v>
      </c>
      <c r="L939" s="162">
        <f>SUMIF(PRESUPUESTO[CUENTA],EJECUTADO[[#This Row],[CUENTA]],PRESUPUESTO[MONTO])-SUMIF($F$1:F938,EJECUTADO[[#This Row],[CUENTA]],$M$1:M938)</f>
        <v>134034.4</v>
      </c>
      <c r="M939" s="2">
        <v>1447.07</v>
      </c>
      <c r="N939" s="84"/>
      <c r="O939" s="153"/>
      <c r="P939" s="162">
        <f>+EJECUTADO[[#This Row],[MONTO SOLICITADO]]-EJECUTADO[[#This Row],[RETENCION IVA]]-EJECUTADO[[#This Row],[RETENCION ISR]]</f>
        <v>1447.07</v>
      </c>
      <c r="Q939" s="84"/>
      <c r="R939" s="84"/>
      <c r="S939">
        <v>3274</v>
      </c>
      <c r="T939" s="168" t="str">
        <f t="shared" si="35"/>
        <v>SERVICIOS PUBLICOS - IMPUESTOS FISCALES  Disponible $134034.4 Solicitado $1447.07 PRESUPUESTO: SI</v>
      </c>
    </row>
    <row r="940" spans="1:20" ht="75" x14ac:dyDescent="0.25">
      <c r="A940" s="6" t="s">
        <v>2360</v>
      </c>
      <c r="B940" s="21">
        <v>45365</v>
      </c>
      <c r="C940" s="126" t="s">
        <v>1263</v>
      </c>
      <c r="D940" s="65" t="s">
        <v>2361</v>
      </c>
      <c r="E940" s="65"/>
      <c r="F940" t="s">
        <v>1348</v>
      </c>
      <c r="G940" s="161">
        <f>MONTH(EJECUTADO[[#This Row],[FECHA]])</f>
        <v>3</v>
      </c>
      <c r="H940" s="163" t="str">
        <f>MID(EJECUTADO[[#This Row],[CUENTA]],1,4)</f>
        <v>E-13</v>
      </c>
      <c r="I940" s="163" t="str">
        <f>INDEX(CATALOGO[Descripción],MATCH(EJECUTADO[[#This Row],[APLICACIÓN]]&amp;"-00-00-00",CATALOGO[Código],0))</f>
        <v>MAESTRIAS Y POSTGRADOS</v>
      </c>
      <c r="J9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IMPUESTOS MUNICIPALES -MAE</v>
      </c>
      <c r="K940" s="161" t="str">
        <f>IF((EJECUTADO[[#This Row],[MONTO DISPONIBLE ]]-EJECUTADO[[#This Row],[MONTO SOLICITADO]])&gt;=0,"PRESUPUESTO: SI","PRESUPUESTO: NO")</f>
        <v>PRESUPUESTO: SI</v>
      </c>
      <c r="L940" s="162">
        <f>SUMIF(PRESUPUESTO[CUENTA],EJECUTADO[[#This Row],[CUENTA]],PRESUPUESTO[MONTO])-SUMIF($F$1:F939,EJECUTADO[[#This Row],[CUENTA]],$M$1:M939)</f>
        <v>14222.619999999999</v>
      </c>
      <c r="M940" s="2">
        <v>1293.3800000000001</v>
      </c>
      <c r="N940" s="84"/>
      <c r="O940" s="153"/>
      <c r="P940" s="162">
        <f>+EJECUTADO[[#This Row],[MONTO SOLICITADO]]-EJECUTADO[[#This Row],[RETENCION IVA]]-EJECUTADO[[#This Row],[RETENCION ISR]]</f>
        <v>1293.3800000000001</v>
      </c>
      <c r="Q940" s="84"/>
      <c r="R940" s="84"/>
      <c r="S940">
        <v>3274</v>
      </c>
      <c r="T940" s="168" t="str">
        <f t="shared" si="35"/>
        <v>MAESTRIAS Y POSTGRADOS - IMPUESTOS MUNICIPALES -MAE Disponible $14222.62 Solicitado $1293.38 PRESUPUESTO: SI</v>
      </c>
    </row>
    <row r="941" spans="1:20" ht="45" x14ac:dyDescent="0.25">
      <c r="A941" s="6">
        <v>878</v>
      </c>
      <c r="B941" s="21">
        <v>45365</v>
      </c>
      <c r="C941" s="126" t="s">
        <v>2362</v>
      </c>
      <c r="D941" s="65" t="s">
        <v>2363</v>
      </c>
      <c r="E941" s="65" t="s">
        <v>1915</v>
      </c>
      <c r="F941" t="s">
        <v>1286</v>
      </c>
      <c r="G941" s="161">
        <f>MONTH(EJECUTADO[[#This Row],[FECHA]])</f>
        <v>3</v>
      </c>
      <c r="H941" s="163" t="str">
        <f>MID(EJECUTADO[[#This Row],[CUENTA]],1,4)</f>
        <v>E-09</v>
      </c>
      <c r="I941" s="163" t="str">
        <f>INDEX(CATALOGO[Descripción],MATCH(EJECUTADO[[#This Row],[APLICACIÓN]]&amp;"-00-00-00",CATALOGO[Código],0))</f>
        <v>PRESTACIONES AL PERSONAL</v>
      </c>
      <c r="J9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941" s="161" t="str">
        <f>IF((EJECUTADO[[#This Row],[MONTO DISPONIBLE ]]-EJECUTADO[[#This Row],[MONTO SOLICITADO]])&gt;=0,"PRESUPUESTO: SI","PRESUPUESTO: NO")</f>
        <v>PRESUPUESTO: SI</v>
      </c>
      <c r="L941" s="162">
        <f>SUMIF(PRESUPUESTO[CUENTA],EJECUTADO[[#This Row],[CUENTA]],PRESUPUESTO[MONTO])-SUMIF($F$1:F940,EJECUTADO[[#This Row],[CUENTA]],$M$1:M940)</f>
        <v>19602.13</v>
      </c>
      <c r="M941" s="2">
        <v>1434.84</v>
      </c>
      <c r="N941" s="84"/>
      <c r="O941" s="112">
        <v>547</v>
      </c>
      <c r="P941" s="162">
        <f>+EJECUTADO[[#This Row],[MONTO SOLICITADO]]-EJECUTADO[[#This Row],[RETENCION IVA]]-EJECUTADO[[#This Row],[RETENCION ISR]]</f>
        <v>887.83999999999992</v>
      </c>
      <c r="Q941" s="84" t="s">
        <v>1554</v>
      </c>
      <c r="R941" s="84"/>
      <c r="S941">
        <v>1</v>
      </c>
      <c r="T941" s="168" t="str">
        <f t="shared" si="35"/>
        <v>PRESTACIONES AL PERSONAL - Cuotas Clubes Sociales Disponible $19602.13 Solicitado $1434.84 PRESUPUESTO: SI</v>
      </c>
    </row>
    <row r="942" spans="1:20" ht="75" x14ac:dyDescent="0.25">
      <c r="A942" s="6">
        <f t="shared" si="34"/>
        <v>879</v>
      </c>
      <c r="B942" s="21">
        <v>45365</v>
      </c>
      <c r="C942" s="126" t="s">
        <v>1288</v>
      </c>
      <c r="D942" s="65" t="s">
        <v>2364</v>
      </c>
      <c r="E942" s="65" t="s">
        <v>1915</v>
      </c>
      <c r="F942" t="s">
        <v>1286</v>
      </c>
      <c r="G942" s="161">
        <f>MONTH(EJECUTADO[[#This Row],[FECHA]])</f>
        <v>3</v>
      </c>
      <c r="H942" s="163" t="str">
        <f>MID(EJECUTADO[[#This Row],[CUENTA]],1,4)</f>
        <v>E-09</v>
      </c>
      <c r="I942" s="163" t="str">
        <f>INDEX(CATALOGO[Descripción],MATCH(EJECUTADO[[#This Row],[APLICACIÓN]]&amp;"-00-00-00",CATALOGO[Código],0))</f>
        <v>PRESTACIONES AL PERSONAL</v>
      </c>
      <c r="J9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942" s="161" t="str">
        <f>IF((EJECUTADO[[#This Row],[MONTO DISPONIBLE ]]-EJECUTADO[[#This Row],[MONTO SOLICITADO]])&gt;=0,"PRESUPUESTO: SI","PRESUPUESTO: NO")</f>
        <v>PRESUPUESTO: SI</v>
      </c>
      <c r="L942" s="162">
        <f>SUMIF(PRESUPUESTO[CUENTA],EJECUTADO[[#This Row],[CUENTA]],PRESUPUESTO[MONTO])-SUMIF($F$1:F941,EJECUTADO[[#This Row],[CUENTA]],$M$1:M941)</f>
        <v>18167.29</v>
      </c>
      <c r="M942" s="2">
        <v>309.85000000000002</v>
      </c>
      <c r="N942" s="84"/>
      <c r="O942" s="84"/>
      <c r="P942" s="162">
        <f>+EJECUTADO[[#This Row],[MONTO SOLICITADO]]-EJECUTADO[[#This Row],[RETENCION IVA]]-EJECUTADO[[#This Row],[RETENCION ISR]]</f>
        <v>309.85000000000002</v>
      </c>
      <c r="Q942" s="84" t="s">
        <v>1554</v>
      </c>
      <c r="R942" s="84"/>
      <c r="S942" s="112">
        <v>548</v>
      </c>
      <c r="T942" s="168" t="str">
        <f t="shared" si="35"/>
        <v>PRESTACIONES AL PERSONAL - Cuotas Clubes Sociales Disponible $18167.29 Solicitado $309.85 PRESUPUESTO: SI</v>
      </c>
    </row>
    <row r="943" spans="1:20" ht="60" x14ac:dyDescent="0.25">
      <c r="A943" s="6">
        <f t="shared" si="34"/>
        <v>880</v>
      </c>
      <c r="B943" s="21">
        <v>45365</v>
      </c>
      <c r="C943" s="126" t="s">
        <v>2365</v>
      </c>
      <c r="D943" s="65" t="s">
        <v>2366</v>
      </c>
      <c r="E943" s="65" t="s">
        <v>1915</v>
      </c>
      <c r="F943" t="s">
        <v>1032</v>
      </c>
      <c r="G943" s="161">
        <f>MONTH(EJECUTADO[[#This Row],[FECHA]])</f>
        <v>3</v>
      </c>
      <c r="H943" s="163" t="str">
        <f>MID(EJECUTADO[[#This Row],[CUENTA]],1,4)</f>
        <v>E-09</v>
      </c>
      <c r="I943" s="163" t="str">
        <f>INDEX(CATALOGO[Descripción],MATCH(EJECUTADO[[#This Row],[APLICACIÓN]]&amp;"-00-00-00",CATALOGO[Código],0))</f>
        <v>PRESTACIONES AL PERSONAL</v>
      </c>
      <c r="J9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943" s="161" t="str">
        <f>IF((EJECUTADO[[#This Row],[MONTO DISPONIBLE ]]-EJECUTADO[[#This Row],[MONTO SOLICITADO]])&gt;=0,"PRESUPUESTO: SI","PRESUPUESTO: NO")</f>
        <v>PRESUPUESTO: SI</v>
      </c>
      <c r="L943" s="162">
        <f>SUMIF(PRESUPUESTO[CUENTA],EJECUTADO[[#This Row],[CUENTA]],PRESUPUESTO[MONTO])-SUMIF($F$1:F942,EJECUTADO[[#This Row],[CUENTA]],$M$1:M942)</f>
        <v>74946.5</v>
      </c>
      <c r="M943" s="2">
        <v>1743.95</v>
      </c>
      <c r="N943" s="84"/>
      <c r="O943" s="84"/>
      <c r="P943" s="162">
        <f>+EJECUTADO[[#This Row],[MONTO SOLICITADO]]-EJECUTADO[[#This Row],[RETENCION IVA]]-EJECUTADO[[#This Row],[RETENCION ISR]]</f>
        <v>1743.95</v>
      </c>
      <c r="Q943" s="84" t="s">
        <v>1554</v>
      </c>
      <c r="R943" s="84"/>
      <c r="S943" s="112">
        <v>757</v>
      </c>
      <c r="T943" s="168" t="str">
        <f t="shared" si="35"/>
        <v>PRESTACIONES AL PERSONAL - Liquidaciones laborales y compensaciones Disponible $74946.5 Solicitado $1743.95 PRESUPUESTO: SI</v>
      </c>
    </row>
    <row r="944" spans="1:20" ht="75" x14ac:dyDescent="0.25">
      <c r="A944" s="6">
        <f t="shared" si="34"/>
        <v>881</v>
      </c>
      <c r="B944" s="21">
        <v>45365</v>
      </c>
      <c r="C944" s="126" t="s">
        <v>2367</v>
      </c>
      <c r="D944" s="65" t="s">
        <v>2368</v>
      </c>
      <c r="E944" s="65" t="s">
        <v>2369</v>
      </c>
      <c r="F944" t="s">
        <v>1183</v>
      </c>
      <c r="G944" s="161">
        <f>MONTH(EJECUTADO[[#This Row],[FECHA]])</f>
        <v>3</v>
      </c>
      <c r="H944" s="163" t="str">
        <f>MID(EJECUTADO[[#This Row],[CUENTA]],1,4)</f>
        <v>E-22</v>
      </c>
      <c r="I944" s="163" t="str">
        <f>INDEX(CATALOGO[Descripción],MATCH(EJECUTADO[[#This Row],[APLICACIÓN]]&amp;"-00-00-00",CATALOGO[Código],0))</f>
        <v>CAPACITACIÓN AL PERSONAL</v>
      </c>
      <c r="J9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944" s="161" t="str">
        <f>IF((EJECUTADO[[#This Row],[MONTO DISPONIBLE ]]-EJECUTADO[[#This Row],[MONTO SOLICITADO]])&gt;=0,"PRESUPUESTO: SI","PRESUPUESTO: NO")</f>
        <v>PRESUPUESTO: SI</v>
      </c>
      <c r="L944" s="162">
        <f>SUMIF(PRESUPUESTO[CUENTA],EJECUTADO[[#This Row],[CUENTA]],PRESUPUESTO[MONTO])-SUMIF($F$1:F943,EJECUTADO[[#This Row],[CUENTA]],$M$1:M943)</f>
        <v>7555.1</v>
      </c>
      <c r="M944" s="2">
        <v>1977.5</v>
      </c>
      <c r="N944" s="84">
        <v>227.5</v>
      </c>
      <c r="O944" s="84">
        <v>350</v>
      </c>
      <c r="P944" s="162">
        <f>+EJECUTADO[[#This Row],[MONTO SOLICITADO]]-EJECUTADO[[#This Row],[RETENCION IVA]]-EJECUTADO[[#This Row],[RETENCION ISR]]</f>
        <v>1400</v>
      </c>
      <c r="Q944" s="84" t="s">
        <v>2370</v>
      </c>
      <c r="R944" s="84"/>
      <c r="S944" t="s">
        <v>2371</v>
      </c>
      <c r="T944" s="168" t="str">
        <f t="shared" si="35"/>
        <v>CAPACITACIÓN AL PERSONAL - Otras capacitaciones Disponible $7555.1 Solicitado $1977.5 PRESUPUESTO: SI</v>
      </c>
    </row>
    <row r="945" spans="1:20" ht="120" x14ac:dyDescent="0.25">
      <c r="A945" s="6">
        <f t="shared" si="34"/>
        <v>882</v>
      </c>
      <c r="B945" s="21">
        <v>45366</v>
      </c>
      <c r="C945" s="126" t="s">
        <v>1185</v>
      </c>
      <c r="D945" s="65" t="s">
        <v>2372</v>
      </c>
      <c r="E945" s="65" t="s">
        <v>2373</v>
      </c>
      <c r="F945" t="s">
        <v>2374</v>
      </c>
      <c r="G945" s="161">
        <f>MONTH(EJECUTADO[[#This Row],[FECHA]])</f>
        <v>3</v>
      </c>
      <c r="H945" s="163" t="str">
        <f>MID(EJECUTADO[[#This Row],[CUENTA]],1,4)</f>
        <v>E-01</v>
      </c>
      <c r="I945" s="163" t="str">
        <f>INDEX(CATALOGO[Descripción],MATCH(EJECUTADO[[#This Row],[APLICACIÓN]]&amp;"-00-00-00",CATALOGO[Código],0))</f>
        <v>SERVICIOS PROFESIONALES</v>
      </c>
      <c r="J9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profesionales Lic. G de Duque</v>
      </c>
      <c r="K945" s="161" t="str">
        <f>IF((EJECUTADO[[#This Row],[MONTO DISPONIBLE ]]-EJECUTADO[[#This Row],[MONTO SOLICITADO]])&gt;=0,"PRESUPUESTO: SI","PRESUPUESTO: NO")</f>
        <v>PRESUPUESTO: SI</v>
      </c>
      <c r="L945" s="162">
        <f>SUMIF(PRESUPUESTO[CUENTA],EJECUTADO[[#This Row],[CUENTA]],PRESUPUESTO[MONTO])-SUMIF($F$1:F944,EJECUTADO[[#This Row],[CUENTA]],$M$1:M944)</f>
        <v>36000</v>
      </c>
      <c r="M945" s="2">
        <v>3000</v>
      </c>
      <c r="N945" s="84"/>
      <c r="O945" s="84">
        <v>300</v>
      </c>
      <c r="P945" s="162">
        <f>+EJECUTADO[[#This Row],[MONTO SOLICITADO]]-EJECUTADO[[#This Row],[RETENCION IVA]]-EJECUTADO[[#This Row],[RETENCION ISR]]</f>
        <v>2700</v>
      </c>
      <c r="Q945" s="84" t="s">
        <v>1554</v>
      </c>
      <c r="R945" s="84"/>
      <c r="S945" t="s">
        <v>2375</v>
      </c>
      <c r="T945" s="168" t="str">
        <f t="shared" si="35"/>
        <v>SERVICIOS PROFESIONALES - Servicios profesionales Lic. G de Duque Disponible $36000 Solicitado $3000 PRESUPUESTO: SI</v>
      </c>
    </row>
    <row r="946" spans="1:20" ht="45" x14ac:dyDescent="0.25">
      <c r="A946" s="6">
        <f t="shared" si="34"/>
        <v>883</v>
      </c>
      <c r="B946" s="21">
        <v>45366</v>
      </c>
      <c r="C946" s="126" t="s">
        <v>2376</v>
      </c>
      <c r="D946" s="65" t="s">
        <v>2377</v>
      </c>
      <c r="E946" s="65" t="s">
        <v>2378</v>
      </c>
      <c r="F946" t="s">
        <v>1335</v>
      </c>
      <c r="G946" s="161">
        <f>MONTH(EJECUTADO[[#This Row],[FECHA]])</f>
        <v>3</v>
      </c>
      <c r="H946" s="163" t="str">
        <f>MID(EJECUTADO[[#This Row],[CUENTA]],1,4)</f>
        <v>E-17</v>
      </c>
      <c r="I946" s="163" t="str">
        <f>INDEX(CATALOGO[Descripción],MATCH(EJECUTADO[[#This Row],[APLICACIÓN]]&amp;"-00-00-00",CATALOGO[Código],0))</f>
        <v>MEDIOS DE COMUNICACIÓN</v>
      </c>
      <c r="J9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946" s="161" t="str">
        <f>IF((EJECUTADO[[#This Row],[MONTO DISPONIBLE ]]-EJECUTADO[[#This Row],[MONTO SOLICITADO]])&gt;=0,"PRESUPUESTO: SI","PRESUPUESTO: NO")</f>
        <v>PRESUPUESTO: SI</v>
      </c>
      <c r="L946" s="162">
        <f>SUMIF(PRESUPUESTO[CUENTA],EJECUTADO[[#This Row],[CUENTA]],PRESUPUESTO[MONTO])-SUMIF($F$1:F945,EJECUTADO[[#This Row],[CUENTA]],$M$1:M945)</f>
        <v>800</v>
      </c>
      <c r="M946" s="2">
        <v>100</v>
      </c>
      <c r="N946" s="84"/>
      <c r="O946" s="84"/>
      <c r="P946" s="162">
        <f>+EJECUTADO[[#This Row],[MONTO SOLICITADO]]-EJECUTADO[[#This Row],[RETENCION IVA]]-EJECUTADO[[#This Row],[RETENCION ISR]]</f>
        <v>100</v>
      </c>
      <c r="Q946" s="84"/>
      <c r="R946" s="84"/>
      <c r="S946">
        <v>3305</v>
      </c>
      <c r="T946" s="168" t="str">
        <f t="shared" si="35"/>
        <v>MEDIOS DE COMUNICACIÓN - Estudio de TV - Estipendio pasante (1) (Yuri Sosa) - Estudio de TV Disponible $800 Solicitado $100 PRESUPUESTO: SI</v>
      </c>
    </row>
    <row r="947" spans="1:20" ht="45" x14ac:dyDescent="0.25">
      <c r="A947" s="6">
        <f t="shared" si="34"/>
        <v>884</v>
      </c>
      <c r="B947" s="21">
        <v>45366</v>
      </c>
      <c r="C947" s="126" t="s">
        <v>1338</v>
      </c>
      <c r="D947" s="65" t="s">
        <v>2379</v>
      </c>
      <c r="E947" s="65"/>
      <c r="F947" t="s">
        <v>1339</v>
      </c>
      <c r="G947" s="161">
        <f>MONTH(EJECUTADO[[#This Row],[FECHA]])</f>
        <v>3</v>
      </c>
      <c r="H947" s="163" t="str">
        <f>MID(EJECUTADO[[#This Row],[CUENTA]],1,4)</f>
        <v>E-18</v>
      </c>
      <c r="I947" s="163" t="str">
        <f>INDEX(CATALOGO[Descripción],MATCH(EJECUTADO[[#This Row],[APLICACIÓN]]&amp;"-00-00-00",CATALOGO[Código],0))</f>
        <v>COMUNICACIÓN INSTITUCIONAL</v>
      </c>
      <c r="J9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Com. Interna - Estipendio pasante (Maria José Arteaga) </v>
      </c>
      <c r="K947" s="161" t="str">
        <f>IF((EJECUTADO[[#This Row],[MONTO DISPONIBLE ]]-EJECUTADO[[#This Row],[MONTO SOLICITADO]])&gt;=0,"PRESUPUESTO: SI","PRESUPUESTO: NO")</f>
        <v>PRESUPUESTO: SI</v>
      </c>
      <c r="L947" s="162">
        <f>SUMIF(PRESUPUESTO[CUENTA],EJECUTADO[[#This Row],[CUENTA]],PRESUPUESTO[MONTO])-SUMIF($F$1:F946,EJECUTADO[[#This Row],[CUENTA]],$M$1:M946)</f>
        <v>1000</v>
      </c>
      <c r="M947" s="2">
        <v>100</v>
      </c>
      <c r="N947" s="84"/>
      <c r="O947" s="84">
        <v>10</v>
      </c>
      <c r="P947" s="162">
        <f>+EJECUTADO[[#This Row],[MONTO SOLICITADO]]-EJECUTADO[[#This Row],[RETENCION IVA]]-EJECUTADO[[#This Row],[RETENCION ISR]]</f>
        <v>90</v>
      </c>
      <c r="Q947" s="84"/>
      <c r="R947" s="84"/>
      <c r="S947">
        <v>3303</v>
      </c>
      <c r="T947" s="168" t="str">
        <f t="shared" si="35"/>
        <v>COMUNICACIÓN INSTITUCIONAL - Com. Interna - Estipendio pasante (Maria José Arteaga)  Disponible $1000 Solicitado $100 PRESUPUESTO: SI</v>
      </c>
    </row>
    <row r="948" spans="1:20" ht="45" x14ac:dyDescent="0.25">
      <c r="A948" s="6">
        <f t="shared" si="34"/>
        <v>885</v>
      </c>
      <c r="B948" s="21">
        <v>45366</v>
      </c>
      <c r="C948" s="126" t="s">
        <v>2380</v>
      </c>
      <c r="D948" s="65" t="s">
        <v>2381</v>
      </c>
      <c r="E948" s="65" t="s">
        <v>2382</v>
      </c>
      <c r="F948" t="s">
        <v>1332</v>
      </c>
      <c r="G948" s="161">
        <f>MONTH(EJECUTADO[[#This Row],[FECHA]])</f>
        <v>3</v>
      </c>
      <c r="H948" s="163" t="str">
        <f>MID(EJECUTADO[[#This Row],[CUENTA]],1,4)</f>
        <v>E-17</v>
      </c>
      <c r="I948" s="163" t="str">
        <f>INDEX(CATALOGO[Descripción],MATCH(EJECUTADO[[#This Row],[APLICACIÓN]]&amp;"-00-00-00",CATALOGO[Código],0))</f>
        <v>MEDIOS DE COMUNICACIÓN</v>
      </c>
      <c r="J9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948" s="161" t="str">
        <f>IF((EJECUTADO[[#This Row],[MONTO DISPONIBLE ]]-EJECUTADO[[#This Row],[MONTO SOLICITADO]])&gt;=0,"PRESUPUESTO: SI","PRESUPUESTO: NO")</f>
        <v>PRESUPUESTO: SI</v>
      </c>
      <c r="L948" s="162">
        <f>SUMIF(PRESUPUESTO[CUENTA],EJECUTADO[[#This Row],[CUENTA]],PRESUPUESTO[MONTO])-SUMIF($F$1:F947,EJECUTADO[[#This Row],[CUENTA]],$M$1:M947)</f>
        <v>2000</v>
      </c>
      <c r="M948" s="2">
        <v>100</v>
      </c>
      <c r="N948" s="84"/>
      <c r="O948" s="84">
        <v>10</v>
      </c>
      <c r="P948" s="162">
        <f>+EJECUTADO[[#This Row],[MONTO SOLICITADO]]-EJECUTADO[[#This Row],[RETENCION IVA]]-EJECUTADO[[#This Row],[RETENCION ISR]]</f>
        <v>90</v>
      </c>
      <c r="Q948" s="84" t="s">
        <v>1786</v>
      </c>
      <c r="R948" s="84"/>
      <c r="S948">
        <v>3304</v>
      </c>
      <c r="T948" s="168" t="str">
        <f t="shared" si="35"/>
        <v>MEDIOS DE COMUNICACIÓN - Publicaciones - Estipendios pasantes 2 (Daniel Durán y Adriana Arteaga) Disponible $2000 Solicitado $100 PRESUPUESTO: SI</v>
      </c>
    </row>
    <row r="949" spans="1:20" ht="45" x14ac:dyDescent="0.25">
      <c r="A949" s="6">
        <f t="shared" si="34"/>
        <v>886</v>
      </c>
      <c r="B949" s="21">
        <v>45366</v>
      </c>
      <c r="C949" s="126" t="s">
        <v>1330</v>
      </c>
      <c r="D949" s="65" t="s">
        <v>2381</v>
      </c>
      <c r="E949" s="65" t="s">
        <v>2383</v>
      </c>
      <c r="F949" t="s">
        <v>1332</v>
      </c>
      <c r="G949" s="161">
        <f>MONTH(EJECUTADO[[#This Row],[FECHA]])</f>
        <v>3</v>
      </c>
      <c r="H949" s="163" t="str">
        <f>MID(EJECUTADO[[#This Row],[CUENTA]],1,4)</f>
        <v>E-17</v>
      </c>
      <c r="I949" s="163" t="str">
        <f>INDEX(CATALOGO[Descripción],MATCH(EJECUTADO[[#This Row],[APLICACIÓN]]&amp;"-00-00-00",CATALOGO[Código],0))</f>
        <v>MEDIOS DE COMUNICACIÓN</v>
      </c>
      <c r="J9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Publicaciones - Estipendios pasantes 2 (Daniel Durán y Adriana Arteaga)</v>
      </c>
      <c r="K949" s="161" t="str">
        <f>IF((EJECUTADO[[#This Row],[MONTO DISPONIBLE ]]-EJECUTADO[[#This Row],[MONTO SOLICITADO]])&gt;=0,"PRESUPUESTO: SI","PRESUPUESTO: NO")</f>
        <v>PRESUPUESTO: SI</v>
      </c>
      <c r="L949" s="162">
        <f>SUMIF(PRESUPUESTO[CUENTA],EJECUTADO[[#This Row],[CUENTA]],PRESUPUESTO[MONTO])-SUMIF($F$1:F948,EJECUTADO[[#This Row],[CUENTA]],$M$1:M948)</f>
        <v>1900</v>
      </c>
      <c r="M949" s="2">
        <v>100</v>
      </c>
      <c r="N949" s="84"/>
      <c r="O949" s="84">
        <v>10</v>
      </c>
      <c r="P949" s="162">
        <f>+EJECUTADO[[#This Row],[MONTO SOLICITADO]]-EJECUTADO[[#This Row],[RETENCION IVA]]-EJECUTADO[[#This Row],[RETENCION ISR]]</f>
        <v>90</v>
      </c>
      <c r="Q949" s="84"/>
      <c r="R949" s="84"/>
      <c r="S949">
        <v>3302</v>
      </c>
      <c r="T949" s="168" t="str">
        <f t="shared" si="35"/>
        <v>MEDIOS DE COMUNICACIÓN - Publicaciones - Estipendios pasantes 2 (Daniel Durán y Adriana Arteaga) Disponible $1900 Solicitado $100 PRESUPUESTO: SI</v>
      </c>
    </row>
    <row r="950" spans="1:20" ht="45" x14ac:dyDescent="0.25">
      <c r="A950" s="6">
        <f t="shared" si="34"/>
        <v>887</v>
      </c>
      <c r="B950" s="21">
        <v>45366</v>
      </c>
      <c r="C950" s="126" t="s">
        <v>1665</v>
      </c>
      <c r="D950" s="65" t="s">
        <v>2381</v>
      </c>
      <c r="E950" s="65" t="s">
        <v>2384</v>
      </c>
      <c r="F950" t="s">
        <v>1335</v>
      </c>
      <c r="G950" s="161">
        <f>MONTH(EJECUTADO[[#This Row],[FECHA]])</f>
        <v>3</v>
      </c>
      <c r="H950" s="163" t="str">
        <f>MID(EJECUTADO[[#This Row],[CUENTA]],1,4)</f>
        <v>E-17</v>
      </c>
      <c r="I950" s="163" t="str">
        <f>INDEX(CATALOGO[Descripción],MATCH(EJECUTADO[[#This Row],[APLICACIÓN]]&amp;"-00-00-00",CATALOGO[Código],0))</f>
        <v>MEDIOS DE COMUNICACIÓN</v>
      </c>
      <c r="J9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Estipendio pasante (1) (Yuri Sosa) - Estudio de TV</v>
      </c>
      <c r="K950" s="161" t="str">
        <f>IF((EJECUTADO[[#This Row],[MONTO DISPONIBLE ]]-EJECUTADO[[#This Row],[MONTO SOLICITADO]])&gt;=0,"PRESUPUESTO: SI","PRESUPUESTO: NO")</f>
        <v>PRESUPUESTO: SI</v>
      </c>
      <c r="L950" s="162">
        <f>SUMIF(PRESUPUESTO[CUENTA],EJECUTADO[[#This Row],[CUENTA]],PRESUPUESTO[MONTO])-SUMIF($F$1:F949,EJECUTADO[[#This Row],[CUENTA]],$M$1:M949)</f>
        <v>700</v>
      </c>
      <c r="M950" s="2">
        <v>100</v>
      </c>
      <c r="N950" s="84"/>
      <c r="O950" s="84">
        <v>10</v>
      </c>
      <c r="P950" s="162">
        <f>+EJECUTADO[[#This Row],[MONTO SOLICITADO]]-EJECUTADO[[#This Row],[RETENCION IVA]]-EJECUTADO[[#This Row],[RETENCION ISR]]</f>
        <v>90</v>
      </c>
      <c r="Q950" s="84"/>
      <c r="R950" s="84"/>
      <c r="S950">
        <v>3301</v>
      </c>
      <c r="T950" s="168" t="str">
        <f t="shared" si="35"/>
        <v>MEDIOS DE COMUNICACIÓN - Estudio de TV - Estipendio pasante (1) (Yuri Sosa) - Estudio de TV Disponible $700 Solicitado $100 PRESUPUESTO: SI</v>
      </c>
    </row>
    <row r="951" spans="1:20" ht="135" x14ac:dyDescent="0.25">
      <c r="A951" s="115">
        <f t="shared" ref="A951:A1041" si="36">+A950+1</f>
        <v>888</v>
      </c>
      <c r="B951" s="118">
        <v>45367</v>
      </c>
      <c r="C951" s="126" t="s">
        <v>2385</v>
      </c>
      <c r="D951" s="116" t="s">
        <v>2386</v>
      </c>
      <c r="E951" s="65" t="s">
        <v>2387</v>
      </c>
      <c r="F951" t="s">
        <v>1226</v>
      </c>
      <c r="G951" s="161">
        <f>MONTH(EJECUTADO[[#This Row],[FECHA]])</f>
        <v>3</v>
      </c>
      <c r="H951" s="163" t="str">
        <f>MID(EJECUTADO[[#This Row],[CUENTA]],1,4)</f>
        <v>E-19</v>
      </c>
      <c r="I951" s="163" t="str">
        <f>INDEX(CATALOGO[Descripción],MATCH(EJECUTADO[[#This Row],[APLICACIÓN]]&amp;"-00-00-00",CATALOGO[Código],0))</f>
        <v>MANTENIMIENTO</v>
      </c>
      <c r="J9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Asensores </v>
      </c>
      <c r="K951" s="161" t="str">
        <f>IF((EJECUTADO[[#This Row],[MONTO DISPONIBLE ]]-EJECUTADO[[#This Row],[MONTO SOLICITADO]])&gt;=0,"PRESUPUESTO: SI","PRESUPUESTO: NO")</f>
        <v>PRESUPUESTO: SI</v>
      </c>
      <c r="L951" s="162">
        <f>SUMIF(PRESUPUESTO[CUENTA],EJECUTADO[[#This Row],[CUENTA]],PRESUPUESTO[MONTO])-SUMIF($F$1:F950,EJECUTADO[[#This Row],[CUENTA]],$M$1:M950)</f>
        <v>4800</v>
      </c>
      <c r="M951" s="119">
        <v>200</v>
      </c>
      <c r="N951" s="84">
        <v>1.77</v>
      </c>
      <c r="O951" s="84"/>
      <c r="P951" s="165">
        <f>+EJECUTADO[[#This Row],[MONTO SOLICITADO]]-EJECUTADO[[#This Row],[RETENCION IVA]]-EJECUTADO[[#This Row],[RETENCION ISR]]</f>
        <v>198.23</v>
      </c>
      <c r="Q951" s="120" t="s">
        <v>1971</v>
      </c>
      <c r="R951" s="120" t="s">
        <v>2325</v>
      </c>
      <c r="T951" s="168" t="str">
        <f t="shared" si="35"/>
        <v>MANTENIMIENTO - Dir. Mantenimiento - Mantenimiento Asensores  Disponible $4800 Solicitado $200 PRESUPUESTO: SI</v>
      </c>
    </row>
    <row r="952" spans="1:20" ht="45" x14ac:dyDescent="0.25">
      <c r="A952" s="115">
        <f t="shared" si="36"/>
        <v>889</v>
      </c>
      <c r="B952" s="118">
        <v>45367</v>
      </c>
      <c r="C952" s="129" t="s">
        <v>1998</v>
      </c>
      <c r="D952" s="65" t="s">
        <v>2388</v>
      </c>
      <c r="E952" s="65"/>
      <c r="G952" s="161">
        <f>MONTH(EJECUTADO[[#This Row],[FECHA]])</f>
        <v>3</v>
      </c>
      <c r="H952" s="163" t="str">
        <f>MID(EJECUTADO[[#This Row],[CUENTA]],1,4)</f>
        <v/>
      </c>
      <c r="I952" s="163" t="e">
        <f>INDEX(CATALOGO[Descripción],MATCH(EJECUTADO[[#This Row],[APLICACIÓN]]&amp;"-00-00-00",CATALOGO[Código],0))</f>
        <v>#N/A</v>
      </c>
      <c r="J95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52" s="161" t="str">
        <f>IF((EJECUTADO[[#This Row],[MONTO DISPONIBLE ]]-EJECUTADO[[#This Row],[MONTO SOLICITADO]])&gt;=0,"PRESUPUESTO: SI","PRESUPUESTO: NO")</f>
        <v>PRESUPUESTO: NO</v>
      </c>
      <c r="L952" s="162">
        <f>SUMIF(PRESUPUESTO[CUENTA],EJECUTADO[[#This Row],[CUENTA]],PRESUPUESTO[MONTO])-SUMIF($F$1:F951,EJECUTADO[[#This Row],[CUENTA]],$M$1:M951)</f>
        <v>0</v>
      </c>
      <c r="M952" s="119">
        <v>1430</v>
      </c>
      <c r="N952" s="120"/>
      <c r="O952" s="120"/>
      <c r="P952" s="165">
        <f>+EJECUTADO[[#This Row],[MONTO SOLICITADO]]-EJECUTADO[[#This Row],[RETENCION IVA]]-EJECUTADO[[#This Row],[RETENCION ISR]]</f>
        <v>1430</v>
      </c>
      <c r="Q952" s="120" t="s">
        <v>1971</v>
      </c>
      <c r="R952" s="120" t="s">
        <v>2325</v>
      </c>
      <c r="T952" s="168" t="e">
        <f t="shared" si="35"/>
        <v>#N/A</v>
      </c>
    </row>
    <row r="953" spans="1:20" ht="105" x14ac:dyDescent="0.25">
      <c r="A953" s="115">
        <f t="shared" si="36"/>
        <v>890</v>
      </c>
      <c r="B953" s="118">
        <v>45367</v>
      </c>
      <c r="C953" s="129" t="s">
        <v>2389</v>
      </c>
      <c r="D953" s="116" t="s">
        <v>2390</v>
      </c>
      <c r="E953" s="65" t="s">
        <v>2391</v>
      </c>
      <c r="F953" t="s">
        <v>1752</v>
      </c>
      <c r="G953" s="161">
        <f>MONTH(EJECUTADO[[#This Row],[FECHA]])</f>
        <v>3</v>
      </c>
      <c r="H953" s="163" t="str">
        <f>MID(EJECUTADO[[#This Row],[CUENTA]],1,4)</f>
        <v>E-02</v>
      </c>
      <c r="I953" s="163" t="str">
        <f>INDEX(CATALOGO[Descripción],MATCH(EJECUTADO[[#This Row],[APLICACIÓN]]&amp;"-00-00-00",CATALOGO[Código],0))</f>
        <v>PRESTAMOS BANCARIOS</v>
      </c>
      <c r="J9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953" s="161" t="str">
        <f>IF((EJECUTADO[[#This Row],[MONTO DISPONIBLE ]]-EJECUTADO[[#This Row],[MONTO SOLICITADO]])&gt;=0,"PRESUPUESTO: SI","PRESUPUESTO: NO")</f>
        <v>PRESUPUESTO: SI</v>
      </c>
      <c r="L953" s="162">
        <f>SUMIF(PRESUPUESTO[CUENTA],EJECUTADO[[#This Row],[CUENTA]],PRESUPUESTO[MONTO])-SUMIF($F$1:F952,EJECUTADO[[#This Row],[CUENTA]],$M$1:M952)</f>
        <v>116223.45</v>
      </c>
      <c r="M953" s="2">
        <v>2957.89</v>
      </c>
      <c r="N953" s="84">
        <v>26.18</v>
      </c>
      <c r="O953" s="84"/>
      <c r="P953" s="165">
        <f>+EJECUTADO[[#This Row],[MONTO SOLICITADO]]-EJECUTADO[[#This Row],[RETENCION IVA]]-EJECUTADO[[#This Row],[RETENCION ISR]]</f>
        <v>2931.71</v>
      </c>
      <c r="Q953" s="120" t="s">
        <v>1971</v>
      </c>
      <c r="R953" s="120" t="s">
        <v>2325</v>
      </c>
      <c r="T953" s="168" t="str">
        <f t="shared" si="35"/>
        <v>PRESTAMOS BANCARIOS - COMISIONES BANCARIOS Disponible $116223.45 Solicitado $2957.89 PRESUPUESTO: SI</v>
      </c>
    </row>
    <row r="954" spans="1:20" ht="90" x14ac:dyDescent="0.25">
      <c r="A954" s="115">
        <f>+A953+1</f>
        <v>891</v>
      </c>
      <c r="B954" s="118">
        <v>45367</v>
      </c>
      <c r="C954" s="129" t="s">
        <v>1021</v>
      </c>
      <c r="D954" s="65" t="s">
        <v>2392</v>
      </c>
      <c r="E954" s="65" t="s">
        <v>2393</v>
      </c>
      <c r="F954" t="s">
        <v>1997</v>
      </c>
      <c r="G954" s="161">
        <f>MONTH(EJECUTADO[[#This Row],[FECHA]])</f>
        <v>3</v>
      </c>
      <c r="H954" s="163" t="str">
        <f>MID(EJECUTADO[[#This Row],[CUENTA]],1,4)</f>
        <v>E-24</v>
      </c>
      <c r="I954" s="163" t="str">
        <f>INDEX(CATALOGO[Descripción],MATCH(EJECUTADO[[#This Row],[APLICACIÓN]]&amp;"-00-00-00",CATALOGO[Código],0))</f>
        <v>NUEVO INGRESO</v>
      </c>
      <c r="J9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Red de colegios -Desayunos  Red Utec </v>
      </c>
      <c r="K954" s="161" t="str">
        <f>IF((EJECUTADO[[#This Row],[MONTO DISPONIBLE ]]-EJECUTADO[[#This Row],[MONTO SOLICITADO]])&gt;=0,"PRESUPUESTO: SI","PRESUPUESTO: NO")</f>
        <v>PRESUPUESTO: SI</v>
      </c>
      <c r="L954" s="162">
        <f>SUMIF(PRESUPUESTO[CUENTA],EJECUTADO[[#This Row],[CUENTA]],PRESUPUESTO[MONTO])-SUMIF($F$1:F953,EJECUTADO[[#This Row],[CUENTA]],$M$1:M953)</f>
        <v>436.65000000000009</v>
      </c>
      <c r="M954" s="2">
        <v>180</v>
      </c>
      <c r="N954" s="84">
        <v>1.59</v>
      </c>
      <c r="O954" s="84"/>
      <c r="P954" s="162">
        <f>+EJECUTADO[[#This Row],[MONTO SOLICITADO]]-EJECUTADO[[#This Row],[RETENCION IVA]]-EJECUTADO[[#This Row],[RETENCION ISR]]</f>
        <v>178.41</v>
      </c>
      <c r="Q954" s="120" t="s">
        <v>1971</v>
      </c>
      <c r="R954" s="120" t="s">
        <v>2325</v>
      </c>
      <c r="T954" s="168" t="str">
        <f t="shared" si="35"/>
        <v>NUEVO INGRESO - Red de colegios -Desayunos  Red Utec  Disponible $436.65 Solicitado $180 PRESUPUESTO: SI</v>
      </c>
    </row>
    <row r="955" spans="1:20" ht="75" x14ac:dyDescent="0.25">
      <c r="A955" s="115" t="s">
        <v>2394</v>
      </c>
      <c r="B955" s="118">
        <v>45367</v>
      </c>
      <c r="C955" s="129" t="s">
        <v>1021</v>
      </c>
      <c r="D955" s="65" t="s">
        <v>2395</v>
      </c>
      <c r="E955" s="65" t="s">
        <v>2396</v>
      </c>
      <c r="F955" t="s">
        <v>2279</v>
      </c>
      <c r="G955" s="161">
        <f>MONTH(EJECUTADO[[#This Row],[FECHA]])</f>
        <v>3</v>
      </c>
      <c r="H955" s="163" t="str">
        <f>MID(EJECUTADO[[#This Row],[CUENTA]],1,4)</f>
        <v>E-08</v>
      </c>
      <c r="I955" s="163" t="str">
        <f>INDEX(CATALOGO[Descripción],MATCH(EJECUTADO[[#This Row],[APLICACIÓN]]&amp;"-00-00-00",CATALOGO[Código],0))</f>
        <v>INVERSIONES Y PROYECTOS ESPECIALES</v>
      </c>
      <c r="J9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CIOPS</v>
      </c>
      <c r="K955" s="161" t="str">
        <f>IF((EJECUTADO[[#This Row],[MONTO DISPONIBLE ]]-EJECUTADO[[#This Row],[MONTO SOLICITADO]])&gt;=0,"PRESUPUESTO: SI","PRESUPUESTO: NO")</f>
        <v>PRESUPUESTO: NO</v>
      </c>
      <c r="L955" s="162">
        <f>SUMIF(PRESUPUESTO[CUENTA],EJECUTADO[[#This Row],[CUENTA]],PRESUPUESTO[MONTO])-SUMIF($F$1:F954,EJECUTADO[[#This Row],[CUENTA]],$M$1:M954)</f>
        <v>-2860</v>
      </c>
      <c r="M955" s="2">
        <v>54</v>
      </c>
      <c r="N955" s="84"/>
      <c r="O955" s="84"/>
      <c r="P955" s="162">
        <f>+EJECUTADO[[#This Row],[MONTO SOLICITADO]]-EJECUTADO[[#This Row],[RETENCION IVA]]-EJECUTADO[[#This Row],[RETENCION ISR]]</f>
        <v>54</v>
      </c>
      <c r="Q955" s="120" t="s">
        <v>1971</v>
      </c>
      <c r="R955" s="120" t="s">
        <v>2325</v>
      </c>
      <c r="T955" s="168" t="str">
        <f t="shared" ref="T955" si="37">_xlfn.CONCAT(I955," - ",J955," Disponible $",L955," Solicitado $",M955," ",K955,)</f>
        <v>INVERSIONES Y PROYECTOS ESPECIALES - CIOPS Disponible $-2860 Solicitado $54 PRESUPUESTO: NO</v>
      </c>
    </row>
    <row r="956" spans="1:20" ht="75" x14ac:dyDescent="0.25">
      <c r="A956" s="115">
        <f>+A954+1</f>
        <v>892</v>
      </c>
      <c r="B956" s="118">
        <v>45367</v>
      </c>
      <c r="C956" s="129" t="s">
        <v>2397</v>
      </c>
      <c r="D956" s="65" t="s">
        <v>2398</v>
      </c>
      <c r="E956" s="65" t="s">
        <v>2399</v>
      </c>
      <c r="F956" t="s">
        <v>1300</v>
      </c>
      <c r="G956" s="161">
        <f>MONTH(EJECUTADO[[#This Row],[FECHA]])</f>
        <v>3</v>
      </c>
      <c r="H956" s="163" t="str">
        <f>MID(EJECUTADO[[#This Row],[CUENTA]],1,4)</f>
        <v>E-18</v>
      </c>
      <c r="I956" s="163" t="str">
        <f>INDEX(CATALOGO[Descripción],MATCH(EJECUTADO[[#This Row],[APLICACIÓN]]&amp;"-00-00-00",CATALOGO[Código],0))</f>
        <v>COMUNICACIÓN INSTITUCIONAL</v>
      </c>
      <c r="J9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Sitio web y redes sociales - Desarrollador y administrador de S. Web (Trend) $ 802.00</v>
      </c>
      <c r="K956" s="161" t="str">
        <f>IF((EJECUTADO[[#This Row],[MONTO DISPONIBLE ]]-EJECUTADO[[#This Row],[MONTO SOLICITADO]])&gt;=0,"PRESUPUESTO: SI","PRESUPUESTO: NO")</f>
        <v>PRESUPUESTO: SI</v>
      </c>
      <c r="L956" s="162">
        <f>SUMIF(PRESUPUESTO[CUENTA],EJECUTADO[[#This Row],[CUENTA]],PRESUPUESTO[MONTO])-SUMIF($F$1:F954,EJECUTADO[[#This Row],[CUENTA]],$M$1:M954)</f>
        <v>8035.4</v>
      </c>
      <c r="M956" s="2">
        <v>802.3</v>
      </c>
      <c r="N956" s="84">
        <v>7.1</v>
      </c>
      <c r="O956" s="84"/>
      <c r="P956" s="162">
        <f>+EJECUTADO[[#This Row],[MONTO SOLICITADO]]-EJECUTADO[[#This Row],[RETENCION IVA]]-EJECUTADO[[#This Row],[RETENCION ISR]]</f>
        <v>795.19999999999993</v>
      </c>
      <c r="Q956" s="120" t="s">
        <v>1971</v>
      </c>
      <c r="R956" s="120" t="s">
        <v>2325</v>
      </c>
      <c r="T956" s="168" t="str">
        <f t="shared" si="35"/>
        <v>COMUNICACIÓN INSTITUCIONAL - Sitio web y redes sociales - Desarrollador y administrador de S. Web (Trend) $ 802.00 Disponible $8035.4 Solicitado $802.3 PRESUPUESTO: SI</v>
      </c>
    </row>
    <row r="957" spans="1:20" ht="75" x14ac:dyDescent="0.25">
      <c r="A957" s="115" t="s">
        <v>2400</v>
      </c>
      <c r="B957" s="118">
        <v>45367</v>
      </c>
      <c r="C957" s="129" t="s">
        <v>2397</v>
      </c>
      <c r="D957" s="65" t="s">
        <v>2398</v>
      </c>
      <c r="E957" s="65" t="s">
        <v>2399</v>
      </c>
      <c r="F957" t="s">
        <v>1301</v>
      </c>
      <c r="G957" s="161">
        <f>MONTH(EJECUTADO[[#This Row],[FECHA]])</f>
        <v>3</v>
      </c>
      <c r="H957" s="163" t="str">
        <f>MID(EJECUTADO[[#This Row],[CUENTA]],1,4)</f>
        <v>E-28</v>
      </c>
      <c r="I957" s="163" t="str">
        <f>INDEX(CATALOGO[Descripción],MATCH(EJECUTADO[[#This Row],[APLICACIÓN]]&amp;"-00-00-00",CATALOGO[Código],0))</f>
        <v>INSTITUTO DE GRADUADOS</v>
      </c>
      <c r="J9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Pagina Web Trend $ 339*12</v>
      </c>
      <c r="K957" s="161" t="str">
        <f>IF((EJECUTADO[[#This Row],[MONTO DISPONIBLE ]]-EJECUTADO[[#This Row],[MONTO SOLICITADO]])&gt;=0,"PRESUPUESTO: SI","PRESUPUESTO: NO")</f>
        <v>PRESUPUESTO: SI</v>
      </c>
      <c r="L957" s="162">
        <f>SUMIF(PRESUPUESTO[CUENTA],EJECUTADO[[#This Row],[CUENTA]],PRESUPUESTO[MONTO])-SUMIF($F$1:F956,EJECUTADO[[#This Row],[CUENTA]],$M$1:M956)</f>
        <v>3422</v>
      </c>
      <c r="M957" s="2">
        <v>339</v>
      </c>
      <c r="N957" s="84">
        <v>3</v>
      </c>
      <c r="O957" s="84"/>
      <c r="P957" s="162">
        <f>+EJECUTADO[[#This Row],[MONTO SOLICITADO]]-EJECUTADO[[#This Row],[RETENCION IVA]]-EJECUTADO[[#This Row],[RETENCION ISR]]</f>
        <v>336</v>
      </c>
      <c r="Q957" s="120" t="s">
        <v>1971</v>
      </c>
      <c r="R957" s="120" t="s">
        <v>2325</v>
      </c>
      <c r="T957" s="168" t="str">
        <f t="shared" si="35"/>
        <v>INSTITUTO DE GRADUADOS - Pagina Web Trend $ 339*12 Disponible $3422 Solicitado $339 PRESUPUESTO: SI</v>
      </c>
    </row>
    <row r="958" spans="1:20" ht="120" x14ac:dyDescent="0.25">
      <c r="A958" s="115">
        <f>+A956+1</f>
        <v>893</v>
      </c>
      <c r="B958" s="118">
        <v>45367</v>
      </c>
      <c r="C958" s="129" t="s">
        <v>2030</v>
      </c>
      <c r="D958" s="116" t="s">
        <v>2401</v>
      </c>
      <c r="E958" s="65" t="s">
        <v>2402</v>
      </c>
      <c r="F958" t="s">
        <v>1615</v>
      </c>
      <c r="G958" s="161">
        <f>MONTH(EJECUTADO[[#This Row],[FECHA]])</f>
        <v>3</v>
      </c>
      <c r="H958" s="163" t="str">
        <f>MID(EJECUTADO[[#This Row],[CUENTA]],1,4)</f>
        <v>E-09</v>
      </c>
      <c r="I958" s="163" t="str">
        <f>INDEX(CATALOGO[Descripción],MATCH(EJECUTADO[[#This Row],[APLICACIÓN]]&amp;"-00-00-00",CATALOGO[Código],0))</f>
        <v>PRESTACIONES AL PERSONAL</v>
      </c>
      <c r="J9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CLINICA EMPRESARIAL</v>
      </c>
      <c r="K958" s="161" t="str">
        <f>IF((EJECUTADO[[#This Row],[MONTO DISPONIBLE ]]-EJECUTADO[[#This Row],[MONTO SOLICITADO]])&gt;=0,"PRESUPUESTO: SI","PRESUPUESTO: NO")</f>
        <v>PRESUPUESTO: SI</v>
      </c>
      <c r="L958" s="162">
        <f>SUMIF(PRESUPUESTO[CUENTA],EJECUTADO[[#This Row],[CUENTA]],PRESUPUESTO[MONTO])-SUMIF($F$1:F957,EJECUTADO[[#This Row],[CUENTA]],$M$1:M957)</f>
        <v>1407.88</v>
      </c>
      <c r="M958" s="2">
        <v>24.48</v>
      </c>
      <c r="N958" s="84"/>
      <c r="O958" s="84"/>
      <c r="P958" s="162">
        <f>+EJECUTADO[[#This Row],[MONTO SOLICITADO]]-EJECUTADO[[#This Row],[RETENCION IVA]]-EJECUTADO[[#This Row],[RETENCION ISR]]</f>
        <v>24.48</v>
      </c>
      <c r="Q958" s="120" t="s">
        <v>1971</v>
      </c>
      <c r="R958" s="120" t="s">
        <v>2325</v>
      </c>
      <c r="T958" s="168" t="str">
        <f t="shared" si="35"/>
        <v>PRESTACIONES AL PERSONAL - CLINICA EMPRESARIAL Disponible $1407.88 Solicitado $24.48 PRESUPUESTO: SI</v>
      </c>
    </row>
    <row r="959" spans="1:20" ht="90" x14ac:dyDescent="0.25">
      <c r="A959" s="115">
        <f t="shared" si="36"/>
        <v>894</v>
      </c>
      <c r="B959" s="118">
        <v>45367</v>
      </c>
      <c r="C959" s="129" t="s">
        <v>2186</v>
      </c>
      <c r="D959" s="116" t="s">
        <v>2403</v>
      </c>
      <c r="E959" s="65" t="s">
        <v>2404</v>
      </c>
      <c r="F959" t="s">
        <v>1295</v>
      </c>
      <c r="G959" s="161">
        <f>MONTH(EJECUTADO[[#This Row],[FECHA]])</f>
        <v>3</v>
      </c>
      <c r="H959" s="163" t="str">
        <f>MID(EJECUTADO[[#This Row],[CUENTA]],1,4)</f>
        <v>E-24</v>
      </c>
      <c r="I959" s="163" t="str">
        <f>INDEX(CATALOGO[Descripción],MATCH(EJECUTADO[[#This Row],[APLICACIÓN]]&amp;"-00-00-00",CATALOGO[Código],0))</f>
        <v>NUEVO INGRESO</v>
      </c>
      <c r="J9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Aromatización $ 55.00 * 12</v>
      </c>
      <c r="K959" s="161" t="str">
        <f>IF((EJECUTADO[[#This Row],[MONTO DISPONIBLE ]]-EJECUTADO[[#This Row],[MONTO SOLICITADO]])&gt;=0,"PRESUPUESTO: SI","PRESUPUESTO: NO")</f>
        <v>PRESUPUESTO: SI</v>
      </c>
      <c r="L959" s="162">
        <f>SUMIF(PRESUPUESTO[CUENTA],EJECUTADO[[#This Row],[CUENTA]],PRESUPUESTO[MONTO])-SUMIF($F$1:F958,EJECUTADO[[#This Row],[CUENTA]],$M$1:M958)</f>
        <v>313.2</v>
      </c>
      <c r="M959" s="2">
        <v>55.37</v>
      </c>
      <c r="N959" s="84"/>
      <c r="O959" s="84"/>
      <c r="P959" s="162">
        <f>+EJECUTADO[[#This Row],[MONTO SOLICITADO]]-EJECUTADO[[#This Row],[RETENCION IVA]]-EJECUTADO[[#This Row],[RETENCION ISR]]</f>
        <v>55.37</v>
      </c>
      <c r="Q959" s="120" t="s">
        <v>1971</v>
      </c>
      <c r="R959" s="120" t="s">
        <v>2325</v>
      </c>
      <c r="T959" s="168" t="str">
        <f t="shared" si="35"/>
        <v>NUEVO INGRESO - Plaza Mundo - Aromatización $ 55.00 * 12 Disponible $313.2 Solicitado $55.37 PRESUPUESTO: SI</v>
      </c>
    </row>
    <row r="960" spans="1:20" ht="120" x14ac:dyDescent="0.25">
      <c r="A960" s="115">
        <f t="shared" si="36"/>
        <v>895</v>
      </c>
      <c r="B960" s="118">
        <v>45367</v>
      </c>
      <c r="C960" s="129" t="s">
        <v>2072</v>
      </c>
      <c r="D960" s="116" t="s">
        <v>2405</v>
      </c>
      <c r="E960" s="65" t="s">
        <v>2406</v>
      </c>
      <c r="F960" t="s">
        <v>1283</v>
      </c>
      <c r="G960" s="161">
        <f>MONTH(EJECUTADO[[#This Row],[FECHA]])</f>
        <v>3</v>
      </c>
      <c r="H960" s="163" t="str">
        <f>MID(EJECUTADO[[#This Row],[CUENTA]],1,4)</f>
        <v>E-24</v>
      </c>
      <c r="I960" s="163" t="str">
        <f>INDEX(CATALOGO[Descripción],MATCH(EJECUTADO[[#This Row],[APLICACIÓN]]&amp;"-00-00-00",CATALOGO[Código],0))</f>
        <v>NUEVO INGRESO</v>
      </c>
      <c r="J9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Fumigación</v>
      </c>
      <c r="K960" s="161" t="str">
        <f>IF((EJECUTADO[[#This Row],[MONTO DISPONIBLE ]]-EJECUTADO[[#This Row],[MONTO SOLICITADO]])&gt;=0,"PRESUPUESTO: SI","PRESUPUESTO: NO")</f>
        <v>PRESUPUESTO: SI</v>
      </c>
      <c r="L960" s="162">
        <f>SUMIF(PRESUPUESTO[CUENTA],EJECUTADO[[#This Row],[CUENTA]],PRESUPUESTO[MONTO])-SUMIF($F$1:F959,EJECUTADO[[#This Row],[CUENTA]],$M$1:M959)</f>
        <v>410</v>
      </c>
      <c r="M960" s="2">
        <v>55</v>
      </c>
      <c r="N960" s="84"/>
      <c r="O960" s="84"/>
      <c r="P960" s="162">
        <f>+EJECUTADO[[#This Row],[MONTO SOLICITADO]]-EJECUTADO[[#This Row],[RETENCION IVA]]-EJECUTADO[[#This Row],[RETENCION ISR]]</f>
        <v>55</v>
      </c>
      <c r="Q960" s="120" t="s">
        <v>1971</v>
      </c>
      <c r="R960" s="120" t="s">
        <v>2325</v>
      </c>
      <c r="T960" s="168" t="str">
        <f t="shared" si="35"/>
        <v>NUEVO INGRESO - Plaza Mundo - Fumigación Disponible $410 Solicitado $55 PRESUPUESTO: SI</v>
      </c>
    </row>
    <row r="961" spans="1:20" ht="105" x14ac:dyDescent="0.25">
      <c r="A961" s="115">
        <f t="shared" si="36"/>
        <v>896</v>
      </c>
      <c r="B961" s="118">
        <v>45367</v>
      </c>
      <c r="C961" s="129" t="s">
        <v>2407</v>
      </c>
      <c r="D961" s="65" t="s">
        <v>2408</v>
      </c>
      <c r="E961" s="65" t="s">
        <v>2409</v>
      </c>
      <c r="F961" t="s">
        <v>1126</v>
      </c>
      <c r="G961" s="161">
        <f>MONTH(EJECUTADO[[#This Row],[FECHA]])</f>
        <v>3</v>
      </c>
      <c r="H961" s="163" t="str">
        <f>MID(EJECUTADO[[#This Row],[CUENTA]],1,4)</f>
        <v>E-15</v>
      </c>
      <c r="I961" s="163" t="str">
        <f>INDEX(CATALOGO[Descripción],MATCH(EJECUTADO[[#This Row],[APLICACIÓN]]&amp;"-00-00-00",CATALOGO[Código],0))</f>
        <v>ALQUILERES</v>
      </c>
      <c r="J9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961" s="161" t="str">
        <f>IF((EJECUTADO[[#This Row],[MONTO DISPONIBLE ]]-EJECUTADO[[#This Row],[MONTO SOLICITADO]])&gt;=0,"PRESUPUESTO: SI","PRESUPUESTO: NO")</f>
        <v>PRESUPUESTO: SI</v>
      </c>
      <c r="L961" s="162">
        <f>SUMIF(PRESUPUESTO[CUENTA],EJECUTADO[[#This Row],[CUENTA]],PRESUPUESTO[MONTO])-SUMIF($F$1:F960,EJECUTADO[[#This Row],[CUENTA]],$M$1:M960)</f>
        <v>42300</v>
      </c>
      <c r="M961" s="2">
        <v>1200</v>
      </c>
      <c r="N961" s="84">
        <v>10.62</v>
      </c>
      <c r="O961" s="84">
        <v>106.2</v>
      </c>
      <c r="P961" s="162">
        <f>+EJECUTADO[[#This Row],[MONTO SOLICITADO]]-EJECUTADO[[#This Row],[RETENCION IVA]]-EJECUTADO[[#This Row],[RETENCION ISR]]</f>
        <v>1083.18</v>
      </c>
      <c r="Q961" s="120" t="s">
        <v>1971</v>
      </c>
      <c r="R961" s="120" t="s">
        <v>2325</v>
      </c>
      <c r="S961" s="112">
        <v>558</v>
      </c>
      <c r="T961" s="168" t="str">
        <f t="shared" si="35"/>
        <v>ALQUILERES - Alquiler de edificio Thomas Jefferson Disponible $42300 Solicitado $1200 PRESUPUESTO: SI</v>
      </c>
    </row>
    <row r="962" spans="1:20" ht="90" x14ac:dyDescent="0.25">
      <c r="A962" s="6">
        <f t="shared" si="36"/>
        <v>897</v>
      </c>
      <c r="B962" s="118">
        <v>45367</v>
      </c>
      <c r="C962" s="126" t="s">
        <v>2410</v>
      </c>
      <c r="D962" s="65" t="s">
        <v>2411</v>
      </c>
      <c r="E962" s="65" t="s">
        <v>2412</v>
      </c>
      <c r="F962" t="s">
        <v>1068</v>
      </c>
      <c r="G962" s="161">
        <f>MONTH(EJECUTADO[[#This Row],[FECHA]])</f>
        <v>3</v>
      </c>
      <c r="H962" s="163" t="str">
        <f>MID(EJECUTADO[[#This Row],[CUENTA]],1,4)</f>
        <v>E-15</v>
      </c>
      <c r="I962" s="163" t="str">
        <f>INDEX(CATALOGO[Descripción],MATCH(EJECUTADO[[#This Row],[APLICACIÓN]]&amp;"-00-00-00",CATALOGO[Código],0))</f>
        <v>ALQUILERES</v>
      </c>
      <c r="J9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Bodega externa Admón Académica  Datasafe</v>
      </c>
      <c r="K962" s="161" t="str">
        <f>IF((EJECUTADO[[#This Row],[MONTO DISPONIBLE ]]-EJECUTADO[[#This Row],[MONTO SOLICITADO]])&gt;=0,"PRESUPUESTO: SI","PRESUPUESTO: NO")</f>
        <v>PRESUPUESTO: SI</v>
      </c>
      <c r="L962" s="162">
        <f>SUMIF(PRESUPUESTO[CUENTA],EJECUTADO[[#This Row],[CUENTA]],PRESUPUESTO[MONTO])-SUMIF($F$1:F961,EJECUTADO[[#This Row],[CUENTA]],$M$1:M961)</f>
        <v>4822.05</v>
      </c>
      <c r="M962" s="2">
        <v>548.48</v>
      </c>
      <c r="N962" s="84">
        <v>4.8499999999999996</v>
      </c>
      <c r="O962" s="84"/>
      <c r="P962" s="162">
        <f>+EJECUTADO[[#This Row],[MONTO SOLICITADO]]-EJECUTADO[[#This Row],[RETENCION IVA]]-EJECUTADO[[#This Row],[RETENCION ISR]]</f>
        <v>543.63</v>
      </c>
      <c r="Q962" s="120" t="s">
        <v>1971</v>
      </c>
      <c r="R962" s="120" t="s">
        <v>2325</v>
      </c>
      <c r="T962" s="168" t="str">
        <f t="shared" si="35"/>
        <v>ALQUILERES - Bodega externa Admón Académica  Datasafe Disponible $4822.05 Solicitado $548.48 PRESUPUESTO: SI</v>
      </c>
    </row>
    <row r="963" spans="1:20" ht="90" x14ac:dyDescent="0.25">
      <c r="A963" s="115">
        <f t="shared" si="36"/>
        <v>898</v>
      </c>
      <c r="B963" s="118">
        <v>45367</v>
      </c>
      <c r="C963" s="129" t="s">
        <v>1016</v>
      </c>
      <c r="D963" s="116" t="s">
        <v>2413</v>
      </c>
      <c r="E963" s="65" t="s">
        <v>2414</v>
      </c>
      <c r="F963" t="s">
        <v>1017</v>
      </c>
      <c r="G963" s="161">
        <f>MONTH(EJECUTADO[[#This Row],[FECHA]])</f>
        <v>3</v>
      </c>
      <c r="H963" s="163" t="str">
        <f>MID(EJECUTADO[[#This Row],[CUENTA]],1,4)</f>
        <v>E-31</v>
      </c>
      <c r="I963" s="163" t="str">
        <f>INDEX(CATALOGO[Descripción],MATCH(EJECUTADO[[#This Row],[APLICACIÓN]]&amp;"-00-00-00",CATALOGO[Código],0))</f>
        <v>DONACIONES</v>
      </c>
      <c r="J9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Academia  Salvadoreña de la Lengua</v>
      </c>
      <c r="K963" s="161" t="str">
        <f>IF((EJECUTADO[[#This Row],[MONTO DISPONIBLE ]]-EJECUTADO[[#This Row],[MONTO SOLICITADO]])&gt;=0,"PRESUPUESTO: SI","PRESUPUESTO: NO")</f>
        <v>PRESUPUESTO: SI</v>
      </c>
      <c r="L963" s="162">
        <f>SUMIF(PRESUPUESTO[CUENTA],EJECUTADO[[#This Row],[CUENTA]],PRESUPUESTO[MONTO])-SUMIF($F$1:F962,EJECUTADO[[#This Row],[CUENTA]],$M$1:M962)</f>
        <v>3500</v>
      </c>
      <c r="M963" s="2">
        <v>500</v>
      </c>
      <c r="N963" s="84"/>
      <c r="O963" s="84"/>
      <c r="P963" s="162">
        <f>+EJECUTADO[[#This Row],[MONTO SOLICITADO]]-EJECUTADO[[#This Row],[RETENCION IVA]]-EJECUTADO[[#This Row],[RETENCION ISR]]</f>
        <v>500</v>
      </c>
      <c r="Q963" s="120" t="s">
        <v>1971</v>
      </c>
      <c r="R963" s="120" t="s">
        <v>2325</v>
      </c>
      <c r="T963" s="168" t="str">
        <f t="shared" si="35"/>
        <v>DONACIONES - Academia  Salvadoreña de la Lengua Disponible $3500 Solicitado $500 PRESUPUESTO: SI</v>
      </c>
    </row>
    <row r="964" spans="1:20" ht="90" x14ac:dyDescent="0.25">
      <c r="A964" s="115">
        <f t="shared" si="36"/>
        <v>899</v>
      </c>
      <c r="B964" s="118">
        <v>45367</v>
      </c>
      <c r="C964" s="129" t="s">
        <v>2415</v>
      </c>
      <c r="D964" s="65" t="s">
        <v>2416</v>
      </c>
      <c r="E964" s="65" t="s">
        <v>2417</v>
      </c>
      <c r="F964" t="s">
        <v>1003</v>
      </c>
      <c r="G964" s="161">
        <f>MONTH(EJECUTADO[[#This Row],[FECHA]])</f>
        <v>3</v>
      </c>
      <c r="H964" s="163" t="str">
        <f>MID(EJECUTADO[[#This Row],[CUENTA]],1,4)</f>
        <v>E-13</v>
      </c>
      <c r="I964" s="163" t="str">
        <f>INDEX(CATALOGO[Descripción],MATCH(EJECUTADO[[#This Row],[APLICACIÓN]]&amp;"-00-00-00",CATALOGO[Código],0))</f>
        <v>MAESTRIAS Y POSTGRADOS</v>
      </c>
      <c r="J9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964" s="161" t="str">
        <f>IF((EJECUTADO[[#This Row],[MONTO DISPONIBLE ]]-EJECUTADO[[#This Row],[MONTO SOLICITADO]])&gt;=0,"PRESUPUESTO: SI","PRESUPUESTO: NO")</f>
        <v>PRESUPUESTO: SI</v>
      </c>
      <c r="L964" s="162">
        <f>SUMIF(PRESUPUESTO[CUENTA],EJECUTADO[[#This Row],[CUENTA]],PRESUPUESTO[MONTO])-SUMIF($F$1:F963,EJECUTADO[[#This Row],[CUENTA]],$M$1:M963)</f>
        <v>1968</v>
      </c>
      <c r="M964" s="2">
        <v>130.4</v>
      </c>
      <c r="N964" s="84"/>
      <c r="O964" s="84"/>
      <c r="P964" s="162">
        <f>+EJECUTADO[[#This Row],[MONTO SOLICITADO]]-EJECUTADO[[#This Row],[RETENCION IVA]]-EJECUTADO[[#This Row],[RETENCION ISR]]</f>
        <v>130.4</v>
      </c>
      <c r="Q964" s="120" t="s">
        <v>1971</v>
      </c>
      <c r="R964" s="120" t="s">
        <v>2325</v>
      </c>
      <c r="T964" s="168" t="str">
        <f t="shared" si="35"/>
        <v>MAESTRIAS Y POSTGRADOS - MANTENIMIENTO ASENSORES  Disponible $1968 Solicitado $130.4 PRESUPUESTO: SI</v>
      </c>
    </row>
    <row r="965" spans="1:20" ht="105" x14ac:dyDescent="0.25">
      <c r="A965" s="115">
        <f>+A964+1</f>
        <v>900</v>
      </c>
      <c r="B965" s="118">
        <v>45367</v>
      </c>
      <c r="C965" s="129" t="s">
        <v>2418</v>
      </c>
      <c r="D965" s="116" t="s">
        <v>2419</v>
      </c>
      <c r="E965" s="65" t="s">
        <v>2420</v>
      </c>
      <c r="F965" t="s">
        <v>2185</v>
      </c>
      <c r="G965" s="161">
        <f>MONTH(EJECUTADO[[#This Row],[FECHA]])</f>
        <v>3</v>
      </c>
      <c r="H965" s="163" t="str">
        <f>MID(EJECUTADO[[#This Row],[CUENTA]],1,4)</f>
        <v>A-34</v>
      </c>
      <c r="I965" s="163" t="str">
        <f>INDEX(CATALOGO[Descripción],MATCH(EJECUTADO[[#This Row],[APLICACIÓN]]&amp;"-00-00-00",CATALOGO[Código],0))</f>
        <v>FONDOS AJENOS</v>
      </c>
      <c r="J9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965" s="161" t="str">
        <f>IF((EJECUTADO[[#This Row],[MONTO DISPONIBLE ]]-EJECUTADO[[#This Row],[MONTO SOLICITADO]])&gt;=0,"PRESUPUESTO: SI","PRESUPUESTO: NO")</f>
        <v>PRESUPUESTO: SI</v>
      </c>
      <c r="L965" s="162">
        <f>SUMIF(PRESUPUESTO[CUENTA],EJECUTADO[[#This Row],[CUENTA]],PRESUPUESTO[MONTO])-SUMIF($F$1:F964,EJECUTADO[[#This Row],[CUENTA]],$M$1:M964)</f>
        <v>14360</v>
      </c>
      <c r="M965" s="2">
        <v>288.05</v>
      </c>
      <c r="N965" s="84"/>
      <c r="O965" s="84"/>
      <c r="P965" s="162">
        <f>+EJECUTADO[[#This Row],[MONTO SOLICITADO]]-EJECUTADO[[#This Row],[RETENCION IVA]]-EJECUTADO[[#This Row],[RETENCION ISR]]</f>
        <v>288.05</v>
      </c>
      <c r="Q965" s="120" t="s">
        <v>1971</v>
      </c>
      <c r="R965" s="120" t="s">
        <v>2325</v>
      </c>
      <c r="T965" s="168" t="str">
        <f t="shared" si="35"/>
        <v>FONDOS AJENOS - INGLES PARA UN FUTURO MEJOR Disponible $14360 Solicitado $288.05 PRESUPUESTO: SI</v>
      </c>
    </row>
    <row r="966" spans="1:20" ht="42.75" customHeight="1" x14ac:dyDescent="0.25">
      <c r="A966" s="115">
        <f>+A965+1</f>
        <v>901</v>
      </c>
      <c r="B966" s="118">
        <v>45367</v>
      </c>
      <c r="C966" s="129" t="s">
        <v>2038</v>
      </c>
      <c r="D966" s="116" t="s">
        <v>2421</v>
      </c>
      <c r="E966" s="65"/>
      <c r="G966" s="161">
        <f>MONTH(EJECUTADO[[#This Row],[FECHA]])</f>
        <v>3</v>
      </c>
      <c r="H966" s="163" t="str">
        <f>MID(EJECUTADO[[#This Row],[CUENTA]],1,4)</f>
        <v/>
      </c>
      <c r="I966" s="163"/>
      <c r="J96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66" s="161" t="str">
        <f>IF((EJECUTADO[[#This Row],[MONTO DISPONIBLE ]]-EJECUTADO[[#This Row],[MONTO SOLICITADO]])&gt;=0,"PRESUPUESTO: SI","PRESUPUESTO: NO")</f>
        <v>PRESUPUESTO: NO</v>
      </c>
      <c r="L966" s="162">
        <f>SUMIF(PRESUPUESTO[CUENTA],EJECUTADO[[#This Row],[CUENTA]],PRESUPUESTO[MONTO])-SUMIF($F$1:F965,EJECUTADO[[#This Row],[CUENTA]],$M$1:M965)</f>
        <v>0</v>
      </c>
      <c r="M966" s="119">
        <v>673.87</v>
      </c>
      <c r="N966" s="120"/>
      <c r="O966" s="120"/>
      <c r="P966" s="165">
        <f>+EJECUTADO[[#This Row],[MONTO SOLICITADO]]-EJECUTADO[[#This Row],[RETENCION IVA]]-EJECUTADO[[#This Row],[RETENCION ISR]]</f>
        <v>673.87</v>
      </c>
      <c r="Q966" s="120" t="s">
        <v>1971</v>
      </c>
      <c r="R966" s="120" t="s">
        <v>2325</v>
      </c>
      <c r="S966">
        <v>174</v>
      </c>
      <c r="T966" s="168" t="e">
        <f t="shared" si="35"/>
        <v>#N/A</v>
      </c>
    </row>
    <row r="967" spans="1:20" ht="60" x14ac:dyDescent="0.25">
      <c r="A967" s="6">
        <f t="shared" si="36"/>
        <v>902</v>
      </c>
      <c r="B967" s="21">
        <v>45367</v>
      </c>
      <c r="C967" s="126" t="s">
        <v>2422</v>
      </c>
      <c r="D967" s="65" t="s">
        <v>2423</v>
      </c>
      <c r="E967" s="65" t="s">
        <v>2424</v>
      </c>
      <c r="F967" t="s">
        <v>2237</v>
      </c>
      <c r="G967" s="161">
        <f>MONTH(EJECUTADO[[#This Row],[FECHA]])</f>
        <v>3</v>
      </c>
      <c r="H967" s="163" t="str">
        <f>MID(EJECUTADO[[#This Row],[CUENTA]],1,4)</f>
        <v>E-26</v>
      </c>
      <c r="I967" s="163" t="str">
        <f>INDEX(CATALOGO[Descripción],MATCH(EJECUTADO[[#This Row],[APLICACIÓN]]&amp;"-00-00-00",CATALOGO[Código],0))</f>
        <v>EVENTOS ACADEMICOS, CULTURALES  E INSTITUCIONALES</v>
      </c>
      <c r="J9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967" s="161" t="str">
        <f>IF((EJECUTADO[[#This Row],[MONTO DISPONIBLE ]]-EJECUTADO[[#This Row],[MONTO SOLICITADO]])&gt;=0,"PRESUPUESTO: SI","PRESUPUESTO: NO")</f>
        <v>PRESUPUESTO: SI</v>
      </c>
      <c r="L967" s="162">
        <f>SUMIF(PRESUPUESTO[CUENTA],EJECUTADO[[#This Row],[CUENTA]],PRESUPUESTO[MONTO])-SUMIF($F$1:F966,EJECUTADO[[#This Row],[CUENTA]],$M$1:M966)</f>
        <v>4958.33</v>
      </c>
      <c r="M967" s="2">
        <v>861.02</v>
      </c>
      <c r="N967" s="84">
        <v>6.93</v>
      </c>
      <c r="O967" s="84"/>
      <c r="P967" s="162">
        <f>+EJECUTADO[[#This Row],[MONTO SOLICITADO]]-EJECUTADO[[#This Row],[RETENCION IVA]]-EJECUTADO[[#This Row],[RETENCION ISR]]</f>
        <v>854.09</v>
      </c>
      <c r="Q967" s="84" t="s">
        <v>1554</v>
      </c>
      <c r="R967" s="84"/>
      <c r="S967" s="112">
        <v>3284</v>
      </c>
      <c r="T967" s="168" t="str">
        <f t="shared" si="35"/>
        <v>EVENTOS ACADEMICOS, CULTURALES  E INSTITUCIONALES - SESIONES Y CONFERENCIAS   Disponible $4958.33 Solicitado $861.02 PRESUPUESTO: SI</v>
      </c>
    </row>
    <row r="968" spans="1:20" ht="60" x14ac:dyDescent="0.25">
      <c r="A968" s="6">
        <f t="shared" si="36"/>
        <v>903</v>
      </c>
      <c r="B968" s="21">
        <v>45367</v>
      </c>
      <c r="C968" s="126" t="s">
        <v>2425</v>
      </c>
      <c r="D968" s="65" t="s">
        <v>2426</v>
      </c>
      <c r="E968" s="65" t="s">
        <v>2427</v>
      </c>
      <c r="F968" t="s">
        <v>2237</v>
      </c>
      <c r="G968" s="161">
        <f>MONTH(EJECUTADO[[#This Row],[FECHA]])</f>
        <v>3</v>
      </c>
      <c r="H968" s="163" t="str">
        <f>MID(EJECUTADO[[#This Row],[CUENTA]],1,4)</f>
        <v>E-26</v>
      </c>
      <c r="I968" s="163" t="str">
        <f>INDEX(CATALOGO[Descripción],MATCH(EJECUTADO[[#This Row],[APLICACIÓN]]&amp;"-00-00-00",CATALOGO[Código],0))</f>
        <v>EVENTOS ACADEMICOS, CULTURALES  E INSTITUCIONALES</v>
      </c>
      <c r="J9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968" s="161" t="str">
        <f>IF((EJECUTADO[[#This Row],[MONTO DISPONIBLE ]]-EJECUTADO[[#This Row],[MONTO SOLICITADO]])&gt;=0,"PRESUPUESTO: SI","PRESUPUESTO: NO")</f>
        <v>PRESUPUESTO: SI</v>
      </c>
      <c r="L968" s="162">
        <f>SUMIF(PRESUPUESTO[CUENTA],EJECUTADO[[#This Row],[CUENTA]],PRESUPUESTO[MONTO])-SUMIF($F$1:F967,EJECUTADO[[#This Row],[CUENTA]],$M$1:M967)</f>
        <v>4097.3099999999995</v>
      </c>
      <c r="M968" s="2">
        <v>248</v>
      </c>
      <c r="N968" s="84">
        <v>2.19</v>
      </c>
      <c r="O968" s="84"/>
      <c r="P968" s="162">
        <f>+EJECUTADO[[#This Row],[MONTO SOLICITADO]]-EJECUTADO[[#This Row],[RETENCION IVA]]-EJECUTADO[[#This Row],[RETENCION ISR]]</f>
        <v>245.81</v>
      </c>
      <c r="Q968" s="84" t="s">
        <v>1554</v>
      </c>
      <c r="R968" s="84"/>
      <c r="S968" s="112">
        <v>3283</v>
      </c>
      <c r="T968" s="168" t="str">
        <f t="shared" si="35"/>
        <v>EVENTOS ACADEMICOS, CULTURALES  E INSTITUCIONALES - SESIONES Y CONFERENCIAS   Disponible $4097.31 Solicitado $248 PRESUPUESTO: SI</v>
      </c>
    </row>
    <row r="969" spans="1:20" ht="90" x14ac:dyDescent="0.25">
      <c r="A969" s="6">
        <f t="shared" si="36"/>
        <v>904</v>
      </c>
      <c r="B969" s="21">
        <v>45337</v>
      </c>
      <c r="C969" s="126" t="s">
        <v>2428</v>
      </c>
      <c r="D969" s="65" t="s">
        <v>2429</v>
      </c>
      <c r="E969" s="65" t="s">
        <v>2430</v>
      </c>
      <c r="F969" t="s">
        <v>1363</v>
      </c>
      <c r="G969" s="161">
        <f>MONTH(EJECUTADO[[#This Row],[FECHA]])</f>
        <v>2</v>
      </c>
      <c r="H969" s="163" t="str">
        <f>MID(EJECUTADO[[#This Row],[CUENTA]],1,4)</f>
        <v>E-15</v>
      </c>
      <c r="I969" s="163" t="str">
        <f>INDEX(CATALOGO[Descripción],MATCH(EJECUTADO[[#This Row],[APLICACIÓN]]&amp;"-00-00-00",CATALOGO[Código],0))</f>
        <v>ALQUILERES</v>
      </c>
      <c r="J9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Tecnoimpresos  Casa 116   $ 2,260.00 x 12</v>
      </c>
      <c r="K969" s="161" t="str">
        <f>IF((EJECUTADO[[#This Row],[MONTO DISPONIBLE ]]-EJECUTADO[[#This Row],[MONTO SOLICITADO]])&gt;=0,"PRESUPUESTO: SI","PRESUPUESTO: NO")</f>
        <v>PRESUPUESTO: SI</v>
      </c>
      <c r="L969" s="162">
        <f>SUMIF(PRESUPUESTO[CUENTA],EJECUTADO[[#This Row],[CUENTA]],PRESUPUESTO[MONTO])-SUMIF($F$1:F968,EJECUTADO[[#This Row],[CUENTA]],$M$1:M968)</f>
        <v>22600</v>
      </c>
      <c r="M969" s="2">
        <v>2260</v>
      </c>
      <c r="N969" s="84">
        <v>20</v>
      </c>
      <c r="O969" s="84"/>
      <c r="P969" s="162">
        <f>+EJECUTADO[[#This Row],[MONTO SOLICITADO]]-EJECUTADO[[#This Row],[RETENCION IVA]]-EJECUTADO[[#This Row],[RETENCION ISR]]</f>
        <v>2240</v>
      </c>
      <c r="Q969" s="84"/>
      <c r="R969" s="84"/>
      <c r="T969" s="168" t="str">
        <f t="shared" si="35"/>
        <v>ALQUILERES - Tecnoimpresos  Casa 116   $ 2,260.00 x 12 Disponible $22600 Solicitado $2260 PRESUPUESTO: SI</v>
      </c>
    </row>
    <row r="970" spans="1:20" ht="75" x14ac:dyDescent="0.25">
      <c r="A970" s="187" t="s">
        <v>2431</v>
      </c>
      <c r="B970" s="21">
        <v>45337</v>
      </c>
      <c r="C970" s="126" t="s">
        <v>2428</v>
      </c>
      <c r="D970" s="65" t="s">
        <v>2432</v>
      </c>
      <c r="E970" s="65" t="s">
        <v>2433</v>
      </c>
      <c r="F970" t="s">
        <v>1690</v>
      </c>
      <c r="G970" s="161">
        <f>MONTH(EJECUTADO[[#This Row],[FECHA]])</f>
        <v>2</v>
      </c>
      <c r="H970" s="163" t="str">
        <f>MID(EJECUTADO[[#This Row],[CUENTA]],1,4)</f>
        <v>E-14</v>
      </c>
      <c r="I970" s="163" t="str">
        <f>INDEX(CATALOGO[Descripción],MATCH(EJECUTADO[[#This Row],[APLICACIÓN]]&amp;"-00-00-00",CATALOGO[Código],0))</f>
        <v>MATERIAL DIDÁCTICO</v>
      </c>
      <c r="J9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970" s="161" t="str">
        <f>IF((EJECUTADO[[#This Row],[MONTO DISPONIBLE ]]-EJECUTADO[[#This Row],[MONTO SOLICITADO]])&gt;=0,"PRESUPUESTO: SI","PRESUPUESTO: NO")</f>
        <v>PRESUPUESTO: NO</v>
      </c>
      <c r="L970" s="162">
        <f>SUMIF(PRESUPUESTO[CUENTA],EJECUTADO[[#This Row],[CUENTA]],PRESUPUESTO[MONTO])-SUMIF($F$1:F969,EJECUTADO[[#This Row],[CUENTA]],$M$1:M969)</f>
        <v>-1650</v>
      </c>
      <c r="M970" s="2">
        <v>138</v>
      </c>
      <c r="N970" s="188">
        <v>1.22</v>
      </c>
      <c r="O970" s="188"/>
      <c r="P970" s="166">
        <f>+EJECUTADO[[#This Row],[MONTO SOLICITADO]]-EJECUTADO[[#This Row],[RETENCION IVA]]-EJECUTADO[[#This Row],[RETENCION ISR]]</f>
        <v>136.78</v>
      </c>
      <c r="Q970" s="188"/>
      <c r="R970" s="188"/>
      <c r="T970" s="168" t="str">
        <f t="shared" si="35"/>
        <v>MATERIAL DIDÁCTICO - PAQUETES DIDACTICOS - FACULTAD DE CIENCIAS SOCIALES Disponible $-1650 Solicitado $138 PRESUPUESTO: NO</v>
      </c>
    </row>
    <row r="971" spans="1:20" ht="90" x14ac:dyDescent="0.25">
      <c r="A971" s="187" t="s">
        <v>2434</v>
      </c>
      <c r="B971" s="21">
        <v>45337</v>
      </c>
      <c r="C971" s="126" t="s">
        <v>2428</v>
      </c>
      <c r="D971" s="65" t="s">
        <v>2435</v>
      </c>
      <c r="E971" s="65" t="s">
        <v>2436</v>
      </c>
      <c r="F971" t="s">
        <v>1997</v>
      </c>
      <c r="G971" s="161">
        <f>MONTH(EJECUTADO[[#This Row],[FECHA]])</f>
        <v>2</v>
      </c>
      <c r="H971" s="163" t="str">
        <f>MID(EJECUTADO[[#This Row],[CUENTA]],1,4)</f>
        <v>E-24</v>
      </c>
      <c r="I971" s="163" t="str">
        <f>INDEX(CATALOGO[Descripción],MATCH(EJECUTADO[[#This Row],[APLICACIÓN]]&amp;"-00-00-00",CATALOGO[Código],0))</f>
        <v>NUEVO INGRESO</v>
      </c>
      <c r="J9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Red de colegios -Desayunos  Red Utec </v>
      </c>
      <c r="K971" s="161" t="str">
        <f>IF((EJECUTADO[[#This Row],[MONTO DISPONIBLE ]]-EJECUTADO[[#This Row],[MONTO SOLICITADO]])&gt;=0,"PRESUPUESTO: SI","PRESUPUESTO: NO")</f>
        <v>PRESUPUESTO: SI</v>
      </c>
      <c r="L971" s="162">
        <f>SUMIF(PRESUPUESTO[CUENTA],EJECUTADO[[#This Row],[CUENTA]],PRESUPUESTO[MONTO])-SUMIF($F$1:F970,EJECUTADO[[#This Row],[CUENTA]],$M$1:M970)</f>
        <v>256.65000000000009</v>
      </c>
      <c r="M971" s="2">
        <v>4.8</v>
      </c>
      <c r="N971" s="188">
        <v>0</v>
      </c>
      <c r="O971" s="188"/>
      <c r="P971" s="166">
        <f>+EJECUTADO[[#This Row],[MONTO SOLICITADO]]-EJECUTADO[[#This Row],[RETENCION IVA]]-EJECUTADO[[#This Row],[RETENCION ISR]]</f>
        <v>4.8</v>
      </c>
      <c r="Q971" s="188"/>
      <c r="R971" s="188"/>
      <c r="T971" s="168" t="str">
        <f t="shared" si="35"/>
        <v>NUEVO INGRESO - Red de colegios -Desayunos  Red Utec  Disponible $256.65 Solicitado $4.8 PRESUPUESTO: SI</v>
      </c>
    </row>
    <row r="972" spans="1:20" ht="150" x14ac:dyDescent="0.25">
      <c r="A972" s="187" t="s">
        <v>2437</v>
      </c>
      <c r="B972" s="21">
        <v>45337</v>
      </c>
      <c r="C972" s="126" t="s">
        <v>2428</v>
      </c>
      <c r="D972" s="65" t="s">
        <v>2438</v>
      </c>
      <c r="E972" s="65" t="s">
        <v>2439</v>
      </c>
      <c r="F972" t="s">
        <v>1364</v>
      </c>
      <c r="G972" s="161">
        <f>MONTH(EJECUTADO[[#This Row],[FECHA]])</f>
        <v>2</v>
      </c>
      <c r="H972" s="163" t="str">
        <f>MID(EJECUTADO[[#This Row],[CUENTA]],1,4)</f>
        <v>E-14</v>
      </c>
      <c r="I972" s="163" t="str">
        <f>INDEX(CATALOGO[Descripción],MATCH(EJECUTADO[[#This Row],[APLICACIÓN]]&amp;"-00-00-00",CATALOGO[Código],0))</f>
        <v>MATERIAL DIDÁCTICO</v>
      </c>
      <c r="J9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CARNET - FACULTAD DE CIENCIAS EMPRESARIALES  </v>
      </c>
      <c r="K972" s="161" t="str">
        <f>IF((EJECUTADO[[#This Row],[MONTO DISPONIBLE ]]-EJECUTADO[[#This Row],[MONTO SOLICITADO]])&gt;=0,"PRESUPUESTO: SI","PRESUPUESTO: NO")</f>
        <v>PRESUPUESTO: SI</v>
      </c>
      <c r="L972" s="162">
        <f>SUMIF(PRESUPUESTO[CUENTA],EJECUTADO[[#This Row],[CUENTA]],PRESUPUESTO[MONTO])-SUMIF($F$1:F971,EJECUTADO[[#This Row],[CUENTA]],$M$1:M971)</f>
        <v>2759.42</v>
      </c>
      <c r="M972" s="2">
        <v>1487.17</v>
      </c>
      <c r="N972" s="188"/>
      <c r="O972" s="188"/>
      <c r="P972" s="166">
        <f>+EJECUTADO[[#This Row],[MONTO SOLICITADO]]-EJECUTADO[[#This Row],[RETENCION IVA]]-EJECUTADO[[#This Row],[RETENCION ISR]]</f>
        <v>1487.17</v>
      </c>
      <c r="Q972" s="188"/>
      <c r="R972" s="188"/>
      <c r="T972" s="168" t="str">
        <f t="shared" si="35"/>
        <v>MATERIAL DIDÁCTICO - CARNET - FACULTAD DE CIENCIAS EMPRESARIALES   Disponible $2759.42 Solicitado $1487.17 PRESUPUESTO: SI</v>
      </c>
    </row>
    <row r="973" spans="1:20" ht="90" x14ac:dyDescent="0.25">
      <c r="A973" s="187" t="s">
        <v>2440</v>
      </c>
      <c r="B973" s="21">
        <v>45337</v>
      </c>
      <c r="C973" s="126" t="s">
        <v>2428</v>
      </c>
      <c r="D973" s="65" t="s">
        <v>2441</v>
      </c>
      <c r="E973" s="65" t="s">
        <v>2442</v>
      </c>
      <c r="F973" t="s">
        <v>1114</v>
      </c>
      <c r="G973" s="161">
        <f>MONTH(EJECUTADO[[#This Row],[FECHA]])</f>
        <v>2</v>
      </c>
      <c r="H973" s="163" t="str">
        <f>MID(EJECUTADO[[#This Row],[CUENTA]],1,4)</f>
        <v>E-19</v>
      </c>
      <c r="I973" s="163" t="str">
        <f>INDEX(CATALOGO[Descripción],MATCH(EJECUTADO[[#This Row],[APLICACIÓN]]&amp;"-00-00-00",CATALOGO[Código],0))</f>
        <v>MANTENIMIENTO</v>
      </c>
      <c r="J9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mantenimiento </v>
      </c>
      <c r="K973" s="161" t="str">
        <f>IF((EJECUTADO[[#This Row],[MONTO DISPONIBLE ]]-EJECUTADO[[#This Row],[MONTO SOLICITADO]])&gt;=0,"PRESUPUESTO: SI","PRESUPUESTO: NO")</f>
        <v>PRESUPUESTO: SI</v>
      </c>
      <c r="L973" s="162">
        <f>SUMIF(PRESUPUESTO[CUENTA],EJECUTADO[[#This Row],[CUENTA]],PRESUPUESTO[MONTO])-SUMIF($F$1:F972,EJECUTADO[[#This Row],[CUENTA]],$M$1:M972)</f>
        <v>6897</v>
      </c>
      <c r="M973" s="2">
        <v>303.29000000000002</v>
      </c>
      <c r="N973" s="188">
        <v>2.71</v>
      </c>
      <c r="O973" s="188"/>
      <c r="P973" s="166">
        <f>+EJECUTADO[[#This Row],[MONTO SOLICITADO]]-EJECUTADO[[#This Row],[RETENCION IVA]]-EJECUTADO[[#This Row],[RETENCION ISR]]</f>
        <v>300.58000000000004</v>
      </c>
      <c r="Q973" s="188"/>
      <c r="R973" s="188"/>
      <c r="T973" s="168" t="str">
        <f t="shared" si="35"/>
        <v>MANTENIMIENTO - Dir. Mantenimiento - Materiales mantenimiento  Disponible $6897 Solicitado $303.29 PRESUPUESTO: SI</v>
      </c>
    </row>
    <row r="974" spans="1:20" ht="75" x14ac:dyDescent="0.25">
      <c r="A974" s="187" t="s">
        <v>2443</v>
      </c>
      <c r="B974" s="21">
        <v>45337</v>
      </c>
      <c r="C974" s="126" t="s">
        <v>2428</v>
      </c>
      <c r="D974" s="65" t="s">
        <v>2444</v>
      </c>
      <c r="E974" s="65" t="s">
        <v>2445</v>
      </c>
      <c r="F974" t="s">
        <v>1114</v>
      </c>
      <c r="G974" s="161">
        <f>MONTH(EJECUTADO[[#This Row],[FECHA]])</f>
        <v>2</v>
      </c>
      <c r="H974" s="163" t="str">
        <f>MID(EJECUTADO[[#This Row],[CUENTA]],1,4)</f>
        <v>E-19</v>
      </c>
      <c r="I974" s="163" t="str">
        <f>INDEX(CATALOGO[Descripción],MATCH(EJECUTADO[[#This Row],[APLICACIÓN]]&amp;"-00-00-00",CATALOGO[Código],0))</f>
        <v>MANTENIMIENTO</v>
      </c>
      <c r="J9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mantenimiento </v>
      </c>
      <c r="K974" s="161" t="str">
        <f>IF((EJECUTADO[[#This Row],[MONTO DISPONIBLE ]]-EJECUTADO[[#This Row],[MONTO SOLICITADO]])&gt;=0,"PRESUPUESTO: SI","PRESUPUESTO: NO")</f>
        <v>PRESUPUESTO: SI</v>
      </c>
      <c r="L974" s="162">
        <f>SUMIF(PRESUPUESTO[CUENTA],EJECUTADO[[#This Row],[CUENTA]],PRESUPUESTO[MONTO])-SUMIF($F$1:F973,EJECUTADO[[#This Row],[CUENTA]],$M$1:M973)</f>
        <v>6593.71</v>
      </c>
      <c r="M974" s="2">
        <v>1255.4000000000001</v>
      </c>
      <c r="N974" s="188">
        <v>11.21</v>
      </c>
      <c r="O974" s="188"/>
      <c r="P974" s="166">
        <f>+EJECUTADO[[#This Row],[MONTO SOLICITADO]]-EJECUTADO[[#This Row],[RETENCION IVA]]-EJECUTADO[[#This Row],[RETENCION ISR]]</f>
        <v>1244.19</v>
      </c>
      <c r="Q974" s="188"/>
      <c r="R974" s="188"/>
      <c r="T974" s="168" t="str">
        <f t="shared" ref="T974:T1037" si="38">_xlfn.CONCAT(I974," - ",J974," Disponible $",L974," Solicitado $",M974," ",K974,)</f>
        <v>MANTENIMIENTO - Dir. Mantenimiento - Materiales mantenimiento  Disponible $6593.71 Solicitado $1255.4 PRESUPUESTO: SI</v>
      </c>
    </row>
    <row r="975" spans="1:20" ht="105" x14ac:dyDescent="0.25">
      <c r="A975" s="187" t="s">
        <v>2446</v>
      </c>
      <c r="B975" s="21">
        <v>45337</v>
      </c>
      <c r="C975" s="126" t="s">
        <v>2428</v>
      </c>
      <c r="D975" s="65" t="s">
        <v>2447</v>
      </c>
      <c r="E975" s="65" t="s">
        <v>2448</v>
      </c>
      <c r="F975" t="s">
        <v>2449</v>
      </c>
      <c r="G975" s="161">
        <f>MONTH(EJECUTADO[[#This Row],[FECHA]])</f>
        <v>2</v>
      </c>
      <c r="H975" s="163" t="str">
        <f>MID(EJECUTADO[[#This Row],[CUENTA]],1,4)</f>
        <v>E-14</v>
      </c>
      <c r="I975" s="163" t="str">
        <f>INDEX(CATALOGO[Descripción],MATCH(EJECUTADO[[#This Row],[APLICACIÓN]]&amp;"-00-00-00",CATALOGO[Código],0))</f>
        <v>MATERIAL DIDÁCTICO</v>
      </c>
      <c r="J9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 papeleria y utiles</v>
      </c>
      <c r="K975" s="161" t="str">
        <f>IF((EJECUTADO[[#This Row],[MONTO DISPONIBLE ]]-EJECUTADO[[#This Row],[MONTO SOLICITADO]])&gt;=0,"PRESUPUESTO: SI","PRESUPUESTO: NO")</f>
        <v>PRESUPUESTO: SI</v>
      </c>
      <c r="L975" s="162">
        <f>SUMIF(PRESUPUESTO[CUENTA],EJECUTADO[[#This Row],[CUENTA]],PRESUPUESTO[MONTO])-SUMIF($F$1:F974,EJECUTADO[[#This Row],[CUENTA]],$M$1:M974)</f>
        <v>10000</v>
      </c>
      <c r="M975" s="2">
        <v>528.99</v>
      </c>
      <c r="N975" s="188">
        <v>4.72</v>
      </c>
      <c r="O975" s="188"/>
      <c r="P975" s="166">
        <f>+EJECUTADO[[#This Row],[MONTO SOLICITADO]]-EJECUTADO[[#This Row],[RETENCION IVA]]-EJECUTADO[[#This Row],[RETENCION ISR]]</f>
        <v>524.27</v>
      </c>
      <c r="Q975" s="188"/>
      <c r="R975" s="188"/>
      <c r="T975" s="168" t="str">
        <f t="shared" si="38"/>
        <v>MATERIAL DIDÁCTICO - Otra papeleria y utiles Disponible $10000 Solicitado $528.99 PRESUPUESTO: SI</v>
      </c>
    </row>
    <row r="976" spans="1:20" ht="150" x14ac:dyDescent="0.25">
      <c r="A976" s="187" t="s">
        <v>2450</v>
      </c>
      <c r="B976" s="21">
        <v>45337</v>
      </c>
      <c r="C976" s="126" t="s">
        <v>2428</v>
      </c>
      <c r="D976" s="65" t="s">
        <v>2438</v>
      </c>
      <c r="E976" s="65" t="s">
        <v>2439</v>
      </c>
      <c r="F976" t="s">
        <v>1365</v>
      </c>
      <c r="G976" s="161">
        <f>MONTH(EJECUTADO[[#This Row],[FECHA]])</f>
        <v>2</v>
      </c>
      <c r="H976" s="163" t="str">
        <f>MID(EJECUTADO[[#This Row],[CUENTA]],1,4)</f>
        <v>E-14</v>
      </c>
      <c r="I976" s="163" t="str">
        <f>INDEX(CATALOGO[Descripción],MATCH(EJECUTADO[[#This Row],[APLICACIÓN]]&amp;"-00-00-00",CATALOGO[Código],0))</f>
        <v>MATERIAL DIDÁCTICO</v>
      </c>
      <c r="J9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INFORMATICA Y CC APLICADAS</v>
      </c>
      <c r="K976" s="161" t="str">
        <f>IF((EJECUTADO[[#This Row],[MONTO DISPONIBLE ]]-EJECUTADO[[#This Row],[MONTO SOLICITADO]])&gt;=0,"PRESUPUESTO: SI","PRESUPUESTO: NO")</f>
        <v>PRESUPUESTO: SI</v>
      </c>
      <c r="L976" s="162">
        <f>SUMIF(PRESUPUESTO[CUENTA],EJECUTADO[[#This Row],[CUENTA]],PRESUPUESTO[MONTO])-SUMIF($F$1:F975,EJECUTADO[[#This Row],[CUENTA]],$M$1:M975)</f>
        <v>2805.56</v>
      </c>
      <c r="M976" s="2">
        <v>1479.07</v>
      </c>
      <c r="N976" s="188">
        <v>39.96</v>
      </c>
      <c r="O976" s="188"/>
      <c r="P976" s="166">
        <f>+EJECUTADO[[#This Row],[MONTO SOLICITADO]]-EJECUTADO[[#This Row],[RETENCION IVA]]-EJECUTADO[[#This Row],[RETENCION ISR]]</f>
        <v>1439.11</v>
      </c>
      <c r="Q976" s="188"/>
      <c r="R976" s="188"/>
      <c r="T976" s="168" t="str">
        <f t="shared" si="38"/>
        <v>MATERIAL DIDÁCTICO - CARNET - FACULTAD DE INFORMATICA Y CC APLICADAS Disponible $2805.56 Solicitado $1479.07 PRESUPUESTO: SI</v>
      </c>
    </row>
    <row r="977" spans="1:20" ht="150" x14ac:dyDescent="0.25">
      <c r="A977" s="187" t="s">
        <v>2451</v>
      </c>
      <c r="B977" s="21">
        <v>45337</v>
      </c>
      <c r="C977" s="126" t="s">
        <v>2428</v>
      </c>
      <c r="D977" s="65" t="s">
        <v>2438</v>
      </c>
      <c r="E977" s="65" t="s">
        <v>2439</v>
      </c>
      <c r="F977" t="s">
        <v>1366</v>
      </c>
      <c r="G977" s="161">
        <f>MONTH(EJECUTADO[[#This Row],[FECHA]])</f>
        <v>2</v>
      </c>
      <c r="H977" s="163" t="str">
        <f>MID(EJECUTADO[[#This Row],[CUENTA]],1,4)</f>
        <v>E-14</v>
      </c>
      <c r="I977" s="163" t="str">
        <f>INDEX(CATALOGO[Descripción],MATCH(EJECUTADO[[#This Row],[APLICACIÓN]]&amp;"-00-00-00",CATALOGO[Código],0))</f>
        <v>MATERIAL DIDÁCTICO</v>
      </c>
      <c r="J9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SOCIALES</v>
      </c>
      <c r="K977" s="161" t="str">
        <f>IF((EJECUTADO[[#This Row],[MONTO DISPONIBLE ]]-EJECUTADO[[#This Row],[MONTO SOLICITADO]])&gt;=0,"PRESUPUESTO: SI","PRESUPUESTO: NO")</f>
        <v>PRESUPUESTO: SI</v>
      </c>
      <c r="L977" s="162">
        <f>SUMIF(PRESUPUESTO[CUENTA],EJECUTADO[[#This Row],[CUENTA]],PRESUPUESTO[MONTO])-SUMIF($F$1:F976,EJECUTADO[[#This Row],[CUENTA]],$M$1:M976)</f>
        <v>2511.61</v>
      </c>
      <c r="M977" s="2">
        <v>1010.38</v>
      </c>
      <c r="N977" s="188">
        <v>39.96</v>
      </c>
      <c r="O977" s="188"/>
      <c r="P977" s="166">
        <f>+EJECUTADO[[#This Row],[MONTO SOLICITADO]]-EJECUTADO[[#This Row],[RETENCION IVA]]-EJECUTADO[[#This Row],[RETENCION ISR]]</f>
        <v>970.42</v>
      </c>
      <c r="Q977" s="188"/>
      <c r="R977" s="188"/>
      <c r="T977" s="168" t="str">
        <f t="shared" si="38"/>
        <v>MATERIAL DIDÁCTICO - CARNET - FACULTAD DE CIENCIAS SOCIALES Disponible $2511.61 Solicitado $1010.38 PRESUPUESTO: SI</v>
      </c>
    </row>
    <row r="978" spans="1:20" ht="150" x14ac:dyDescent="0.25">
      <c r="A978" s="187" t="s">
        <v>2452</v>
      </c>
      <c r="B978" s="21">
        <v>45337</v>
      </c>
      <c r="C978" s="126" t="s">
        <v>2428</v>
      </c>
      <c r="D978" s="65" t="s">
        <v>2438</v>
      </c>
      <c r="E978" s="65" t="s">
        <v>2439</v>
      </c>
      <c r="F978" t="s">
        <v>1367</v>
      </c>
      <c r="G978" s="161">
        <f>MONTH(EJECUTADO[[#This Row],[FECHA]])</f>
        <v>2</v>
      </c>
      <c r="H978" s="163" t="str">
        <f>MID(EJECUTADO[[#This Row],[CUENTA]],1,4)</f>
        <v>E-14</v>
      </c>
      <c r="I978" s="163" t="str">
        <f>INDEX(CATALOGO[Descripción],MATCH(EJECUTADO[[#This Row],[APLICACIÓN]]&amp;"-00-00-00",CATALOGO[Código],0))</f>
        <v>MATERIAL DIDÁCTICO</v>
      </c>
      <c r="J9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JURIDICAS</v>
      </c>
      <c r="K978" s="161" t="str">
        <f>IF((EJECUTADO[[#This Row],[MONTO DISPONIBLE ]]-EJECUTADO[[#This Row],[MONTO SOLICITADO]])&gt;=0,"PRESUPUESTO: SI","PRESUPUESTO: NO")</f>
        <v>PRESUPUESTO: SI</v>
      </c>
      <c r="L978" s="162">
        <f>SUMIF(PRESUPUESTO[CUENTA],EJECUTADO[[#This Row],[CUENTA]],PRESUPUESTO[MONTO])-SUMIF($F$1:F977,EJECUTADO[[#This Row],[CUENTA]],$M$1:M977)</f>
        <v>1756.66</v>
      </c>
      <c r="M978" s="2">
        <v>539.13</v>
      </c>
      <c r="N978" s="188">
        <v>39.96</v>
      </c>
      <c r="O978" s="188"/>
      <c r="P978" s="166">
        <f>+EJECUTADO[[#This Row],[MONTO SOLICITADO]]-EJECUTADO[[#This Row],[RETENCION IVA]]-EJECUTADO[[#This Row],[RETENCION ISR]]</f>
        <v>499.17</v>
      </c>
      <c r="Q978" s="188"/>
      <c r="R978" s="188"/>
      <c r="T978" s="168" t="str">
        <f t="shared" si="38"/>
        <v>MATERIAL DIDÁCTICO - CARNET - FACULTAD DE CIENCIAS JURIDICAS Disponible $1756.66 Solicitado $539.13 PRESUPUESTO: SI</v>
      </c>
    </row>
    <row r="979" spans="1:20" ht="90" x14ac:dyDescent="0.25">
      <c r="A979" s="6">
        <f>+A969+1</f>
        <v>905</v>
      </c>
      <c r="B979" s="21">
        <v>45337</v>
      </c>
      <c r="C979" s="126" t="s">
        <v>2428</v>
      </c>
      <c r="D979" s="65" t="s">
        <v>2453</v>
      </c>
      <c r="E979" s="65" t="s">
        <v>2454</v>
      </c>
      <c r="F979" t="s">
        <v>2455</v>
      </c>
      <c r="G979" s="161">
        <f>MONTH(EJECUTADO[[#This Row],[FECHA]])</f>
        <v>2</v>
      </c>
      <c r="H979" s="163" t="str">
        <f>MID(EJECUTADO[[#This Row],[CUENTA]],1,4)</f>
        <v>E-24</v>
      </c>
      <c r="I979" s="163" t="str">
        <f>INDEX(CATALOGO[Descripción],MATCH(EJECUTADO[[#This Row],[APLICACIÓN]]&amp;"-00-00-00",CATALOGO[Código],0))</f>
        <v>NUEVO INGRESO</v>
      </c>
      <c r="J9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 de colegios -Eventos Especiales a directores</v>
      </c>
      <c r="K979" s="161" t="str">
        <f>IF((EJECUTADO[[#This Row],[MONTO DISPONIBLE ]]-EJECUTADO[[#This Row],[MONTO SOLICITADO]])&gt;=0,"PRESUPUESTO: SI","PRESUPUESTO: NO")</f>
        <v>PRESUPUESTO: SI</v>
      </c>
      <c r="L979" s="162">
        <f>SUMIF(PRESUPUESTO[CUENTA],EJECUTADO[[#This Row],[CUENTA]],PRESUPUESTO[MONTO])-SUMIF($F$1:F978,EJECUTADO[[#This Row],[CUENTA]],$M$1:M978)</f>
        <v>2000</v>
      </c>
      <c r="M979" s="2">
        <v>6</v>
      </c>
      <c r="N979" s="84">
        <v>0</v>
      </c>
      <c r="O979" s="84"/>
      <c r="P979" s="162">
        <f>+EJECUTADO[[#This Row],[MONTO SOLICITADO]]-EJECUTADO[[#This Row],[RETENCION IVA]]-EJECUTADO[[#This Row],[RETENCION ISR]]</f>
        <v>6</v>
      </c>
      <c r="Q979" s="84"/>
      <c r="R979" s="84"/>
      <c r="T979" s="168" t="str">
        <f t="shared" si="38"/>
        <v>NUEVO INGRESO - Red de colegios -Eventos Especiales a directores Disponible $2000 Solicitado $6 PRESUPUESTO: SI</v>
      </c>
    </row>
    <row r="980" spans="1:20" ht="105" x14ac:dyDescent="0.25">
      <c r="A980" s="187" t="s">
        <v>2456</v>
      </c>
      <c r="B980" s="21">
        <v>45337</v>
      </c>
      <c r="C980" s="126" t="s">
        <v>2428</v>
      </c>
      <c r="D980" s="65" t="s">
        <v>2457</v>
      </c>
      <c r="E980" s="65" t="s">
        <v>2458</v>
      </c>
      <c r="F980" t="s">
        <v>2459</v>
      </c>
      <c r="G980" s="161">
        <f>MONTH(EJECUTADO[[#This Row],[FECHA]])</f>
        <v>2</v>
      </c>
      <c r="H980" s="163" t="str">
        <f>MID(EJECUTADO[[#This Row],[CUENTA]],1,4)</f>
        <v>E-14</v>
      </c>
      <c r="I980" s="163" t="str">
        <f>INDEX(CATALOGO[Descripción],MATCH(EJECUTADO[[#This Row],[APLICACIÓN]]&amp;"-00-00-00",CATALOGO[Código],0))</f>
        <v>MATERIAL DIDÁCTICO</v>
      </c>
      <c r="J9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PAQUETES DIDACTICOS - FACULTAD DE CIENCIAS EMPRESARIALES  </v>
      </c>
      <c r="K980" s="161" t="str">
        <f>IF((EJECUTADO[[#This Row],[MONTO DISPONIBLE ]]-EJECUTADO[[#This Row],[MONTO SOLICITADO]])&gt;=0,"PRESUPUESTO: SI","PRESUPUESTO: NO")</f>
        <v>PRESUPUESTO: NO</v>
      </c>
      <c r="L980" s="162">
        <f>SUMIF(PRESUPUESTO[CUENTA],EJECUTADO[[#This Row],[CUENTA]],PRESUPUESTO[MONTO])-SUMIF($F$1:F979,EJECUTADO[[#This Row],[CUENTA]],$M$1:M979)</f>
        <v>0</v>
      </c>
      <c r="M980" s="2">
        <v>4200</v>
      </c>
      <c r="N980" s="188">
        <v>0</v>
      </c>
      <c r="O980" s="188"/>
      <c r="P980" s="166">
        <f>+EJECUTADO[[#This Row],[MONTO SOLICITADO]]-EJECUTADO[[#This Row],[RETENCION IVA]]-EJECUTADO[[#This Row],[RETENCION ISR]]</f>
        <v>4200</v>
      </c>
      <c r="Q980" s="188"/>
      <c r="R980" s="188"/>
      <c r="T980" s="168" t="str">
        <f t="shared" si="38"/>
        <v>MATERIAL DIDÁCTICO - PAQUETES DIDACTICOS - FACULTAD DE CIENCIAS EMPRESARIALES   Disponible $0 Solicitado $4200 PRESUPUESTO: NO</v>
      </c>
    </row>
    <row r="981" spans="1:20" s="117" customFormat="1" ht="105" x14ac:dyDescent="0.25">
      <c r="A981" s="191" t="s">
        <v>2460</v>
      </c>
      <c r="B981" s="118">
        <v>45337</v>
      </c>
      <c r="C981" s="129" t="s">
        <v>2428</v>
      </c>
      <c r="D981" s="116" t="s">
        <v>2461</v>
      </c>
      <c r="E981" s="116" t="s">
        <v>2462</v>
      </c>
      <c r="F981" s="117" t="s">
        <v>1690</v>
      </c>
      <c r="G981" s="161">
        <f>MONTH(EJECUTADO[[#This Row],[FECHA]])</f>
        <v>2</v>
      </c>
      <c r="H981" s="163" t="str">
        <f>MID(EJECUTADO[[#This Row],[CUENTA]],1,4)</f>
        <v>E-14</v>
      </c>
      <c r="I981" s="163" t="str">
        <f>INDEX(CATALOGO[Descripción],MATCH(EJECUTADO[[#This Row],[APLICACIÓN]]&amp;"-00-00-00",CATALOGO[Código],0))</f>
        <v>MATERIAL DIDÁCTICO</v>
      </c>
      <c r="J9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981" s="161" t="str">
        <f>IF((EJECUTADO[[#This Row],[MONTO DISPONIBLE ]]-EJECUTADO[[#This Row],[MONTO SOLICITADO]])&gt;=0,"PRESUPUESTO: SI","PRESUPUESTO: NO")</f>
        <v>PRESUPUESTO: NO</v>
      </c>
      <c r="L981" s="162">
        <f>SUMIF(PRESUPUESTO[CUENTA],EJECUTADO[[#This Row],[CUENTA]],PRESUPUESTO[MONTO])-SUMIF($F$1:F980,EJECUTADO[[#This Row],[CUENTA]],$M$1:M980)</f>
        <v>-1788</v>
      </c>
      <c r="M981" s="119">
        <v>825</v>
      </c>
      <c r="N981" s="189">
        <v>0</v>
      </c>
      <c r="O981" s="189"/>
      <c r="P981" s="167">
        <f>+EJECUTADO[[#This Row],[MONTO SOLICITADO]]-EJECUTADO[[#This Row],[RETENCION IVA]]-EJECUTADO[[#This Row],[RETENCION ISR]]</f>
        <v>825</v>
      </c>
      <c r="Q981" s="189"/>
      <c r="R981" s="189"/>
      <c r="T981" s="168" t="str">
        <f t="shared" si="38"/>
        <v>MATERIAL DIDÁCTICO - PAQUETES DIDACTICOS - FACULTAD DE CIENCIAS SOCIALES Disponible $-1788 Solicitado $825 PRESUPUESTO: NO</v>
      </c>
    </row>
    <row r="982" spans="1:20" s="117" customFormat="1" ht="105" x14ac:dyDescent="0.25">
      <c r="A982" s="191" t="s">
        <v>2463</v>
      </c>
      <c r="B982" s="118">
        <v>45337</v>
      </c>
      <c r="C982" s="129" t="s">
        <v>2428</v>
      </c>
      <c r="D982" s="116" t="s">
        <v>2464</v>
      </c>
      <c r="E982" s="116" t="s">
        <v>2465</v>
      </c>
      <c r="F982" s="117" t="s">
        <v>1690</v>
      </c>
      <c r="G982" s="161">
        <f>MONTH(EJECUTADO[[#This Row],[FECHA]])</f>
        <v>2</v>
      </c>
      <c r="H982" s="163" t="str">
        <f>MID(EJECUTADO[[#This Row],[CUENTA]],1,4)</f>
        <v>E-14</v>
      </c>
      <c r="I982" s="163" t="str">
        <f>INDEX(CATALOGO[Descripción],MATCH(EJECUTADO[[#This Row],[APLICACIÓN]]&amp;"-00-00-00",CATALOGO[Código],0))</f>
        <v>MATERIAL DIDÁCTICO</v>
      </c>
      <c r="J9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982" s="161" t="str">
        <f>IF((EJECUTADO[[#This Row],[MONTO DISPONIBLE ]]-EJECUTADO[[#This Row],[MONTO SOLICITADO]])&gt;=0,"PRESUPUESTO: SI","PRESUPUESTO: NO")</f>
        <v>PRESUPUESTO: NO</v>
      </c>
      <c r="L982" s="162">
        <f>SUMIF(PRESUPUESTO[CUENTA],EJECUTADO[[#This Row],[CUENTA]],PRESUPUESTO[MONTO])-SUMIF($F$1:F981,EJECUTADO[[#This Row],[CUENTA]],$M$1:M981)</f>
        <v>-2613</v>
      </c>
      <c r="M982" s="119">
        <v>412.5</v>
      </c>
      <c r="N982" s="189">
        <v>0</v>
      </c>
      <c r="O982" s="189"/>
      <c r="P982" s="167">
        <f>+EJECUTADO[[#This Row],[MONTO SOLICITADO]]-EJECUTADO[[#This Row],[RETENCION IVA]]-EJECUTADO[[#This Row],[RETENCION ISR]]</f>
        <v>412.5</v>
      </c>
      <c r="Q982" s="189"/>
      <c r="R982" s="189"/>
      <c r="T982" s="168" t="str">
        <f t="shared" si="38"/>
        <v>MATERIAL DIDÁCTICO - PAQUETES DIDACTICOS - FACULTAD DE CIENCIAS SOCIALES Disponible $-2613 Solicitado $412.5 PRESUPUESTO: NO</v>
      </c>
    </row>
    <row r="983" spans="1:20" s="117" customFormat="1" ht="90" x14ac:dyDescent="0.25">
      <c r="A983" s="191" t="s">
        <v>2466</v>
      </c>
      <c r="B983" s="118">
        <v>45337</v>
      </c>
      <c r="C983" s="129" t="s">
        <v>2428</v>
      </c>
      <c r="D983" s="116" t="s">
        <v>2467</v>
      </c>
      <c r="E983" s="116" t="s">
        <v>2468</v>
      </c>
      <c r="F983" s="117" t="s">
        <v>2455</v>
      </c>
      <c r="G983" s="161">
        <f>MONTH(EJECUTADO[[#This Row],[FECHA]])</f>
        <v>2</v>
      </c>
      <c r="H983" s="163" t="str">
        <f>MID(EJECUTADO[[#This Row],[CUENTA]],1,4)</f>
        <v>E-24</v>
      </c>
      <c r="I983" s="163" t="str">
        <f>INDEX(CATALOGO[Descripción],MATCH(EJECUTADO[[#This Row],[APLICACIÓN]]&amp;"-00-00-00",CATALOGO[Código],0))</f>
        <v>NUEVO INGRESO</v>
      </c>
      <c r="J9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Red de colegios -Eventos Especiales a directores</v>
      </c>
      <c r="K983" s="161" t="str">
        <f>IF((EJECUTADO[[#This Row],[MONTO DISPONIBLE ]]-EJECUTADO[[#This Row],[MONTO SOLICITADO]])&gt;=0,"PRESUPUESTO: SI","PRESUPUESTO: NO")</f>
        <v>PRESUPUESTO: SI</v>
      </c>
      <c r="L983" s="162">
        <f>SUMIF(PRESUPUESTO[CUENTA],EJECUTADO[[#This Row],[CUENTA]],PRESUPUESTO[MONTO])-SUMIF($F$1:F982,EJECUTADO[[#This Row],[CUENTA]],$M$1:M982)</f>
        <v>1994</v>
      </c>
      <c r="M983" s="119">
        <v>187.5</v>
      </c>
      <c r="N983" s="189">
        <v>1.66</v>
      </c>
      <c r="O983" s="189"/>
      <c r="P983" s="167">
        <f>+EJECUTADO[[#This Row],[MONTO SOLICITADO]]-EJECUTADO[[#This Row],[RETENCION IVA]]-EJECUTADO[[#This Row],[RETENCION ISR]]</f>
        <v>185.84</v>
      </c>
      <c r="Q983" s="189"/>
      <c r="R983" s="189"/>
      <c r="T983" s="168" t="str">
        <f t="shared" si="38"/>
        <v>NUEVO INGRESO - Red de colegios -Eventos Especiales a directores Disponible $1994 Solicitado $187.5 PRESUPUESTO: SI</v>
      </c>
    </row>
    <row r="984" spans="1:20" s="117" customFormat="1" ht="105" x14ac:dyDescent="0.25">
      <c r="A984" s="191" t="s">
        <v>2469</v>
      </c>
      <c r="B984" s="118">
        <v>45337</v>
      </c>
      <c r="C984" s="129" t="s">
        <v>2428</v>
      </c>
      <c r="D984" s="116" t="s">
        <v>2470</v>
      </c>
      <c r="E984" s="116" t="s">
        <v>2471</v>
      </c>
      <c r="F984" s="117" t="s">
        <v>1690</v>
      </c>
      <c r="G984" s="161">
        <f>MONTH(EJECUTADO[[#This Row],[FECHA]])</f>
        <v>2</v>
      </c>
      <c r="H984" s="163" t="str">
        <f>MID(EJECUTADO[[#This Row],[CUENTA]],1,4)</f>
        <v>E-14</v>
      </c>
      <c r="I984" s="163" t="str">
        <f>INDEX(CATALOGO[Descripción],MATCH(EJECUTADO[[#This Row],[APLICACIÓN]]&amp;"-00-00-00",CATALOGO[Código],0))</f>
        <v>MATERIAL DIDÁCTICO</v>
      </c>
      <c r="J9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984" s="161" t="str">
        <f>IF((EJECUTADO[[#This Row],[MONTO DISPONIBLE ]]-EJECUTADO[[#This Row],[MONTO SOLICITADO]])&gt;=0,"PRESUPUESTO: SI","PRESUPUESTO: NO")</f>
        <v>PRESUPUESTO: NO</v>
      </c>
      <c r="L984" s="162">
        <f>SUMIF(PRESUPUESTO[CUENTA],EJECUTADO[[#This Row],[CUENTA]],PRESUPUESTO[MONTO])-SUMIF($F$1:F983,EJECUTADO[[#This Row],[CUENTA]],$M$1:M983)</f>
        <v>-3025.5</v>
      </c>
      <c r="M984" s="119">
        <v>206.25</v>
      </c>
      <c r="N984" s="189">
        <v>0</v>
      </c>
      <c r="O984" s="189"/>
      <c r="P984" s="167">
        <f>+EJECUTADO[[#This Row],[MONTO SOLICITADO]]-EJECUTADO[[#This Row],[RETENCION IVA]]-EJECUTADO[[#This Row],[RETENCION ISR]]</f>
        <v>206.25</v>
      </c>
      <c r="Q984" s="189"/>
      <c r="R984" s="189"/>
      <c r="T984" s="168" t="str">
        <f t="shared" si="38"/>
        <v>MATERIAL DIDÁCTICO - PAQUETES DIDACTICOS - FACULTAD DE CIENCIAS SOCIALES Disponible $-3025.5 Solicitado $206.25 PRESUPUESTO: NO</v>
      </c>
    </row>
    <row r="985" spans="1:20" s="117" customFormat="1" ht="105" x14ac:dyDescent="0.25">
      <c r="A985" s="191" t="s">
        <v>2472</v>
      </c>
      <c r="B985" s="118">
        <v>45337</v>
      </c>
      <c r="C985" s="129" t="s">
        <v>2428</v>
      </c>
      <c r="D985" s="116" t="s">
        <v>2464</v>
      </c>
      <c r="E985" s="116" t="s">
        <v>2473</v>
      </c>
      <c r="F985" s="117" t="s">
        <v>1690</v>
      </c>
      <c r="G985" s="161">
        <f>MONTH(EJECUTADO[[#This Row],[FECHA]])</f>
        <v>2</v>
      </c>
      <c r="H985" s="163" t="str">
        <f>MID(EJECUTADO[[#This Row],[CUENTA]],1,4)</f>
        <v>E-14</v>
      </c>
      <c r="I985" s="163" t="str">
        <f>INDEX(CATALOGO[Descripción],MATCH(EJECUTADO[[#This Row],[APLICACIÓN]]&amp;"-00-00-00",CATALOGO[Código],0))</f>
        <v>MATERIAL DIDÁCTICO</v>
      </c>
      <c r="J9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PAQUETES DIDACTICOS - FACULTAD DE CIENCIAS SOCIALES</v>
      </c>
      <c r="K985" s="161" t="str">
        <f>IF((EJECUTADO[[#This Row],[MONTO DISPONIBLE ]]-EJECUTADO[[#This Row],[MONTO SOLICITADO]])&gt;=0,"PRESUPUESTO: SI","PRESUPUESTO: NO")</f>
        <v>PRESUPUESTO: NO</v>
      </c>
      <c r="L985" s="162">
        <f>SUMIF(PRESUPUESTO[CUENTA],EJECUTADO[[#This Row],[CUENTA]],PRESUPUESTO[MONTO])-SUMIF($F$1:F984,EJECUTADO[[#This Row],[CUENTA]],$M$1:M984)</f>
        <v>-3231.75</v>
      </c>
      <c r="M985" s="119">
        <v>412.5</v>
      </c>
      <c r="N985" s="189">
        <v>0</v>
      </c>
      <c r="O985" s="189"/>
      <c r="P985" s="167">
        <f>+EJECUTADO[[#This Row],[MONTO SOLICITADO]]-EJECUTADO[[#This Row],[RETENCION IVA]]-EJECUTADO[[#This Row],[RETENCION ISR]]</f>
        <v>412.5</v>
      </c>
      <c r="Q985" s="189"/>
      <c r="R985" s="189"/>
      <c r="T985" s="168" t="str">
        <f t="shared" si="38"/>
        <v>MATERIAL DIDÁCTICO - PAQUETES DIDACTICOS - FACULTAD DE CIENCIAS SOCIALES Disponible $-3231.75 Solicitado $412.5 PRESUPUESTO: NO</v>
      </c>
    </row>
    <row r="986" spans="1:20" s="117" customFormat="1" ht="150" x14ac:dyDescent="0.25">
      <c r="A986" s="191" t="s">
        <v>2474</v>
      </c>
      <c r="B986" s="118">
        <v>45337</v>
      </c>
      <c r="C986" s="129" t="s">
        <v>2428</v>
      </c>
      <c r="D986" s="116" t="s">
        <v>2475</v>
      </c>
      <c r="E986" s="116" t="s">
        <v>2476</v>
      </c>
      <c r="F986" s="117" t="s">
        <v>1364</v>
      </c>
      <c r="G986" s="161">
        <f>MONTH(EJECUTADO[[#This Row],[FECHA]])</f>
        <v>2</v>
      </c>
      <c r="H986" s="163" t="str">
        <f>MID(EJECUTADO[[#This Row],[CUENTA]],1,4)</f>
        <v>E-14</v>
      </c>
      <c r="I986" s="163" t="str">
        <f>INDEX(CATALOGO[Descripción],MATCH(EJECUTADO[[#This Row],[APLICACIÓN]]&amp;"-00-00-00",CATALOGO[Código],0))</f>
        <v>MATERIAL DIDÁCTICO</v>
      </c>
      <c r="J9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CARNET - FACULTAD DE CIENCIAS EMPRESARIALES  </v>
      </c>
      <c r="K986" s="161" t="str">
        <f>IF((EJECUTADO[[#This Row],[MONTO DISPONIBLE ]]-EJECUTADO[[#This Row],[MONTO SOLICITADO]])&gt;=0,"PRESUPUESTO: SI","PRESUPUESTO: NO")</f>
        <v>PRESUPUESTO: SI</v>
      </c>
      <c r="L986" s="162">
        <f>SUMIF(PRESUPUESTO[CUENTA],EJECUTADO[[#This Row],[CUENTA]],PRESUPUESTO[MONTO])-SUMIF($F$1:F985,EJECUTADO[[#This Row],[CUENTA]],$M$1:M985)</f>
        <v>1272.25</v>
      </c>
      <c r="M986" s="119">
        <v>178.59</v>
      </c>
      <c r="N986" s="189"/>
      <c r="O986" s="189"/>
      <c r="P986" s="167">
        <f>+EJECUTADO[[#This Row],[MONTO SOLICITADO]]-EJECUTADO[[#This Row],[RETENCION IVA]]-EJECUTADO[[#This Row],[RETENCION ISR]]</f>
        <v>178.59</v>
      </c>
      <c r="Q986" s="189"/>
      <c r="R986" s="189"/>
      <c r="T986" s="168" t="str">
        <f t="shared" si="38"/>
        <v>MATERIAL DIDÁCTICO - CARNET - FACULTAD DE CIENCIAS EMPRESARIALES   Disponible $1272.25 Solicitado $178.59 PRESUPUESTO: SI</v>
      </c>
    </row>
    <row r="987" spans="1:20" s="117" customFormat="1" ht="150" x14ac:dyDescent="0.25">
      <c r="A987" s="115" t="s">
        <v>2477</v>
      </c>
      <c r="B987" s="118">
        <v>45337</v>
      </c>
      <c r="C987" s="129" t="s">
        <v>2428</v>
      </c>
      <c r="D987" s="116" t="s">
        <v>2475</v>
      </c>
      <c r="E987" s="116" t="s">
        <v>2476</v>
      </c>
      <c r="F987" s="117" t="s">
        <v>1365</v>
      </c>
      <c r="G987" s="161">
        <f>MONTH(EJECUTADO[[#This Row],[FECHA]])</f>
        <v>2</v>
      </c>
      <c r="H987" s="163" t="str">
        <f>MID(EJECUTADO[[#This Row],[CUENTA]],1,4)</f>
        <v>E-14</v>
      </c>
      <c r="I987" s="163" t="str">
        <f>INDEX(CATALOGO[Descripción],MATCH(EJECUTADO[[#This Row],[APLICACIÓN]]&amp;"-00-00-00",CATALOGO[Código],0))</f>
        <v>MATERIAL DIDÁCTICO</v>
      </c>
      <c r="J9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INFORMATICA Y CC APLICADAS</v>
      </c>
      <c r="K987" s="161" t="str">
        <f>IF((EJECUTADO[[#This Row],[MONTO DISPONIBLE ]]-EJECUTADO[[#This Row],[MONTO SOLICITADO]])&gt;=0,"PRESUPUESTO: SI","PRESUPUESTO: NO")</f>
        <v>PRESUPUESTO: SI</v>
      </c>
      <c r="L987" s="162">
        <f>SUMIF(PRESUPUESTO[CUENTA],EJECUTADO[[#This Row],[CUENTA]],PRESUPUESTO[MONTO])-SUMIF($F$1:F986,EJECUTADO[[#This Row],[CUENTA]],$M$1:M986)</f>
        <v>1326.4899999999998</v>
      </c>
      <c r="M987" s="119">
        <v>177.6</v>
      </c>
      <c r="N987" s="119"/>
      <c r="O987" s="119"/>
      <c r="P987" s="165">
        <f>+EJECUTADO[[#This Row],[MONTO SOLICITADO]]-EJECUTADO[[#This Row],[RETENCION IVA]]-EJECUTADO[[#This Row],[RETENCION ISR]]</f>
        <v>177.6</v>
      </c>
      <c r="Q987" s="119"/>
      <c r="R987" s="119"/>
      <c r="T987" s="168" t="str">
        <f t="shared" si="38"/>
        <v>MATERIAL DIDÁCTICO - CARNET - FACULTAD DE INFORMATICA Y CC APLICADAS Disponible $1326.49 Solicitado $177.6 PRESUPUESTO: SI</v>
      </c>
    </row>
    <row r="988" spans="1:20" s="117" customFormat="1" ht="150" x14ac:dyDescent="0.25">
      <c r="A988" s="115" t="s">
        <v>2478</v>
      </c>
      <c r="B988" s="118">
        <v>45337</v>
      </c>
      <c r="C988" s="129" t="s">
        <v>2428</v>
      </c>
      <c r="D988" s="116" t="s">
        <v>2475</v>
      </c>
      <c r="E988" s="116" t="s">
        <v>2476</v>
      </c>
      <c r="F988" s="117" t="s">
        <v>1366</v>
      </c>
      <c r="G988" s="161">
        <f>MONTH(EJECUTADO[[#This Row],[FECHA]])</f>
        <v>2</v>
      </c>
      <c r="H988" s="163" t="str">
        <f>MID(EJECUTADO[[#This Row],[CUENTA]],1,4)</f>
        <v>E-14</v>
      </c>
      <c r="I988" s="163" t="str">
        <f>INDEX(CATALOGO[Descripción],MATCH(EJECUTADO[[#This Row],[APLICACIÓN]]&amp;"-00-00-00",CATALOGO[Código],0))</f>
        <v>MATERIAL DIDÁCTICO</v>
      </c>
      <c r="J9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SOCIALES</v>
      </c>
      <c r="K988" s="161" t="str">
        <f>IF((EJECUTADO[[#This Row],[MONTO DISPONIBLE ]]-EJECUTADO[[#This Row],[MONTO SOLICITADO]])&gt;=0,"PRESUPUESTO: SI","PRESUPUESTO: NO")</f>
        <v>PRESUPUESTO: SI</v>
      </c>
      <c r="L988" s="162">
        <f>SUMIF(PRESUPUESTO[CUENTA],EJECUTADO[[#This Row],[CUENTA]],PRESUPUESTO[MONTO])-SUMIF($F$1:F987,EJECUTADO[[#This Row],[CUENTA]],$M$1:M987)</f>
        <v>1501.23</v>
      </c>
      <c r="M988" s="119">
        <v>121.32</v>
      </c>
      <c r="N988" s="119"/>
      <c r="O988" s="119"/>
      <c r="P988" s="165">
        <f>+EJECUTADO[[#This Row],[MONTO SOLICITADO]]-EJECUTADO[[#This Row],[RETENCION IVA]]-EJECUTADO[[#This Row],[RETENCION ISR]]</f>
        <v>121.32</v>
      </c>
      <c r="Q988" s="119"/>
      <c r="R988" s="119"/>
      <c r="T988" s="168" t="str">
        <f t="shared" si="38"/>
        <v>MATERIAL DIDÁCTICO - CARNET - FACULTAD DE CIENCIAS SOCIALES Disponible $1501.23 Solicitado $121.32 PRESUPUESTO: SI</v>
      </c>
    </row>
    <row r="989" spans="1:20" s="117" customFormat="1" ht="150" x14ac:dyDescent="0.25">
      <c r="A989" s="115" t="s">
        <v>2479</v>
      </c>
      <c r="B989" s="118">
        <v>45337</v>
      </c>
      <c r="C989" s="129" t="s">
        <v>2428</v>
      </c>
      <c r="D989" s="116" t="s">
        <v>2475</v>
      </c>
      <c r="E989" s="116" t="s">
        <v>2476</v>
      </c>
      <c r="F989" s="117" t="s">
        <v>1367</v>
      </c>
      <c r="G989" s="161">
        <f>MONTH(EJECUTADO[[#This Row],[FECHA]])</f>
        <v>2</v>
      </c>
      <c r="H989" s="163" t="str">
        <f>MID(EJECUTADO[[#This Row],[CUENTA]],1,4)</f>
        <v>E-14</v>
      </c>
      <c r="I989" s="163" t="str">
        <f>INDEX(CATALOGO[Descripción],MATCH(EJECUTADO[[#This Row],[APLICACIÓN]]&amp;"-00-00-00",CATALOGO[Código],0))</f>
        <v>MATERIAL DIDÁCTICO</v>
      </c>
      <c r="J9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CARNET - FACULTAD DE CIENCIAS JURIDICAS</v>
      </c>
      <c r="K989" s="161" t="str">
        <f>IF((EJECUTADO[[#This Row],[MONTO DISPONIBLE ]]-EJECUTADO[[#This Row],[MONTO SOLICITADO]])&gt;=0,"PRESUPUESTO: SI","PRESUPUESTO: NO")</f>
        <v>PRESUPUESTO: SI</v>
      </c>
      <c r="L989" s="162">
        <f>SUMIF(PRESUPUESTO[CUENTA],EJECUTADO[[#This Row],[CUENTA]],PRESUPUESTO[MONTO])-SUMIF($F$1:F988,EJECUTADO[[#This Row],[CUENTA]],$M$1:M988)</f>
        <v>1217.53</v>
      </c>
      <c r="M989" s="119">
        <v>64.739999999999995</v>
      </c>
      <c r="N989" s="119"/>
      <c r="O989" s="119"/>
      <c r="P989" s="165">
        <f>+EJECUTADO[[#This Row],[MONTO SOLICITADO]]-EJECUTADO[[#This Row],[RETENCION IVA]]-EJECUTADO[[#This Row],[RETENCION ISR]]</f>
        <v>64.739999999999995</v>
      </c>
      <c r="Q989" s="119"/>
      <c r="R989" s="119"/>
      <c r="T989" s="168" t="str">
        <f t="shared" si="38"/>
        <v>MATERIAL DIDÁCTICO - CARNET - FACULTAD DE CIENCIAS JURIDICAS Disponible $1217.53 Solicitado $64.74 PRESUPUESTO: SI</v>
      </c>
    </row>
    <row r="990" spans="1:20" ht="120" x14ac:dyDescent="0.25">
      <c r="A990" s="115">
        <f>+A979+1</f>
        <v>906</v>
      </c>
      <c r="B990" s="118">
        <v>45367</v>
      </c>
      <c r="C990" s="129" t="s">
        <v>1021</v>
      </c>
      <c r="D990" s="116" t="s">
        <v>2480</v>
      </c>
      <c r="E990" s="65" t="s">
        <v>2481</v>
      </c>
      <c r="F990" t="s">
        <v>2482</v>
      </c>
      <c r="G990" s="161">
        <f>MONTH(EJECUTADO[[#This Row],[FECHA]])</f>
        <v>3</v>
      </c>
      <c r="H990" s="163" t="str">
        <f>MID(EJECUTADO[[#This Row],[CUENTA]],1,4)</f>
        <v>E-32</v>
      </c>
      <c r="I990" s="163" t="str">
        <f>INDEX(CATALOGO[Descripción],MATCH(EJECUTADO[[#This Row],[APLICACIÓN]]&amp;"-00-00-00",CATALOGO[Código],0))</f>
        <v>RELACIONES INTERNACIONALES</v>
      </c>
      <c r="J9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Atenciones a visitantes internacionales</v>
      </c>
      <c r="K990" s="161" t="str">
        <f>IF((EJECUTADO[[#This Row],[MONTO DISPONIBLE ]]-EJECUTADO[[#This Row],[MONTO SOLICITADO]])&gt;=0,"PRESUPUESTO: SI","PRESUPUESTO: NO")</f>
        <v>PRESUPUESTO: SI</v>
      </c>
      <c r="L990" s="162">
        <f>SUMIF(PRESUPUESTO[CUENTA],EJECUTADO[[#This Row],[CUENTA]],PRESUPUESTO[MONTO])-SUMIF($F$1:F989,EJECUTADO[[#This Row],[CUENTA]],$M$1:M989)</f>
        <v>500</v>
      </c>
      <c r="M990" s="2">
        <v>45</v>
      </c>
      <c r="N990" s="2"/>
      <c r="O990" s="2"/>
      <c r="P990" s="162">
        <f>+EJECUTADO[[#This Row],[MONTO SOLICITADO]]-EJECUTADO[[#This Row],[RETENCION IVA]]-EJECUTADO[[#This Row],[RETENCION ISR]]</f>
        <v>45</v>
      </c>
      <c r="Q990" s="2" t="s">
        <v>1971</v>
      </c>
      <c r="R990" s="2" t="s">
        <v>2111</v>
      </c>
      <c r="T990" s="168" t="str">
        <f t="shared" si="38"/>
        <v>RELACIONES INTERNACIONALES - Atenciones a visitantes internacionales Disponible $500 Solicitado $45 PRESUPUESTO: SI</v>
      </c>
    </row>
    <row r="991" spans="1:20" ht="105" x14ac:dyDescent="0.25">
      <c r="A991" s="115">
        <f>+A990+1</f>
        <v>907</v>
      </c>
      <c r="B991" s="118">
        <v>45367</v>
      </c>
      <c r="C991" s="129" t="s">
        <v>2483</v>
      </c>
      <c r="D991" s="116" t="s">
        <v>2484</v>
      </c>
      <c r="E991" s="65" t="s">
        <v>2485</v>
      </c>
      <c r="F991" t="s">
        <v>2486</v>
      </c>
      <c r="G991" s="161">
        <f>MONTH(EJECUTADO[[#This Row],[FECHA]])</f>
        <v>3</v>
      </c>
      <c r="H991" s="163" t="str">
        <f>MID(EJECUTADO[[#This Row],[CUENTA]],1,4)</f>
        <v>E-01</v>
      </c>
      <c r="I991" s="163" t="str">
        <f>INDEX(CATALOGO[Descripción],MATCH(EJECUTADO[[#This Row],[APLICACIÓN]]&amp;"-00-00-00",CATALOGO[Código],0))</f>
        <v>SERVICIOS PROFESIONALES</v>
      </c>
      <c r="J9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Auditoria Externa Castellanos Chacón $ 4,750.00 x 3</v>
      </c>
      <c r="K991" s="161" t="str">
        <f>IF((EJECUTADO[[#This Row],[MONTO DISPONIBLE ]]-EJECUTADO[[#This Row],[MONTO SOLICITADO]])&gt;=0,"PRESUPUESTO: SI","PRESUPUESTO: NO")</f>
        <v>PRESUPUESTO: SI</v>
      </c>
      <c r="L991" s="162">
        <f>SUMIF(PRESUPUESTO[CUENTA],EJECUTADO[[#This Row],[CUENTA]],PRESUPUESTO[MONTO])-SUMIF($F$1:F990,EJECUTADO[[#This Row],[CUENTA]],$M$1:M990)</f>
        <v>14250</v>
      </c>
      <c r="M991" s="2">
        <v>4750.04</v>
      </c>
      <c r="N991" s="84">
        <v>42.04</v>
      </c>
      <c r="O991" s="84"/>
      <c r="P991" s="162">
        <f>+EJECUTADO[[#This Row],[MONTO SOLICITADO]]-EJECUTADO[[#This Row],[RETENCION IVA]]-EJECUTADO[[#This Row],[RETENCION ISR]]</f>
        <v>4708</v>
      </c>
      <c r="Q991" s="2" t="s">
        <v>1971</v>
      </c>
      <c r="R991" s="2" t="s">
        <v>2111</v>
      </c>
      <c r="T991" s="168" t="str">
        <f t="shared" si="38"/>
        <v>SERVICIOS PROFESIONALES - Auditoria Externa Castellanos Chacón $ 4,750.00 x 3 Disponible $14250 Solicitado $4750.04 PRESUPUESTO: SI</v>
      </c>
    </row>
    <row r="992" spans="1:20" x14ac:dyDescent="0.25">
      <c r="A992" s="115">
        <f t="shared" si="36"/>
        <v>908</v>
      </c>
      <c r="B992" s="118"/>
      <c r="C992" s="126"/>
      <c r="E992" s="65"/>
      <c r="F992" s="37"/>
      <c r="G992" s="161">
        <f>MONTH(EJECUTADO[[#This Row],[FECHA]])</f>
        <v>1</v>
      </c>
      <c r="H992" s="163" t="str">
        <f>MID(EJECUTADO[[#This Row],[CUENTA]],1,4)</f>
        <v/>
      </c>
      <c r="I992" s="163" t="e">
        <f>INDEX(CATALOGO[Descripción],MATCH(EJECUTADO[[#This Row],[APLICACIÓN]]&amp;"-00-00-00",CATALOGO[Código],0))</f>
        <v>#N/A</v>
      </c>
      <c r="J99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992" s="161" t="str">
        <f>IF((EJECUTADO[[#This Row],[MONTO DISPONIBLE ]]-EJECUTADO[[#This Row],[MONTO SOLICITADO]])&gt;=0,"PRESUPUESTO: SI","PRESUPUESTO: NO")</f>
        <v>PRESUPUESTO: SI</v>
      </c>
      <c r="L992" s="162">
        <f>SUMIF(PRESUPUESTO[CUENTA],EJECUTADO[[#This Row],[CUENTA]],PRESUPUESTO[MONTO])-SUMIF($F$1:F991,EJECUTADO[[#This Row],[CUENTA]],$M$1:M991)</f>
        <v>0</v>
      </c>
      <c r="M992" s="2"/>
      <c r="N992" s="84"/>
      <c r="O992" s="84"/>
      <c r="P992" s="162">
        <f>+EJECUTADO[[#This Row],[MONTO SOLICITADO]]-EJECUTADO[[#This Row],[RETENCION IVA]]-EJECUTADO[[#This Row],[RETENCION ISR]]</f>
        <v>0</v>
      </c>
      <c r="Q992" s="84"/>
      <c r="R992" s="84"/>
      <c r="T992" s="168" t="e">
        <f t="shared" si="38"/>
        <v>#N/A</v>
      </c>
    </row>
    <row r="993" spans="1:20" ht="60" x14ac:dyDescent="0.25">
      <c r="A993" s="115">
        <f t="shared" si="36"/>
        <v>909</v>
      </c>
      <c r="B993" s="118">
        <v>45368</v>
      </c>
      <c r="C993" s="129" t="s">
        <v>2487</v>
      </c>
      <c r="D993" s="116" t="s">
        <v>2488</v>
      </c>
      <c r="E993" s="65" t="s">
        <v>2489</v>
      </c>
      <c r="F993" s="37" t="s">
        <v>1275</v>
      </c>
      <c r="G993" s="161">
        <f>MONTH(EJECUTADO[[#This Row],[FECHA]])</f>
        <v>3</v>
      </c>
      <c r="H993" s="163" t="str">
        <f>MID(EJECUTADO[[#This Row],[CUENTA]],1,4)</f>
        <v>E-27</v>
      </c>
      <c r="I993" s="163" t="str">
        <f>INDEX(CATALOGO[Descripción],MATCH(EJECUTADO[[#This Row],[APLICACIÓN]]&amp;"-00-00-00",CATALOGO[Código],0))</f>
        <v>INSUMOS DE OFICINA</v>
      </c>
      <c r="J9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993" s="161" t="str">
        <f>IF((EJECUTADO[[#This Row],[MONTO DISPONIBLE ]]-EJECUTADO[[#This Row],[MONTO SOLICITADO]])&gt;=0,"PRESUPUESTO: SI","PRESUPUESTO: NO")</f>
        <v>PRESUPUESTO: SI</v>
      </c>
      <c r="L993" s="162">
        <f>SUMIF(PRESUPUESTO[CUENTA],EJECUTADO[[#This Row],[CUENTA]],PRESUPUESTO[MONTO])-SUMIF($F$1:F992,EJECUTADO[[#This Row],[CUENTA]],$M$1:M992)</f>
        <v>44349.06</v>
      </c>
      <c r="M993" s="119">
        <v>921.25</v>
      </c>
      <c r="N993" s="120">
        <f>921.25/1.13*(0.01)</f>
        <v>8.1526548672566381</v>
      </c>
      <c r="O993" s="120">
        <v>100</v>
      </c>
      <c r="P993" s="165">
        <f>+EJECUTADO[[#This Row],[MONTO SOLICITADO]]-EJECUTADO[[#This Row],[RETENCION IVA]]-EJECUTADO[[#This Row],[RETENCION ISR]]</f>
        <v>813.09734513274338</v>
      </c>
      <c r="Q993" s="119" t="s">
        <v>1971</v>
      </c>
      <c r="R993" s="119" t="s">
        <v>2111</v>
      </c>
      <c r="S993">
        <v>555</v>
      </c>
      <c r="T993" s="168" t="str">
        <f t="shared" si="38"/>
        <v>INSUMOS DE OFICINA - PAPELERIA Y UTILES Disponible $44349.06 Solicitado $921.25 PRESUPUESTO: SI</v>
      </c>
    </row>
    <row r="994" spans="1:20" ht="30" x14ac:dyDescent="0.25">
      <c r="A994" s="6">
        <f t="shared" si="36"/>
        <v>910</v>
      </c>
      <c r="B994" s="21">
        <v>45369</v>
      </c>
      <c r="C994" s="126" t="s">
        <v>1250</v>
      </c>
      <c r="D994" s="65" t="s">
        <v>2490</v>
      </c>
      <c r="E994" s="65"/>
      <c r="F994" s="37" t="s">
        <v>1251</v>
      </c>
      <c r="G994" s="161">
        <f>MONTH(EJECUTADO[[#This Row],[FECHA]])</f>
        <v>3</v>
      </c>
      <c r="H994" s="163" t="str">
        <f>MID(EJECUTADO[[#This Row],[CUENTA]],1,4)</f>
        <v>E-01</v>
      </c>
      <c r="I994" s="163" t="str">
        <f>INDEX(CATALOGO[Descripción],MATCH(EJECUTADO[[#This Row],[APLICACIÓN]]&amp;"-00-00-00",CATALOGO[Código],0))</f>
        <v>SERVICIOS PROFESIONALES</v>
      </c>
      <c r="J9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Lic. Rita de Araujo $ 4,500.00 X12</v>
      </c>
      <c r="K994" s="161" t="str">
        <f>IF((EJECUTADO[[#This Row],[MONTO DISPONIBLE ]]-EJECUTADO[[#This Row],[MONTO SOLICITADO]])&gt;=0,"PRESUPUESTO: SI","PRESUPUESTO: NO")</f>
        <v>PRESUPUESTO: SI</v>
      </c>
      <c r="L994" s="162">
        <f>SUMIF(PRESUPUESTO[CUENTA],EJECUTADO[[#This Row],[CUENTA]],PRESUPUESTO[MONTO])-SUMIF($F$1:F993,EJECUTADO[[#This Row],[CUENTA]],$M$1:M993)</f>
        <v>45000</v>
      </c>
      <c r="M994" s="2">
        <v>4500</v>
      </c>
      <c r="N994" s="84"/>
      <c r="O994" s="84">
        <v>450</v>
      </c>
      <c r="P994" s="162">
        <f>+EJECUTADO[[#This Row],[MONTO SOLICITADO]]-EJECUTADO[[#This Row],[RETENCION IVA]]-EJECUTADO[[#This Row],[RETENCION ISR]]</f>
        <v>4050</v>
      </c>
      <c r="Q994" s="84" t="s">
        <v>1786</v>
      </c>
      <c r="R994" s="84"/>
      <c r="S994">
        <v>3296</v>
      </c>
      <c r="T994" s="168" t="str">
        <f t="shared" si="38"/>
        <v>SERVICIOS PROFESIONALES - Honorarios Lic. Rita de Araujo $ 4,500.00 X12 Disponible $45000 Solicitado $4500 PRESUPUESTO: SI</v>
      </c>
    </row>
    <row r="995" spans="1:20" ht="30" x14ac:dyDescent="0.25">
      <c r="A995" s="6">
        <f t="shared" si="36"/>
        <v>911</v>
      </c>
      <c r="B995" s="21">
        <v>45369</v>
      </c>
      <c r="C995" s="126" t="s">
        <v>2491</v>
      </c>
      <c r="D995" s="65" t="s">
        <v>2490</v>
      </c>
      <c r="E995" s="65"/>
      <c r="F995" t="s">
        <v>1321</v>
      </c>
      <c r="G995" s="161">
        <f>MONTH(EJECUTADO[[#This Row],[FECHA]])</f>
        <v>3</v>
      </c>
      <c r="H995" s="163" t="str">
        <f>MID(EJECUTADO[[#This Row],[CUENTA]],1,4)</f>
        <v>E-01</v>
      </c>
      <c r="I995" s="163" t="str">
        <f>INDEX(CATALOGO[Descripción],MATCH(EJECUTADO[[#This Row],[APLICACIÓN]]&amp;"-00-00-00",CATALOGO[Código],0))</f>
        <v>SERVICIOS PROFESIONALES</v>
      </c>
      <c r="J9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Prof.Lic Reynaldo Lopez G $ 1,000*12</v>
      </c>
      <c r="K995" s="161" t="str">
        <f>IF((EJECUTADO[[#This Row],[MONTO DISPONIBLE ]]-EJECUTADO[[#This Row],[MONTO SOLICITADO]])&gt;=0,"PRESUPUESTO: SI","PRESUPUESTO: NO")</f>
        <v>PRESUPUESTO: SI</v>
      </c>
      <c r="L995" s="162">
        <f>SUMIF(PRESUPUESTO[CUENTA],EJECUTADO[[#This Row],[CUENTA]],PRESUPUESTO[MONTO])-SUMIF($F$1:F994,EJECUTADO[[#This Row],[CUENTA]],$M$1:M994)</f>
        <v>10000</v>
      </c>
      <c r="M995" s="2">
        <v>1000</v>
      </c>
      <c r="N995" s="84"/>
      <c r="O995" s="84">
        <v>100</v>
      </c>
      <c r="P995" s="162">
        <f>+EJECUTADO[[#This Row],[MONTO SOLICITADO]]-EJECUTADO[[#This Row],[RETENCION IVA]]-EJECUTADO[[#This Row],[RETENCION ISR]]</f>
        <v>900</v>
      </c>
      <c r="Q995" s="84" t="s">
        <v>1786</v>
      </c>
      <c r="R995" s="84"/>
      <c r="S995">
        <v>3299</v>
      </c>
      <c r="T995" s="168" t="str">
        <f t="shared" si="38"/>
        <v>SERVICIOS PROFESIONALES - Servicios Prof.Lic Reynaldo Lopez G $ 1,000*12 Disponible $10000 Solicitado $1000 PRESUPUESTO: SI</v>
      </c>
    </row>
    <row r="996" spans="1:20" ht="30" x14ac:dyDescent="0.25">
      <c r="A996" s="6">
        <f t="shared" si="36"/>
        <v>912</v>
      </c>
      <c r="B996" s="21">
        <v>45369</v>
      </c>
      <c r="C996" s="126" t="s">
        <v>2492</v>
      </c>
      <c r="D996" s="65" t="s">
        <v>2493</v>
      </c>
      <c r="E996" s="65" t="s">
        <v>2494</v>
      </c>
      <c r="F996" t="s">
        <v>1253</v>
      </c>
      <c r="G996" s="161">
        <f>MONTH(EJECUTADO[[#This Row],[FECHA]])</f>
        <v>3</v>
      </c>
      <c r="H996" s="163" t="str">
        <f>MID(EJECUTADO[[#This Row],[CUENTA]],1,4)</f>
        <v>E-04</v>
      </c>
      <c r="I996" s="163" t="str">
        <f>INDEX(CATALOGO[Descripción],MATCH(EJECUTADO[[#This Row],[APLICACIÓN]]&amp;"-00-00-00",CATALOGO[Código],0))</f>
        <v>SUELDOS ACADÉMICOS</v>
      </c>
      <c r="J9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996" s="161" t="str">
        <f>IF((EJECUTADO[[#This Row],[MONTO DISPONIBLE ]]-EJECUTADO[[#This Row],[MONTO SOLICITADO]])&gt;=0,"PRESUPUESTO: SI","PRESUPUESTO: NO")</f>
        <v>PRESUPUESTO: SI</v>
      </c>
      <c r="L996" s="162">
        <f>SUMIF(PRESUPUESTO[CUENTA],EJECUTADO[[#This Row],[CUENTA]],PRESUPUESTO[MONTO])-SUMIF($F$1:F995,EJECUTADO[[#This Row],[CUENTA]],$M$1:M995)</f>
        <v>108500</v>
      </c>
      <c r="M996" s="2">
        <v>300</v>
      </c>
      <c r="N996" s="84"/>
      <c r="O996" s="84"/>
      <c r="P996" s="162">
        <f>+EJECUTADO[[#This Row],[MONTO SOLICITADO]]-EJECUTADO[[#This Row],[RETENCION IVA]]-EJECUTADO[[#This Row],[RETENCION ISR]]</f>
        <v>300</v>
      </c>
      <c r="Q996" s="84" t="s">
        <v>1786</v>
      </c>
      <c r="R996" s="84"/>
      <c r="S996">
        <v>3295</v>
      </c>
      <c r="T996" s="168" t="str">
        <f t="shared" si="38"/>
        <v>SUELDOS ACADÉMICOS - SUELDOS Y SALARIOS VR ACADÉMICA Disponible $108500 Solicitado $300 PRESUPUESTO: SI</v>
      </c>
    </row>
    <row r="997" spans="1:20" ht="120" x14ac:dyDescent="0.25">
      <c r="A997" s="6">
        <f t="shared" si="36"/>
        <v>913</v>
      </c>
      <c r="B997" s="21">
        <v>45369</v>
      </c>
      <c r="C997" s="126" t="s">
        <v>2495</v>
      </c>
      <c r="D997" s="65" t="s">
        <v>2496</v>
      </c>
      <c r="E997" s="65" t="s">
        <v>2497</v>
      </c>
      <c r="F997" t="s">
        <v>2498</v>
      </c>
      <c r="G997" s="161">
        <f>MONTH(EJECUTADO[[#This Row],[FECHA]])</f>
        <v>3</v>
      </c>
      <c r="H997" s="163" t="str">
        <f>MID(EJECUTADO[[#This Row],[CUENTA]],1,4)</f>
        <v>E-09</v>
      </c>
      <c r="I997" s="163" t="str">
        <f>INDEX(CATALOGO[Descripción],MATCH(EJECUTADO[[#This Row],[APLICACIÓN]]&amp;"-00-00-00",CATALOGO[Código],0))</f>
        <v>PRESTACIONES AL PERSONAL</v>
      </c>
      <c r="J9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Atención floral   por defunción familiar</v>
      </c>
      <c r="K997" s="161" t="str">
        <f>IF((EJECUTADO[[#This Row],[MONTO DISPONIBLE ]]-EJECUTADO[[#This Row],[MONTO SOLICITADO]])&gt;=0,"PRESUPUESTO: SI","PRESUPUESTO: NO")</f>
        <v>PRESUPUESTO: SI</v>
      </c>
      <c r="L997" s="162">
        <f>SUMIF(PRESUPUESTO[CUENTA],EJECUTADO[[#This Row],[CUENTA]],PRESUPUESTO[MONTO])-SUMIF($F$1:F996,EJECUTADO[[#This Row],[CUENTA]],$M$1:M996)</f>
        <v>1000</v>
      </c>
      <c r="M997" s="2">
        <v>90</v>
      </c>
      <c r="N997" s="84"/>
      <c r="O997" s="84"/>
      <c r="P997" s="162">
        <f>+EJECUTADO[[#This Row],[MONTO SOLICITADO]]-EJECUTADO[[#This Row],[RETENCION IVA]]-EJECUTADO[[#This Row],[RETENCION ISR]]</f>
        <v>90</v>
      </c>
      <c r="Q997" s="84" t="s">
        <v>1554</v>
      </c>
      <c r="R997" s="84"/>
      <c r="S997" s="112">
        <v>3279</v>
      </c>
      <c r="T997" s="168" t="str">
        <f t="shared" si="38"/>
        <v>PRESTACIONES AL PERSONAL - Atención floral   por defunción familiar Disponible $1000 Solicitado $90 PRESUPUESTO: SI</v>
      </c>
    </row>
    <row r="998" spans="1:20" ht="45" x14ac:dyDescent="0.25">
      <c r="A998" s="6">
        <f t="shared" si="36"/>
        <v>914</v>
      </c>
      <c r="B998" s="21">
        <v>45369</v>
      </c>
      <c r="C998" s="126" t="s">
        <v>2499</v>
      </c>
      <c r="D998" s="65" t="s">
        <v>2500</v>
      </c>
      <c r="E998" s="65" t="s">
        <v>1915</v>
      </c>
      <c r="F998" t="s">
        <v>1924</v>
      </c>
      <c r="G998" s="161">
        <f>MONTH(EJECUTADO[[#This Row],[FECHA]])</f>
        <v>3</v>
      </c>
      <c r="H998" s="163" t="str">
        <f>MID(EJECUTADO[[#This Row],[CUENTA]],1,4)</f>
        <v>I-01</v>
      </c>
      <c r="I998" s="163" t="str">
        <f>INDEX(CATALOGO[Descripción],MATCH(EJECUTADO[[#This Row],[APLICACIÓN]]&amp;"-00-00-00",CATALOGO[Código],0))</f>
        <v>CUOTAS DE ENSEÑANZA</v>
      </c>
      <c r="J9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FCCE PREGRADO</v>
      </c>
      <c r="K998" s="161" t="str">
        <f>IF((EJECUTADO[[#This Row],[MONTO DISPONIBLE ]]-EJECUTADO[[#This Row],[MONTO SOLICITADO]])&gt;=0,"PRESUPUESTO: SI","PRESUPUESTO: NO")</f>
        <v>PRESUPUESTO: SI</v>
      </c>
      <c r="L998" s="162">
        <f>SUMIF(PRESUPUESTO[CUENTA],EJECUTADO[[#This Row],[CUENTA]],PRESUPUESTO[MONTO])-SUMIF($F$1:F997,EJECUTADO[[#This Row],[CUENTA]],$M$1:M997)</f>
        <v>4404386.99</v>
      </c>
      <c r="M998" s="2">
        <v>73.760000000000005</v>
      </c>
      <c r="N998" s="84"/>
      <c r="O998" s="84">
        <v>7.38</v>
      </c>
      <c r="P998" s="162">
        <f>+EJECUTADO[[#This Row],[MONTO SOLICITADO]]-EJECUTADO[[#This Row],[RETENCION IVA]]-EJECUTADO[[#This Row],[RETENCION ISR]]</f>
        <v>66.38000000000001</v>
      </c>
      <c r="Q998" s="84" t="s">
        <v>1786</v>
      </c>
      <c r="R998" s="84"/>
      <c r="S998" s="112">
        <v>3352</v>
      </c>
      <c r="T998" s="168" t="str">
        <f t="shared" si="38"/>
        <v>CUOTAS DE ENSEÑANZA - CUOTAS FCCE PREGRADO Disponible $4404386.99 Solicitado $73.76 PRESUPUESTO: SI</v>
      </c>
    </row>
    <row r="999" spans="1:20" ht="45" x14ac:dyDescent="0.25">
      <c r="A999" s="6">
        <f t="shared" si="36"/>
        <v>915</v>
      </c>
      <c r="B999" s="21">
        <v>45369</v>
      </c>
      <c r="C999" s="126" t="s">
        <v>2501</v>
      </c>
      <c r="D999" s="65" t="s">
        <v>2502</v>
      </c>
      <c r="E999" s="65" t="s">
        <v>2503</v>
      </c>
      <c r="F999" t="s">
        <v>1175</v>
      </c>
      <c r="G999" s="161">
        <f>MONTH(EJECUTADO[[#This Row],[FECHA]])</f>
        <v>3</v>
      </c>
      <c r="H999" s="163" t="str">
        <f>MID(EJECUTADO[[#This Row],[CUENTA]],1,4)</f>
        <v>E-24</v>
      </c>
      <c r="I999" s="163" t="str">
        <f>INDEX(CATALOGO[Descripción],MATCH(EJECUTADO[[#This Row],[APLICACIÓN]]&amp;"-00-00-00",CATALOGO[Código],0))</f>
        <v>NUEVO INGRESO</v>
      </c>
      <c r="J9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Parqueo vehículos del personal $ 40</v>
      </c>
      <c r="K999" s="161" t="str">
        <f>IF((EJECUTADO[[#This Row],[MONTO DISPONIBLE ]]-EJECUTADO[[#This Row],[MONTO SOLICITADO]])&gt;=0,"PRESUPUESTO: SI","PRESUPUESTO: NO")</f>
        <v>PRESUPUESTO: SI</v>
      </c>
      <c r="L999" s="162">
        <f>SUMIF(PRESUPUESTO[CUENTA],EJECUTADO[[#This Row],[CUENTA]],PRESUPUESTO[MONTO])-SUMIF($F$1:F998,EJECUTADO[[#This Row],[CUENTA]],$M$1:M998)</f>
        <v>330</v>
      </c>
      <c r="M999" s="2">
        <v>50</v>
      </c>
      <c r="N999" s="84"/>
      <c r="O999" s="84"/>
      <c r="P999" s="162">
        <f>+EJECUTADO[[#This Row],[MONTO SOLICITADO]]-EJECUTADO[[#This Row],[RETENCION IVA]]-EJECUTADO[[#This Row],[RETENCION ISR]]</f>
        <v>50</v>
      </c>
      <c r="Q999" s="84" t="s">
        <v>1786</v>
      </c>
      <c r="R999" s="84"/>
      <c r="S999" s="112">
        <v>3347</v>
      </c>
      <c r="T999" s="168" t="str">
        <f t="shared" si="38"/>
        <v>NUEVO INGRESO - Metrocentro - Parqueo vehículos del personal $ 40 Disponible $330 Solicitado $50 PRESUPUESTO: SI</v>
      </c>
    </row>
    <row r="1000" spans="1:20" ht="45" x14ac:dyDescent="0.25">
      <c r="A1000" s="187" t="s">
        <v>2504</v>
      </c>
      <c r="B1000" s="21">
        <v>45369</v>
      </c>
      <c r="C1000" s="126" t="s">
        <v>2501</v>
      </c>
      <c r="D1000" s="65" t="s">
        <v>2502</v>
      </c>
      <c r="E1000" s="65" t="s">
        <v>2505</v>
      </c>
      <c r="F1000" t="s">
        <v>1175</v>
      </c>
      <c r="G1000" s="161">
        <f>MONTH(EJECUTADO[[#This Row],[FECHA]])</f>
        <v>3</v>
      </c>
      <c r="H1000" s="163" t="str">
        <f>MID(EJECUTADO[[#This Row],[CUENTA]],1,4)</f>
        <v>E-24</v>
      </c>
      <c r="I1000" s="163" t="str">
        <f>INDEX(CATALOGO[Descripción],MATCH(EJECUTADO[[#This Row],[APLICACIÓN]]&amp;"-00-00-00",CATALOGO[Código],0))</f>
        <v>NUEVO INGRESO</v>
      </c>
      <c r="J10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Parqueo vehículos del personal $ 40</v>
      </c>
      <c r="K1000" s="161" t="str">
        <f>IF((EJECUTADO[[#This Row],[MONTO DISPONIBLE ]]-EJECUTADO[[#This Row],[MONTO SOLICITADO]])&gt;=0,"PRESUPUESTO: SI","PRESUPUESTO: NO")</f>
        <v>PRESUPUESTO: SI</v>
      </c>
      <c r="L1000" s="162">
        <f>SUMIF(PRESUPUESTO[CUENTA],EJECUTADO[[#This Row],[CUENTA]],PRESUPUESTO[MONTO])-SUMIF($F$1:F999,EJECUTADO[[#This Row],[CUENTA]],$M$1:M999)</f>
        <v>280</v>
      </c>
      <c r="M1000" s="2">
        <v>19.38</v>
      </c>
      <c r="N1000" s="188"/>
      <c r="O1000" s="188"/>
      <c r="P1000" s="166">
        <v>19.38</v>
      </c>
      <c r="Q1000" s="188" t="s">
        <v>1786</v>
      </c>
      <c r="R1000" s="188"/>
      <c r="S1000" s="112">
        <v>3347</v>
      </c>
      <c r="T1000" s="168" t="str">
        <f t="shared" si="38"/>
        <v>NUEVO INGRESO - Metrocentro - Parqueo vehículos del personal $ 40 Disponible $280 Solicitado $19.38 PRESUPUESTO: SI</v>
      </c>
    </row>
    <row r="1001" spans="1:20" x14ac:dyDescent="0.25">
      <c r="A1001" s="6">
        <f>+A999+1</f>
        <v>916</v>
      </c>
      <c r="B1001" s="21">
        <v>45358</v>
      </c>
      <c r="C1001" s="126" t="s">
        <v>2428</v>
      </c>
      <c r="E1001" s="65"/>
      <c r="G1001" s="161">
        <f>MONTH(EJECUTADO[[#This Row],[FECHA]])</f>
        <v>3</v>
      </c>
      <c r="H1001" s="163" t="str">
        <f>MID(EJECUTADO[[#This Row],[CUENTA]],1,4)</f>
        <v/>
      </c>
      <c r="I1001" s="163" t="e">
        <f>INDEX(CATALOGO[Descripción],MATCH(EJECUTADO[[#This Row],[APLICACIÓN]]&amp;"-00-00-00",CATALOGO[Código],0))</f>
        <v>#N/A</v>
      </c>
      <c r="J100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1" s="161" t="str">
        <f>IF((EJECUTADO[[#This Row],[MONTO DISPONIBLE ]]-EJECUTADO[[#This Row],[MONTO SOLICITADO]])&gt;=0,"PRESUPUESTO: SI","PRESUPUESTO: NO")</f>
        <v>PRESUPUESTO: SI</v>
      </c>
      <c r="L1001" s="162">
        <f>SUMIF(PRESUPUESTO[CUENTA],EJECUTADO[[#This Row],[CUENTA]],PRESUPUESTO[MONTO])-SUMIF($F$1:F1000,EJECUTADO[[#This Row],[CUENTA]],$M$1:M1000)</f>
        <v>0</v>
      </c>
      <c r="M1001" s="2"/>
      <c r="N1001" s="84"/>
      <c r="O1001" s="84"/>
      <c r="P1001" s="162">
        <f>+EJECUTADO[[#This Row],[MONTO SOLICITADO]]-EJECUTADO[[#This Row],[RETENCION IVA]]-EJECUTADO[[#This Row],[RETENCION ISR]]</f>
        <v>0</v>
      </c>
      <c r="Q1001" s="84"/>
      <c r="R1001" s="84"/>
      <c r="T1001" s="168" t="e">
        <f t="shared" si="38"/>
        <v>#N/A</v>
      </c>
    </row>
    <row r="1002" spans="1:20" x14ac:dyDescent="0.25">
      <c r="A1002" s="187" t="s">
        <v>2506</v>
      </c>
      <c r="B1002" s="21">
        <v>45358</v>
      </c>
      <c r="C1002" s="126" t="s">
        <v>2428</v>
      </c>
      <c r="E1002" s="65"/>
      <c r="G1002" s="161">
        <f>MONTH(EJECUTADO[[#This Row],[FECHA]])</f>
        <v>3</v>
      </c>
      <c r="H1002" s="163" t="str">
        <f>MID(EJECUTADO[[#This Row],[CUENTA]],1,4)</f>
        <v/>
      </c>
      <c r="I1002" s="163" t="e">
        <f>INDEX(CATALOGO[Descripción],MATCH(EJECUTADO[[#This Row],[APLICACIÓN]]&amp;"-00-00-00",CATALOGO[Código],0))</f>
        <v>#N/A</v>
      </c>
      <c r="J100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2" s="161" t="str">
        <f>IF((EJECUTADO[[#This Row],[MONTO DISPONIBLE ]]-EJECUTADO[[#This Row],[MONTO SOLICITADO]])&gt;=0,"PRESUPUESTO: SI","PRESUPUESTO: NO")</f>
        <v>PRESUPUESTO: SI</v>
      </c>
      <c r="L1002" s="162">
        <f>SUMIF(PRESUPUESTO[CUENTA],EJECUTADO[[#This Row],[CUENTA]],PRESUPUESTO[MONTO])-SUMIF($F$1:F1001,EJECUTADO[[#This Row],[CUENTA]],$M$1:M1001)</f>
        <v>0</v>
      </c>
      <c r="M1002" s="2"/>
      <c r="N1002" s="188"/>
      <c r="O1002" s="188"/>
      <c r="P1002" s="166">
        <f>+EJECUTADO[[#This Row],[MONTO SOLICITADO]]-EJECUTADO[[#This Row],[RETENCION IVA]]-EJECUTADO[[#This Row],[RETENCION ISR]]</f>
        <v>0</v>
      </c>
      <c r="Q1002" s="188"/>
      <c r="R1002" s="188"/>
      <c r="T1002" s="168" t="e">
        <f t="shared" si="38"/>
        <v>#N/A</v>
      </c>
    </row>
    <row r="1003" spans="1:20" x14ac:dyDescent="0.25">
      <c r="A1003" s="187" t="s">
        <v>2507</v>
      </c>
      <c r="B1003" s="21">
        <v>45358</v>
      </c>
      <c r="C1003" s="126" t="s">
        <v>2428</v>
      </c>
      <c r="E1003" s="65"/>
      <c r="G1003" s="161">
        <f>MONTH(EJECUTADO[[#This Row],[FECHA]])</f>
        <v>3</v>
      </c>
      <c r="H1003" s="163" t="str">
        <f>MID(EJECUTADO[[#This Row],[CUENTA]],1,4)</f>
        <v/>
      </c>
      <c r="I1003" s="163" t="e">
        <f>INDEX(CATALOGO[Descripción],MATCH(EJECUTADO[[#This Row],[APLICACIÓN]]&amp;"-00-00-00",CATALOGO[Código],0))</f>
        <v>#N/A</v>
      </c>
      <c r="J100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3" s="161" t="str">
        <f>IF((EJECUTADO[[#This Row],[MONTO DISPONIBLE ]]-EJECUTADO[[#This Row],[MONTO SOLICITADO]])&gt;=0,"PRESUPUESTO: SI","PRESUPUESTO: NO")</f>
        <v>PRESUPUESTO: SI</v>
      </c>
      <c r="L1003" s="162">
        <f>SUMIF(PRESUPUESTO[CUENTA],EJECUTADO[[#This Row],[CUENTA]],PRESUPUESTO[MONTO])-SUMIF($F$1:F1002,EJECUTADO[[#This Row],[CUENTA]],$M$1:M1002)</f>
        <v>0</v>
      </c>
      <c r="M1003" s="2"/>
      <c r="N1003" s="188"/>
      <c r="O1003" s="188"/>
      <c r="P1003" s="166">
        <f>+EJECUTADO[[#This Row],[MONTO SOLICITADO]]-EJECUTADO[[#This Row],[RETENCION IVA]]-EJECUTADO[[#This Row],[RETENCION ISR]]</f>
        <v>0</v>
      </c>
      <c r="Q1003" s="188"/>
      <c r="R1003" s="188"/>
      <c r="T1003" s="168" t="e">
        <f t="shared" si="38"/>
        <v>#N/A</v>
      </c>
    </row>
    <row r="1004" spans="1:20" x14ac:dyDescent="0.25">
      <c r="A1004" s="187" t="s">
        <v>2508</v>
      </c>
      <c r="B1004" s="21">
        <v>45358</v>
      </c>
      <c r="C1004" s="126" t="s">
        <v>2428</v>
      </c>
      <c r="E1004" s="65"/>
      <c r="G1004" s="161">
        <f>MONTH(EJECUTADO[[#This Row],[FECHA]])</f>
        <v>3</v>
      </c>
      <c r="H1004" s="163" t="str">
        <f>MID(EJECUTADO[[#This Row],[CUENTA]],1,4)</f>
        <v/>
      </c>
      <c r="I1004" s="163" t="e">
        <f>INDEX(CATALOGO[Descripción],MATCH(EJECUTADO[[#This Row],[APLICACIÓN]]&amp;"-00-00-00",CATALOGO[Código],0))</f>
        <v>#N/A</v>
      </c>
      <c r="J100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4" s="161" t="str">
        <f>IF((EJECUTADO[[#This Row],[MONTO DISPONIBLE ]]-EJECUTADO[[#This Row],[MONTO SOLICITADO]])&gt;=0,"PRESUPUESTO: SI","PRESUPUESTO: NO")</f>
        <v>PRESUPUESTO: SI</v>
      </c>
      <c r="L1004" s="162">
        <f>SUMIF(PRESUPUESTO[CUENTA],EJECUTADO[[#This Row],[CUENTA]],PRESUPUESTO[MONTO])-SUMIF($F$1:F1003,EJECUTADO[[#This Row],[CUENTA]],$M$1:M1003)</f>
        <v>0</v>
      </c>
      <c r="M1004" s="2"/>
      <c r="N1004" s="188"/>
      <c r="O1004" s="188"/>
      <c r="P1004" s="166">
        <f>+EJECUTADO[[#This Row],[MONTO SOLICITADO]]-EJECUTADO[[#This Row],[RETENCION IVA]]-EJECUTADO[[#This Row],[RETENCION ISR]]</f>
        <v>0</v>
      </c>
      <c r="Q1004" s="188"/>
      <c r="R1004" s="188"/>
      <c r="T1004" s="168" t="e">
        <f t="shared" si="38"/>
        <v>#N/A</v>
      </c>
    </row>
    <row r="1005" spans="1:20" x14ac:dyDescent="0.25">
      <c r="A1005" s="187" t="s">
        <v>2509</v>
      </c>
      <c r="B1005" s="21">
        <v>45358</v>
      </c>
      <c r="C1005" s="126" t="s">
        <v>2428</v>
      </c>
      <c r="E1005" s="65"/>
      <c r="G1005" s="161">
        <f>MONTH(EJECUTADO[[#This Row],[FECHA]])</f>
        <v>3</v>
      </c>
      <c r="H1005" s="163" t="str">
        <f>MID(EJECUTADO[[#This Row],[CUENTA]],1,4)</f>
        <v/>
      </c>
      <c r="I1005" s="163" t="e">
        <f>INDEX(CATALOGO[Descripción],MATCH(EJECUTADO[[#This Row],[APLICACIÓN]]&amp;"-00-00-00",CATALOGO[Código],0))</f>
        <v>#N/A</v>
      </c>
      <c r="J100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5" s="161" t="str">
        <f>IF((EJECUTADO[[#This Row],[MONTO DISPONIBLE ]]-EJECUTADO[[#This Row],[MONTO SOLICITADO]])&gt;=0,"PRESUPUESTO: SI","PRESUPUESTO: NO")</f>
        <v>PRESUPUESTO: SI</v>
      </c>
      <c r="L1005" s="162">
        <f>SUMIF(PRESUPUESTO[CUENTA],EJECUTADO[[#This Row],[CUENTA]],PRESUPUESTO[MONTO])-SUMIF($F$1:F1004,EJECUTADO[[#This Row],[CUENTA]],$M$1:M1004)</f>
        <v>0</v>
      </c>
      <c r="M1005" s="2"/>
      <c r="N1005" s="188"/>
      <c r="O1005" s="188"/>
      <c r="P1005" s="166">
        <f>+EJECUTADO[[#This Row],[MONTO SOLICITADO]]-EJECUTADO[[#This Row],[RETENCION IVA]]-EJECUTADO[[#This Row],[RETENCION ISR]]</f>
        <v>0</v>
      </c>
      <c r="Q1005" s="188"/>
      <c r="R1005" s="188"/>
      <c r="T1005" s="168" t="e">
        <f t="shared" si="38"/>
        <v>#N/A</v>
      </c>
    </row>
    <row r="1006" spans="1:20" x14ac:dyDescent="0.25">
      <c r="A1006" s="187" t="s">
        <v>2510</v>
      </c>
      <c r="B1006" s="21">
        <v>45358</v>
      </c>
      <c r="C1006" s="126" t="s">
        <v>2428</v>
      </c>
      <c r="E1006" s="65"/>
      <c r="G1006" s="161">
        <f>MONTH(EJECUTADO[[#This Row],[FECHA]])</f>
        <v>3</v>
      </c>
      <c r="H1006" s="163" t="str">
        <f>MID(EJECUTADO[[#This Row],[CUENTA]],1,4)</f>
        <v/>
      </c>
      <c r="I1006" s="163" t="e">
        <f>INDEX(CATALOGO[Descripción],MATCH(EJECUTADO[[#This Row],[APLICACIÓN]]&amp;"-00-00-00",CATALOGO[Código],0))</f>
        <v>#N/A</v>
      </c>
      <c r="J100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006" s="161" t="str">
        <f>IF((EJECUTADO[[#This Row],[MONTO DISPONIBLE ]]-EJECUTADO[[#This Row],[MONTO SOLICITADO]])&gt;=0,"PRESUPUESTO: SI","PRESUPUESTO: NO")</f>
        <v>PRESUPUESTO: SI</v>
      </c>
      <c r="L1006" s="162">
        <f>SUMIF(PRESUPUESTO[CUENTA],EJECUTADO[[#This Row],[CUENTA]],PRESUPUESTO[MONTO])-SUMIF($F$1:F1005,EJECUTADO[[#This Row],[CUENTA]],$M$1:M1005)</f>
        <v>0</v>
      </c>
      <c r="M1006" s="2"/>
      <c r="N1006" s="188"/>
      <c r="O1006" s="188"/>
      <c r="P1006" s="166">
        <f>+EJECUTADO[[#This Row],[MONTO SOLICITADO]]-EJECUTADO[[#This Row],[RETENCION IVA]]-EJECUTADO[[#This Row],[RETENCION ISR]]</f>
        <v>0</v>
      </c>
      <c r="Q1006" s="188"/>
      <c r="R1006" s="188"/>
      <c r="T1006" s="168" t="e">
        <f t="shared" si="38"/>
        <v>#N/A</v>
      </c>
    </row>
    <row r="1007" spans="1:20" ht="60" x14ac:dyDescent="0.25">
      <c r="A1007" s="6">
        <v>917</v>
      </c>
      <c r="B1007" s="21">
        <v>45369</v>
      </c>
      <c r="C1007" s="126" t="s">
        <v>1156</v>
      </c>
      <c r="D1007" s="65" t="s">
        <v>2511</v>
      </c>
      <c r="E1007" s="65" t="s">
        <v>2512</v>
      </c>
      <c r="F1007" t="s">
        <v>1154</v>
      </c>
      <c r="G1007" s="161">
        <f>MONTH(EJECUTADO[[#This Row],[FECHA]])</f>
        <v>3</v>
      </c>
      <c r="H1007" s="163" t="str">
        <f>MID(EJECUTADO[[#This Row],[CUENTA]],1,4)</f>
        <v>E-09</v>
      </c>
      <c r="I1007" s="163" t="str">
        <f>INDEX(CATALOGO[Descripción],MATCH(EJECUTADO[[#This Row],[APLICACIÓN]]&amp;"-00-00-00",CATALOGO[Código],0))</f>
        <v>PRESTACIONES AL PERSONAL</v>
      </c>
      <c r="J10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1007" s="161" t="str">
        <f>IF((EJECUTADO[[#This Row],[MONTO DISPONIBLE ]]-EJECUTADO[[#This Row],[MONTO SOLICITADO]])&gt;=0,"PRESUPUESTO: SI","PRESUPUESTO: NO")</f>
        <v>PRESUPUESTO: SI</v>
      </c>
      <c r="L1007" s="162">
        <f>SUMIF(PRESUPUESTO[CUENTA],EJECUTADO[[#This Row],[CUENTA]],PRESUPUESTO[MONTO])-SUMIF($F$1:F1006,EJECUTADO[[#This Row],[CUENTA]],$M$1:M1006)</f>
        <v>190296.71</v>
      </c>
      <c r="M1007" s="2">
        <v>1398.49</v>
      </c>
      <c r="N1007" s="84"/>
      <c r="O1007" s="84">
        <v>118.52</v>
      </c>
      <c r="P1007" s="166">
        <f>+EJECUTADO[[#This Row],[MONTO SOLICITADO]]-EJECUTADO[[#This Row],[RETENCION IVA]]-EJECUTADO[[#This Row],[RETENCION ISR]]</f>
        <v>1279.97</v>
      </c>
      <c r="Q1007" s="84" t="s">
        <v>1786</v>
      </c>
      <c r="R1007" s="84"/>
      <c r="S1007">
        <v>3297</v>
      </c>
      <c r="T1007" s="168" t="str">
        <f t="shared" si="38"/>
        <v>PRESTACIONES AL PERSONAL - GASTOS MÉDICOS  Disponible $190296.71 Solicitado $1398.49 PRESUPUESTO: SI</v>
      </c>
    </row>
    <row r="1008" spans="1:20" ht="60" x14ac:dyDescent="0.25">
      <c r="A1008" s="6">
        <v>918</v>
      </c>
      <c r="B1008" s="21">
        <v>45369</v>
      </c>
      <c r="C1008" s="126" t="s">
        <v>1156</v>
      </c>
      <c r="D1008" s="65" t="s">
        <v>2513</v>
      </c>
      <c r="E1008" s="65" t="s">
        <v>2514</v>
      </c>
      <c r="F1008" t="s">
        <v>1265</v>
      </c>
      <c r="G1008" s="161">
        <f>MONTH(EJECUTADO[[#This Row],[FECHA]])</f>
        <v>3</v>
      </c>
      <c r="H1008" s="163" t="str">
        <f>MID(EJECUTADO[[#This Row],[CUENTA]],1,4)</f>
        <v>E-23</v>
      </c>
      <c r="I1008" s="163" t="str">
        <f>INDEX(CATALOGO[Descripción],MATCH(EJECUTADO[[#This Row],[APLICACIÓN]]&amp;"-00-00-00",CATALOGO[Código],0))</f>
        <v>GASTOS DE VIAJE</v>
      </c>
      <c r="J10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008" s="161" t="str">
        <f>IF((EJECUTADO[[#This Row],[MONTO DISPONIBLE ]]-EJECUTADO[[#This Row],[MONTO SOLICITADO]])&gt;=0,"PRESUPUESTO: SI","PRESUPUESTO: NO")</f>
        <v>PRESUPUESTO: SI</v>
      </c>
      <c r="L1008" s="162">
        <f>SUMIF(PRESUPUESTO[CUENTA],EJECUTADO[[#This Row],[CUENTA]],PRESUPUESTO[MONTO])-SUMIF($F$1:F1007,EJECUTADO[[#This Row],[CUENTA]],$M$1:M1007)</f>
        <v>21004.690000000002</v>
      </c>
      <c r="M1008" s="2">
        <v>80</v>
      </c>
      <c r="N1008" s="84"/>
      <c r="O1008" s="84"/>
      <c r="P1008" s="162">
        <f>+EJECUTADO[[#This Row],[MONTO SOLICITADO]]-EJECUTADO[[#This Row],[RETENCION IVA]]-EJECUTADO[[#This Row],[RETENCION ISR]]</f>
        <v>80</v>
      </c>
      <c r="Q1008" s="84" t="s">
        <v>1786</v>
      </c>
      <c r="R1008" s="84"/>
      <c r="S1008">
        <v>3297</v>
      </c>
      <c r="T1008" s="168" t="str">
        <f t="shared" si="38"/>
        <v>GASTOS DE VIAJE - Servicio combustible Disponible $21004.69 Solicitado $80 PRESUPUESTO: SI</v>
      </c>
    </row>
    <row r="1009" spans="1:20" ht="60" x14ac:dyDescent="0.25">
      <c r="A1009" s="6">
        <v>919</v>
      </c>
      <c r="B1009" s="21">
        <v>45369</v>
      </c>
      <c r="C1009" s="126" t="s">
        <v>2103</v>
      </c>
      <c r="D1009" s="65" t="s">
        <v>2513</v>
      </c>
      <c r="E1009" s="65" t="s">
        <v>2515</v>
      </c>
      <c r="F1009" t="s">
        <v>1154</v>
      </c>
      <c r="G1009" s="161">
        <f>MONTH(EJECUTADO[[#This Row],[FECHA]])</f>
        <v>3</v>
      </c>
      <c r="H1009" s="163" t="str">
        <f>MID(EJECUTADO[[#This Row],[CUENTA]],1,4)</f>
        <v>E-09</v>
      </c>
      <c r="I1009" s="163" t="str">
        <f>INDEX(CATALOGO[Descripción],MATCH(EJECUTADO[[#This Row],[APLICACIÓN]]&amp;"-00-00-00",CATALOGO[Código],0))</f>
        <v>PRESTACIONES AL PERSONAL</v>
      </c>
      <c r="J10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1009" s="161" t="str">
        <f>IF((EJECUTADO[[#This Row],[MONTO DISPONIBLE ]]-EJECUTADO[[#This Row],[MONTO SOLICITADO]])&gt;=0,"PRESUPUESTO: SI","PRESUPUESTO: NO")</f>
        <v>PRESUPUESTO: SI</v>
      </c>
      <c r="L1009" s="162">
        <f>SUMIF(PRESUPUESTO[CUENTA],EJECUTADO[[#This Row],[CUENTA]],PRESUPUESTO[MONTO])-SUMIF($F$1:F1008,EJECUTADO[[#This Row],[CUENTA]],$M$1:M1008)</f>
        <v>188898.22</v>
      </c>
      <c r="M1009" s="2">
        <v>1451.82</v>
      </c>
      <c r="N1009" s="84"/>
      <c r="O1009" s="84">
        <v>118.52</v>
      </c>
      <c r="P1009" s="162">
        <f>+EJECUTADO[[#This Row],[MONTO SOLICITADO]]-EJECUTADO[[#This Row],[RETENCION IVA]]-EJECUTADO[[#This Row],[RETENCION ISR]]</f>
        <v>1333.3</v>
      </c>
      <c r="Q1009" s="84" t="s">
        <v>1786</v>
      </c>
      <c r="R1009" s="84"/>
      <c r="S1009">
        <v>3298</v>
      </c>
      <c r="T1009" s="168" t="str">
        <f t="shared" si="38"/>
        <v>PRESTACIONES AL PERSONAL - GASTOS MÉDICOS  Disponible $188898.22 Solicitado $1451.82 PRESUPUESTO: SI</v>
      </c>
    </row>
    <row r="1010" spans="1:20" ht="25.5" customHeight="1" x14ac:dyDescent="0.25">
      <c r="A1010" s="6">
        <v>920</v>
      </c>
      <c r="B1010" s="21">
        <v>45369</v>
      </c>
      <c r="C1010" s="126" t="s">
        <v>2103</v>
      </c>
      <c r="D1010" s="65" t="s">
        <v>2516</v>
      </c>
      <c r="E1010" s="65" t="s">
        <v>2517</v>
      </c>
      <c r="F1010" t="s">
        <v>1265</v>
      </c>
      <c r="G1010" s="161">
        <f>MONTH(EJECUTADO[[#This Row],[FECHA]])</f>
        <v>3</v>
      </c>
      <c r="H1010" s="163" t="str">
        <f>MID(EJECUTADO[[#This Row],[CUENTA]],1,4)</f>
        <v>E-23</v>
      </c>
      <c r="I1010" s="163" t="str">
        <f>INDEX(CATALOGO[Descripción],MATCH(EJECUTADO[[#This Row],[APLICACIÓN]]&amp;"-00-00-00",CATALOGO[Código],0))</f>
        <v>GASTOS DE VIAJE</v>
      </c>
      <c r="J10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010" s="161" t="str">
        <f>IF((EJECUTADO[[#This Row],[MONTO DISPONIBLE ]]-EJECUTADO[[#This Row],[MONTO SOLICITADO]])&gt;=0,"PRESUPUESTO: SI","PRESUPUESTO: NO")</f>
        <v>PRESUPUESTO: SI</v>
      </c>
      <c r="L1010" s="162">
        <f>SUMIF(PRESUPUESTO[CUENTA],EJECUTADO[[#This Row],[CUENTA]],PRESUPUESTO[MONTO])-SUMIF($F$1:F1009,EJECUTADO[[#This Row],[CUENTA]],$M$1:M1009)</f>
        <v>20924.690000000002</v>
      </c>
      <c r="M1010" s="2">
        <v>80</v>
      </c>
      <c r="N1010" s="84"/>
      <c r="O1010" s="84"/>
      <c r="P1010" s="162">
        <f>+EJECUTADO[[#This Row],[MONTO SOLICITADO]]-EJECUTADO[[#This Row],[RETENCION IVA]]-EJECUTADO[[#This Row],[RETENCION ISR]]</f>
        <v>80</v>
      </c>
      <c r="Q1010" s="84" t="s">
        <v>1786</v>
      </c>
      <c r="R1010" s="84"/>
      <c r="S1010">
        <v>3298</v>
      </c>
      <c r="T1010" s="168" t="str">
        <f t="shared" si="38"/>
        <v>GASTOS DE VIAJE - Servicio combustible Disponible $20924.69 Solicitado $80 PRESUPUESTO: SI</v>
      </c>
    </row>
    <row r="1011" spans="1:20" ht="60" x14ac:dyDescent="0.25">
      <c r="A1011" s="6">
        <f t="shared" si="36"/>
        <v>921</v>
      </c>
      <c r="B1011" s="21">
        <v>45294</v>
      </c>
      <c r="C1011" s="126" t="s">
        <v>2518</v>
      </c>
      <c r="D1011" s="65" t="s">
        <v>2519</v>
      </c>
      <c r="E1011" s="65" t="s">
        <v>2520</v>
      </c>
      <c r="F1011" t="s">
        <v>1752</v>
      </c>
      <c r="G1011" s="161">
        <f>MONTH(EJECUTADO[[#This Row],[FECHA]])</f>
        <v>1</v>
      </c>
      <c r="H1011" s="163" t="str">
        <f>MID(EJECUTADO[[#This Row],[CUENTA]],1,4)</f>
        <v>E-02</v>
      </c>
      <c r="I1011" s="163" t="str">
        <f>INDEX(CATALOGO[Descripción],MATCH(EJECUTADO[[#This Row],[APLICACIÓN]]&amp;"-00-00-00",CATALOGO[Código],0))</f>
        <v>PRESTAMOS BANCARIOS</v>
      </c>
      <c r="J10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1" s="161" t="str">
        <f>IF((EJECUTADO[[#This Row],[MONTO DISPONIBLE ]]-EJECUTADO[[#This Row],[MONTO SOLICITADO]])&gt;=0,"PRESUPUESTO: SI","PRESUPUESTO: NO")</f>
        <v>PRESUPUESTO: SI</v>
      </c>
      <c r="L1011" s="162">
        <f>SUMIF(PRESUPUESTO[CUENTA],EJECUTADO[[#This Row],[CUENTA]],PRESUPUESTO[MONTO])-SUMIF($F$1:F1010,EJECUTADO[[#This Row],[CUENTA]],$M$1:M1010)</f>
        <v>113265.56</v>
      </c>
      <c r="M1011" s="2">
        <v>2.83</v>
      </c>
      <c r="N1011" s="84"/>
      <c r="O1011" s="84"/>
      <c r="P1011" s="162">
        <f>+EJECUTADO[[#This Row],[MONTO SOLICITADO]]-EJECUTADO[[#This Row],[RETENCION IVA]]-EJECUTADO[[#This Row],[RETENCION ISR]]</f>
        <v>2.83</v>
      </c>
      <c r="Q1011" s="84" t="s">
        <v>2521</v>
      </c>
      <c r="R1011" s="84"/>
      <c r="S1011">
        <v>1</v>
      </c>
      <c r="T1011" s="168" t="str">
        <f t="shared" si="38"/>
        <v>PRESTAMOS BANCARIOS - COMISIONES BANCARIOS Disponible $113265.56 Solicitado $2.83 PRESUPUESTO: SI</v>
      </c>
    </row>
    <row r="1012" spans="1:20" ht="60" x14ac:dyDescent="0.25">
      <c r="A1012" s="6">
        <f t="shared" si="36"/>
        <v>922</v>
      </c>
      <c r="B1012" s="21">
        <v>45299</v>
      </c>
      <c r="C1012" s="126" t="s">
        <v>2518</v>
      </c>
      <c r="D1012" s="65" t="s">
        <v>2522</v>
      </c>
      <c r="E1012" s="65" t="s">
        <v>2523</v>
      </c>
      <c r="F1012" t="s">
        <v>1752</v>
      </c>
      <c r="G1012" s="161">
        <f>MONTH(EJECUTADO[[#This Row],[FECHA]])</f>
        <v>1</v>
      </c>
      <c r="H1012" s="163" t="str">
        <f>MID(EJECUTADO[[#This Row],[CUENTA]],1,4)</f>
        <v>E-02</v>
      </c>
      <c r="I1012" s="163" t="str">
        <f>INDEX(CATALOGO[Descripción],MATCH(EJECUTADO[[#This Row],[APLICACIÓN]]&amp;"-00-00-00",CATALOGO[Código],0))</f>
        <v>PRESTAMOS BANCARIOS</v>
      </c>
      <c r="J10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2" s="161" t="str">
        <f>IF((EJECUTADO[[#This Row],[MONTO DISPONIBLE ]]-EJECUTADO[[#This Row],[MONTO SOLICITADO]])&gt;=0,"PRESUPUESTO: SI","PRESUPUESTO: NO")</f>
        <v>PRESUPUESTO: SI</v>
      </c>
      <c r="L1012" s="162">
        <f>SUMIF(PRESUPUESTO[CUENTA],EJECUTADO[[#This Row],[CUENTA]],PRESUPUESTO[MONTO])-SUMIF($F$1:F1011,EJECUTADO[[#This Row],[CUENTA]],$M$1:M1011)</f>
        <v>113262.73</v>
      </c>
      <c r="M1012" s="2">
        <v>2.83</v>
      </c>
      <c r="N1012" s="84"/>
      <c r="O1012" s="84"/>
      <c r="P1012" s="162">
        <f>+EJECUTADO[[#This Row],[MONTO SOLICITADO]]-EJECUTADO[[#This Row],[RETENCION IVA]]-EJECUTADO[[#This Row],[RETENCION ISR]]</f>
        <v>2.83</v>
      </c>
      <c r="Q1012" s="84" t="s">
        <v>2521</v>
      </c>
      <c r="R1012" s="84"/>
      <c r="S1012">
        <v>1</v>
      </c>
      <c r="T1012" s="168" t="str">
        <f t="shared" si="38"/>
        <v>PRESTAMOS BANCARIOS - COMISIONES BANCARIOS Disponible $113262.73 Solicitado $2.83 PRESUPUESTO: SI</v>
      </c>
    </row>
    <row r="1013" spans="1:20" ht="60" x14ac:dyDescent="0.25">
      <c r="A1013" s="6">
        <f t="shared" si="36"/>
        <v>923</v>
      </c>
      <c r="B1013" s="21">
        <v>45301</v>
      </c>
      <c r="C1013" s="126" t="s">
        <v>2518</v>
      </c>
      <c r="D1013" s="65" t="s">
        <v>2524</v>
      </c>
      <c r="E1013" s="65" t="s">
        <v>2525</v>
      </c>
      <c r="F1013" t="s">
        <v>1752</v>
      </c>
      <c r="G1013" s="161">
        <f>MONTH(EJECUTADO[[#This Row],[FECHA]])</f>
        <v>1</v>
      </c>
      <c r="H1013" s="163" t="str">
        <f>MID(EJECUTADO[[#This Row],[CUENTA]],1,4)</f>
        <v>E-02</v>
      </c>
      <c r="I1013" s="163" t="str">
        <f>INDEX(CATALOGO[Descripción],MATCH(EJECUTADO[[#This Row],[APLICACIÓN]]&amp;"-00-00-00",CATALOGO[Código],0))</f>
        <v>PRESTAMOS BANCARIOS</v>
      </c>
      <c r="J10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3" s="161" t="str">
        <f>IF((EJECUTADO[[#This Row],[MONTO DISPONIBLE ]]-EJECUTADO[[#This Row],[MONTO SOLICITADO]])&gt;=0,"PRESUPUESTO: SI","PRESUPUESTO: NO")</f>
        <v>PRESUPUESTO: SI</v>
      </c>
      <c r="L1013" s="162">
        <f>SUMIF(PRESUPUESTO[CUENTA],EJECUTADO[[#This Row],[CUENTA]],PRESUPUESTO[MONTO])-SUMIF($F$1:F1012,EJECUTADO[[#This Row],[CUENTA]],$M$1:M1012)</f>
        <v>113259.9</v>
      </c>
      <c r="M1013" s="2">
        <v>2.83</v>
      </c>
      <c r="N1013" s="84"/>
      <c r="O1013" s="84"/>
      <c r="P1013" s="162">
        <f>+EJECUTADO[[#This Row],[MONTO SOLICITADO]]-EJECUTADO[[#This Row],[RETENCION IVA]]-EJECUTADO[[#This Row],[RETENCION ISR]]</f>
        <v>2.83</v>
      </c>
      <c r="Q1013" s="84" t="s">
        <v>2521</v>
      </c>
      <c r="R1013" s="84"/>
      <c r="S1013">
        <v>1</v>
      </c>
      <c r="T1013" s="168" t="str">
        <f t="shared" si="38"/>
        <v>PRESTAMOS BANCARIOS - COMISIONES BANCARIOS Disponible $113259.9 Solicitado $2.83 PRESUPUESTO: SI</v>
      </c>
    </row>
    <row r="1014" spans="1:20" ht="60" x14ac:dyDescent="0.25">
      <c r="A1014" s="6">
        <f t="shared" si="36"/>
        <v>924</v>
      </c>
      <c r="B1014" s="21">
        <v>45303</v>
      </c>
      <c r="C1014" s="126" t="s">
        <v>2518</v>
      </c>
      <c r="D1014" s="65" t="s">
        <v>2526</v>
      </c>
      <c r="E1014" s="65" t="s">
        <v>2527</v>
      </c>
      <c r="F1014" t="s">
        <v>1752</v>
      </c>
      <c r="G1014" s="161">
        <f>MONTH(EJECUTADO[[#This Row],[FECHA]])</f>
        <v>1</v>
      </c>
      <c r="H1014" s="163" t="str">
        <f>MID(EJECUTADO[[#This Row],[CUENTA]],1,4)</f>
        <v>E-02</v>
      </c>
      <c r="I1014" s="163" t="str">
        <f>INDEX(CATALOGO[Descripción],MATCH(EJECUTADO[[#This Row],[APLICACIÓN]]&amp;"-00-00-00",CATALOGO[Código],0))</f>
        <v>PRESTAMOS BANCARIOS</v>
      </c>
      <c r="J10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4" s="161" t="str">
        <f>IF((EJECUTADO[[#This Row],[MONTO DISPONIBLE ]]-EJECUTADO[[#This Row],[MONTO SOLICITADO]])&gt;=0,"PRESUPUESTO: SI","PRESUPUESTO: NO")</f>
        <v>PRESUPUESTO: SI</v>
      </c>
      <c r="L1014" s="162">
        <f>SUMIF(PRESUPUESTO[CUENTA],EJECUTADO[[#This Row],[CUENTA]],PRESUPUESTO[MONTO])-SUMIF($F$1:F1013,EJECUTADO[[#This Row],[CUENTA]],$M$1:M1013)</f>
        <v>113257.07</v>
      </c>
      <c r="M1014" s="2">
        <v>2.83</v>
      </c>
      <c r="N1014" s="84"/>
      <c r="O1014" s="84"/>
      <c r="P1014" s="162">
        <f>+EJECUTADO[[#This Row],[MONTO SOLICITADO]]-EJECUTADO[[#This Row],[RETENCION IVA]]-EJECUTADO[[#This Row],[RETENCION ISR]]</f>
        <v>2.83</v>
      </c>
      <c r="Q1014" s="84" t="s">
        <v>2521</v>
      </c>
      <c r="R1014" s="84"/>
      <c r="S1014">
        <v>1</v>
      </c>
      <c r="T1014" s="168" t="str">
        <f t="shared" si="38"/>
        <v>PRESTAMOS BANCARIOS - COMISIONES BANCARIOS Disponible $113257.07 Solicitado $2.83 PRESUPUESTO: SI</v>
      </c>
    </row>
    <row r="1015" spans="1:20" ht="60" x14ac:dyDescent="0.25">
      <c r="A1015" s="6">
        <f t="shared" si="36"/>
        <v>925</v>
      </c>
      <c r="B1015" s="21">
        <v>45310</v>
      </c>
      <c r="C1015" s="126" t="s">
        <v>2518</v>
      </c>
      <c r="D1015" s="65" t="s">
        <v>2528</v>
      </c>
      <c r="E1015" s="65" t="s">
        <v>2529</v>
      </c>
      <c r="F1015" t="s">
        <v>1752</v>
      </c>
      <c r="G1015" s="161">
        <f>MONTH(EJECUTADO[[#This Row],[FECHA]])</f>
        <v>1</v>
      </c>
      <c r="H1015" s="163" t="str">
        <f>MID(EJECUTADO[[#This Row],[CUENTA]],1,4)</f>
        <v>E-02</v>
      </c>
      <c r="I1015" s="163" t="str">
        <f>INDEX(CATALOGO[Descripción],MATCH(EJECUTADO[[#This Row],[APLICACIÓN]]&amp;"-00-00-00",CATALOGO[Código],0))</f>
        <v>PRESTAMOS BANCARIOS</v>
      </c>
      <c r="J10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5" s="161" t="str">
        <f>IF((EJECUTADO[[#This Row],[MONTO DISPONIBLE ]]-EJECUTADO[[#This Row],[MONTO SOLICITADO]])&gt;=0,"PRESUPUESTO: SI","PRESUPUESTO: NO")</f>
        <v>PRESUPUESTO: SI</v>
      </c>
      <c r="L1015" s="162">
        <f>SUMIF(PRESUPUESTO[CUENTA],EJECUTADO[[#This Row],[CUENTA]],PRESUPUESTO[MONTO])-SUMIF($F$1:F1014,EJECUTADO[[#This Row],[CUENTA]],$M$1:M1014)</f>
        <v>113254.24</v>
      </c>
      <c r="M1015" s="2">
        <v>2.83</v>
      </c>
      <c r="N1015" s="84"/>
      <c r="O1015" s="84"/>
      <c r="P1015" s="162">
        <f>+EJECUTADO[[#This Row],[MONTO SOLICITADO]]-EJECUTADO[[#This Row],[RETENCION IVA]]-EJECUTADO[[#This Row],[RETENCION ISR]]</f>
        <v>2.83</v>
      </c>
      <c r="Q1015" s="84" t="s">
        <v>2521</v>
      </c>
      <c r="R1015" s="84"/>
      <c r="S1015">
        <v>1</v>
      </c>
      <c r="T1015" s="168" t="str">
        <f t="shared" si="38"/>
        <v>PRESTAMOS BANCARIOS - COMISIONES BANCARIOS Disponible $113254.24 Solicitado $2.83 PRESUPUESTO: SI</v>
      </c>
    </row>
    <row r="1016" spans="1:20" ht="60" x14ac:dyDescent="0.25">
      <c r="A1016" s="6">
        <f t="shared" si="36"/>
        <v>926</v>
      </c>
      <c r="B1016" s="21">
        <v>45315</v>
      </c>
      <c r="C1016" s="126" t="s">
        <v>2518</v>
      </c>
      <c r="D1016" s="65" t="s">
        <v>2530</v>
      </c>
      <c r="E1016" s="65" t="s">
        <v>2531</v>
      </c>
      <c r="F1016" t="s">
        <v>1752</v>
      </c>
      <c r="G1016" s="161">
        <f>MONTH(EJECUTADO[[#This Row],[FECHA]])</f>
        <v>1</v>
      </c>
      <c r="H1016" s="163" t="str">
        <f>MID(EJECUTADO[[#This Row],[CUENTA]],1,4)</f>
        <v>E-02</v>
      </c>
      <c r="I1016" s="163" t="str">
        <f>INDEX(CATALOGO[Descripción],MATCH(EJECUTADO[[#This Row],[APLICACIÓN]]&amp;"-00-00-00",CATALOGO[Código],0))</f>
        <v>PRESTAMOS BANCARIOS</v>
      </c>
      <c r="J10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6" s="161" t="str">
        <f>IF((EJECUTADO[[#This Row],[MONTO DISPONIBLE ]]-EJECUTADO[[#This Row],[MONTO SOLICITADO]])&gt;=0,"PRESUPUESTO: SI","PRESUPUESTO: NO")</f>
        <v>PRESUPUESTO: SI</v>
      </c>
      <c r="L1016" s="162">
        <f>SUMIF(PRESUPUESTO[CUENTA],EJECUTADO[[#This Row],[CUENTA]],PRESUPUESTO[MONTO])-SUMIF($F$1:F1015,EJECUTADO[[#This Row],[CUENTA]],$M$1:M1015)</f>
        <v>113251.41</v>
      </c>
      <c r="M1016" s="2">
        <v>5.65</v>
      </c>
      <c r="N1016" s="84"/>
      <c r="O1016" s="84"/>
      <c r="P1016" s="162">
        <f>+EJECUTADO[[#This Row],[MONTO SOLICITADO]]-EJECUTADO[[#This Row],[RETENCION IVA]]-EJECUTADO[[#This Row],[RETENCION ISR]]</f>
        <v>5.65</v>
      </c>
      <c r="Q1016" s="84" t="s">
        <v>2521</v>
      </c>
      <c r="R1016" s="84"/>
      <c r="S1016">
        <v>1</v>
      </c>
      <c r="T1016" s="168" t="str">
        <f t="shared" si="38"/>
        <v>PRESTAMOS BANCARIOS - COMISIONES BANCARIOS Disponible $113251.41 Solicitado $5.65 PRESUPUESTO: SI</v>
      </c>
    </row>
    <row r="1017" spans="1:20" ht="60" x14ac:dyDescent="0.25">
      <c r="A1017" s="6">
        <f t="shared" si="36"/>
        <v>927</v>
      </c>
      <c r="B1017" s="21">
        <v>45317</v>
      </c>
      <c r="C1017" s="126" t="s">
        <v>2518</v>
      </c>
      <c r="D1017" s="65" t="s">
        <v>2532</v>
      </c>
      <c r="E1017" s="65" t="s">
        <v>2533</v>
      </c>
      <c r="F1017" t="s">
        <v>1752</v>
      </c>
      <c r="G1017" s="161">
        <f>MONTH(EJECUTADO[[#This Row],[FECHA]])</f>
        <v>1</v>
      </c>
      <c r="H1017" s="163" t="str">
        <f>MID(EJECUTADO[[#This Row],[CUENTA]],1,4)</f>
        <v>E-02</v>
      </c>
      <c r="I1017" s="163" t="str">
        <f>INDEX(CATALOGO[Descripción],MATCH(EJECUTADO[[#This Row],[APLICACIÓN]]&amp;"-00-00-00",CATALOGO[Código],0))</f>
        <v>PRESTAMOS BANCARIOS</v>
      </c>
      <c r="J10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7" s="161" t="str">
        <f>IF((EJECUTADO[[#This Row],[MONTO DISPONIBLE ]]-EJECUTADO[[#This Row],[MONTO SOLICITADO]])&gt;=0,"PRESUPUESTO: SI","PRESUPUESTO: NO")</f>
        <v>PRESUPUESTO: SI</v>
      </c>
      <c r="L1017" s="162">
        <f>SUMIF(PRESUPUESTO[CUENTA],EJECUTADO[[#This Row],[CUENTA]],PRESUPUESTO[MONTO])-SUMIF($F$1:F1016,EJECUTADO[[#This Row],[CUENTA]],$M$1:M1016)</f>
        <v>113245.75999999999</v>
      </c>
      <c r="M1017" s="2">
        <v>2.83</v>
      </c>
      <c r="N1017" s="84"/>
      <c r="O1017" s="84"/>
      <c r="P1017" s="162">
        <f>+EJECUTADO[[#This Row],[MONTO SOLICITADO]]-EJECUTADO[[#This Row],[RETENCION IVA]]-EJECUTADO[[#This Row],[RETENCION ISR]]</f>
        <v>2.83</v>
      </c>
      <c r="Q1017" s="84" t="s">
        <v>2521</v>
      </c>
      <c r="R1017" s="84"/>
      <c r="S1017">
        <v>1</v>
      </c>
      <c r="T1017" s="168" t="str">
        <f t="shared" si="38"/>
        <v>PRESTAMOS BANCARIOS - COMISIONES BANCARIOS Disponible $113245.76 Solicitado $2.83 PRESUPUESTO: SI</v>
      </c>
    </row>
    <row r="1018" spans="1:20" ht="60" x14ac:dyDescent="0.25">
      <c r="A1018" s="6">
        <f t="shared" si="36"/>
        <v>928</v>
      </c>
      <c r="B1018" s="21">
        <v>45317</v>
      </c>
      <c r="C1018" s="126" t="s">
        <v>2518</v>
      </c>
      <c r="D1018" s="65" t="s">
        <v>2534</v>
      </c>
      <c r="E1018" s="65" t="s">
        <v>2535</v>
      </c>
      <c r="F1018" t="s">
        <v>1752</v>
      </c>
      <c r="G1018" s="161">
        <f>MONTH(EJECUTADO[[#This Row],[FECHA]])</f>
        <v>1</v>
      </c>
      <c r="H1018" s="163" t="str">
        <f>MID(EJECUTADO[[#This Row],[CUENTA]],1,4)</f>
        <v>E-02</v>
      </c>
      <c r="I1018" s="163" t="str">
        <f>INDEX(CATALOGO[Descripción],MATCH(EJECUTADO[[#This Row],[APLICACIÓN]]&amp;"-00-00-00",CATALOGO[Código],0))</f>
        <v>PRESTAMOS BANCARIOS</v>
      </c>
      <c r="J10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8" s="161" t="str">
        <f>IF((EJECUTADO[[#This Row],[MONTO DISPONIBLE ]]-EJECUTADO[[#This Row],[MONTO SOLICITADO]])&gt;=0,"PRESUPUESTO: SI","PRESUPUESTO: NO")</f>
        <v>PRESUPUESTO: SI</v>
      </c>
      <c r="L1018" s="162">
        <f>SUMIF(PRESUPUESTO[CUENTA],EJECUTADO[[#This Row],[CUENTA]],PRESUPUESTO[MONTO])-SUMIF($F$1:F1017,EJECUTADO[[#This Row],[CUENTA]],$M$1:M1017)</f>
        <v>113242.93</v>
      </c>
      <c r="M1018" s="2">
        <v>5.65</v>
      </c>
      <c r="N1018" s="84"/>
      <c r="O1018" s="84"/>
      <c r="P1018" s="162">
        <f>+EJECUTADO[[#This Row],[MONTO SOLICITADO]]-EJECUTADO[[#This Row],[RETENCION IVA]]-EJECUTADO[[#This Row],[RETENCION ISR]]</f>
        <v>5.65</v>
      </c>
      <c r="Q1018" s="84" t="s">
        <v>2521</v>
      </c>
      <c r="R1018" s="84"/>
      <c r="S1018">
        <v>1</v>
      </c>
      <c r="T1018" s="168" t="str">
        <f t="shared" si="38"/>
        <v>PRESTAMOS BANCARIOS - COMISIONES BANCARIOS Disponible $113242.93 Solicitado $5.65 PRESUPUESTO: SI</v>
      </c>
    </row>
    <row r="1019" spans="1:20" ht="60" x14ac:dyDescent="0.25">
      <c r="A1019" s="6">
        <f t="shared" si="36"/>
        <v>929</v>
      </c>
      <c r="B1019" s="21">
        <v>45321</v>
      </c>
      <c r="C1019" s="126" t="s">
        <v>2518</v>
      </c>
      <c r="D1019" s="65" t="s">
        <v>2536</v>
      </c>
      <c r="E1019" s="65" t="s">
        <v>2537</v>
      </c>
      <c r="F1019" t="s">
        <v>1752</v>
      </c>
      <c r="G1019" s="161">
        <f>MONTH(EJECUTADO[[#This Row],[FECHA]])</f>
        <v>1</v>
      </c>
      <c r="H1019" s="163" t="str">
        <f>MID(EJECUTADO[[#This Row],[CUENTA]],1,4)</f>
        <v>E-02</v>
      </c>
      <c r="I1019" s="163" t="str">
        <f>INDEX(CATALOGO[Descripción],MATCH(EJECUTADO[[#This Row],[APLICACIÓN]]&amp;"-00-00-00",CATALOGO[Código],0))</f>
        <v>PRESTAMOS BANCARIOS</v>
      </c>
      <c r="J10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19" s="161" t="str">
        <f>IF((EJECUTADO[[#This Row],[MONTO DISPONIBLE ]]-EJECUTADO[[#This Row],[MONTO SOLICITADO]])&gt;=0,"PRESUPUESTO: SI","PRESUPUESTO: NO")</f>
        <v>PRESUPUESTO: SI</v>
      </c>
      <c r="L1019" s="162">
        <f>SUMIF(PRESUPUESTO[CUENTA],EJECUTADO[[#This Row],[CUENTA]],PRESUPUESTO[MONTO])-SUMIF($F$1:F1018,EJECUTADO[[#This Row],[CUENTA]],$M$1:M1018)</f>
        <v>113237.28</v>
      </c>
      <c r="M1019" s="2">
        <v>2.83</v>
      </c>
      <c r="N1019" s="84"/>
      <c r="O1019" s="84"/>
      <c r="P1019" s="162">
        <f>+EJECUTADO[[#This Row],[MONTO SOLICITADO]]-EJECUTADO[[#This Row],[RETENCION IVA]]-EJECUTADO[[#This Row],[RETENCION ISR]]</f>
        <v>2.83</v>
      </c>
      <c r="Q1019" s="84" t="s">
        <v>2521</v>
      </c>
      <c r="R1019" s="84"/>
      <c r="S1019">
        <v>1</v>
      </c>
      <c r="T1019" s="168" t="str">
        <f t="shared" si="38"/>
        <v>PRESTAMOS BANCARIOS - COMISIONES BANCARIOS Disponible $113237.28 Solicitado $2.83 PRESUPUESTO: SI</v>
      </c>
    </row>
    <row r="1020" spans="1:20" ht="60" x14ac:dyDescent="0.25">
      <c r="A1020" s="6">
        <f t="shared" si="36"/>
        <v>930</v>
      </c>
      <c r="B1020" s="21">
        <v>45324</v>
      </c>
      <c r="C1020" s="126" t="s">
        <v>2518</v>
      </c>
      <c r="D1020" s="65" t="s">
        <v>2538</v>
      </c>
      <c r="E1020" s="65" t="s">
        <v>2539</v>
      </c>
      <c r="F1020" t="s">
        <v>1752</v>
      </c>
      <c r="G1020" s="161">
        <f>MONTH(EJECUTADO[[#This Row],[FECHA]])</f>
        <v>2</v>
      </c>
      <c r="H1020" s="163" t="str">
        <f>MID(EJECUTADO[[#This Row],[CUENTA]],1,4)</f>
        <v>E-02</v>
      </c>
      <c r="I1020" s="163" t="str">
        <f>INDEX(CATALOGO[Descripción],MATCH(EJECUTADO[[#This Row],[APLICACIÓN]]&amp;"-00-00-00",CATALOGO[Código],0))</f>
        <v>PRESTAMOS BANCARIOS</v>
      </c>
      <c r="J10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0" s="161" t="str">
        <f>IF((EJECUTADO[[#This Row],[MONTO DISPONIBLE ]]-EJECUTADO[[#This Row],[MONTO SOLICITADO]])&gt;=0,"PRESUPUESTO: SI","PRESUPUESTO: NO")</f>
        <v>PRESUPUESTO: SI</v>
      </c>
      <c r="L1020" s="162">
        <f>SUMIF(PRESUPUESTO[CUENTA],EJECUTADO[[#This Row],[CUENTA]],PRESUPUESTO[MONTO])-SUMIF($F$1:F1019,EJECUTADO[[#This Row],[CUENTA]],$M$1:M1019)</f>
        <v>113234.45</v>
      </c>
      <c r="M1020" s="2">
        <v>2.83</v>
      </c>
      <c r="N1020" s="84"/>
      <c r="O1020" s="84"/>
      <c r="P1020" s="162">
        <f>+EJECUTADO[[#This Row],[MONTO SOLICITADO]]-EJECUTADO[[#This Row],[RETENCION IVA]]-EJECUTADO[[#This Row],[RETENCION ISR]]</f>
        <v>2.83</v>
      </c>
      <c r="Q1020" s="84" t="s">
        <v>2521</v>
      </c>
      <c r="R1020" s="84"/>
      <c r="S1020">
        <v>1</v>
      </c>
      <c r="T1020" s="168" t="str">
        <f t="shared" si="38"/>
        <v>PRESTAMOS BANCARIOS - COMISIONES BANCARIOS Disponible $113234.45 Solicitado $2.83 PRESUPUESTO: SI</v>
      </c>
    </row>
    <row r="1021" spans="1:20" ht="60" x14ac:dyDescent="0.25">
      <c r="A1021" s="6">
        <f t="shared" si="36"/>
        <v>931</v>
      </c>
      <c r="B1021" s="21">
        <v>45331</v>
      </c>
      <c r="C1021" s="126" t="s">
        <v>2518</v>
      </c>
      <c r="D1021" s="65" t="s">
        <v>2540</v>
      </c>
      <c r="E1021" s="65" t="s">
        <v>2541</v>
      </c>
      <c r="F1021" t="s">
        <v>1752</v>
      </c>
      <c r="G1021" s="161">
        <f>MONTH(EJECUTADO[[#This Row],[FECHA]])</f>
        <v>2</v>
      </c>
      <c r="H1021" s="163" t="str">
        <f>MID(EJECUTADO[[#This Row],[CUENTA]],1,4)</f>
        <v>E-02</v>
      </c>
      <c r="I1021" s="163" t="str">
        <f>INDEX(CATALOGO[Descripción],MATCH(EJECUTADO[[#This Row],[APLICACIÓN]]&amp;"-00-00-00",CATALOGO[Código],0))</f>
        <v>PRESTAMOS BANCARIOS</v>
      </c>
      <c r="J10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1" s="161" t="str">
        <f>IF((EJECUTADO[[#This Row],[MONTO DISPONIBLE ]]-EJECUTADO[[#This Row],[MONTO SOLICITADO]])&gt;=0,"PRESUPUESTO: SI","PRESUPUESTO: NO")</f>
        <v>PRESUPUESTO: SI</v>
      </c>
      <c r="L1021" s="162">
        <f>SUMIF(PRESUPUESTO[CUENTA],EJECUTADO[[#This Row],[CUENTA]],PRESUPUESTO[MONTO])-SUMIF($F$1:F1020,EJECUTADO[[#This Row],[CUENTA]],$M$1:M1020)</f>
        <v>113231.62</v>
      </c>
      <c r="M1021" s="2">
        <v>2.83</v>
      </c>
      <c r="N1021" s="84"/>
      <c r="O1021" s="84"/>
      <c r="P1021" s="162">
        <f>+EJECUTADO[[#This Row],[MONTO SOLICITADO]]-EJECUTADO[[#This Row],[RETENCION IVA]]-EJECUTADO[[#This Row],[RETENCION ISR]]</f>
        <v>2.83</v>
      </c>
      <c r="Q1021" s="84" t="s">
        <v>2521</v>
      </c>
      <c r="R1021" s="84"/>
      <c r="S1021">
        <v>1</v>
      </c>
      <c r="T1021" s="168" t="str">
        <f t="shared" si="38"/>
        <v>PRESTAMOS BANCARIOS - COMISIONES BANCARIOS Disponible $113231.62 Solicitado $2.83 PRESUPUESTO: SI</v>
      </c>
    </row>
    <row r="1022" spans="1:20" ht="60" x14ac:dyDescent="0.25">
      <c r="A1022" s="6">
        <f t="shared" si="36"/>
        <v>932</v>
      </c>
      <c r="B1022" s="21">
        <v>45336</v>
      </c>
      <c r="C1022" s="126" t="s">
        <v>2518</v>
      </c>
      <c r="D1022" s="65" t="s">
        <v>2542</v>
      </c>
      <c r="E1022" s="65" t="s">
        <v>2543</v>
      </c>
      <c r="F1022" t="s">
        <v>1752</v>
      </c>
      <c r="G1022" s="161">
        <f>MONTH(EJECUTADO[[#This Row],[FECHA]])</f>
        <v>2</v>
      </c>
      <c r="H1022" s="163" t="str">
        <f>MID(EJECUTADO[[#This Row],[CUENTA]],1,4)</f>
        <v>E-02</v>
      </c>
      <c r="I1022" s="163" t="str">
        <f>INDEX(CATALOGO[Descripción],MATCH(EJECUTADO[[#This Row],[APLICACIÓN]]&amp;"-00-00-00",CATALOGO[Código],0))</f>
        <v>PRESTAMOS BANCARIOS</v>
      </c>
      <c r="J10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2" s="161" t="str">
        <f>IF((EJECUTADO[[#This Row],[MONTO DISPONIBLE ]]-EJECUTADO[[#This Row],[MONTO SOLICITADO]])&gt;=0,"PRESUPUESTO: SI","PRESUPUESTO: NO")</f>
        <v>PRESUPUESTO: SI</v>
      </c>
      <c r="L1022" s="162">
        <f>SUMIF(PRESUPUESTO[CUENTA],EJECUTADO[[#This Row],[CUENTA]],PRESUPUESTO[MONTO])-SUMIF($F$1:F1021,EJECUTADO[[#This Row],[CUENTA]],$M$1:M1021)</f>
        <v>113228.79000000001</v>
      </c>
      <c r="M1022" s="2">
        <v>2.83</v>
      </c>
      <c r="N1022" s="84"/>
      <c r="O1022" s="84"/>
      <c r="P1022" s="162">
        <f>+EJECUTADO[[#This Row],[MONTO SOLICITADO]]-EJECUTADO[[#This Row],[RETENCION IVA]]-EJECUTADO[[#This Row],[RETENCION ISR]]</f>
        <v>2.83</v>
      </c>
      <c r="Q1022" s="84" t="s">
        <v>2521</v>
      </c>
      <c r="R1022" s="84"/>
      <c r="S1022">
        <v>1</v>
      </c>
      <c r="T1022" s="168" t="str">
        <f t="shared" si="38"/>
        <v>PRESTAMOS BANCARIOS - COMISIONES BANCARIOS Disponible $113228.79 Solicitado $2.83 PRESUPUESTO: SI</v>
      </c>
    </row>
    <row r="1023" spans="1:20" ht="60" x14ac:dyDescent="0.25">
      <c r="A1023" s="6">
        <f t="shared" si="36"/>
        <v>933</v>
      </c>
      <c r="B1023" s="21">
        <v>45345</v>
      </c>
      <c r="C1023" s="126" t="s">
        <v>2518</v>
      </c>
      <c r="D1023" s="65" t="s">
        <v>2544</v>
      </c>
      <c r="E1023" s="65" t="s">
        <v>2545</v>
      </c>
      <c r="F1023" t="s">
        <v>1752</v>
      </c>
      <c r="G1023" s="161">
        <f>MONTH(EJECUTADO[[#This Row],[FECHA]])</f>
        <v>2</v>
      </c>
      <c r="H1023" s="163" t="str">
        <f>MID(EJECUTADO[[#This Row],[CUENTA]],1,4)</f>
        <v>E-02</v>
      </c>
      <c r="I1023" s="163" t="str">
        <f>INDEX(CATALOGO[Descripción],MATCH(EJECUTADO[[#This Row],[APLICACIÓN]]&amp;"-00-00-00",CATALOGO[Código],0))</f>
        <v>PRESTAMOS BANCARIOS</v>
      </c>
      <c r="J10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3" s="161" t="str">
        <f>IF((EJECUTADO[[#This Row],[MONTO DISPONIBLE ]]-EJECUTADO[[#This Row],[MONTO SOLICITADO]])&gt;=0,"PRESUPUESTO: SI","PRESUPUESTO: NO")</f>
        <v>PRESUPUESTO: SI</v>
      </c>
      <c r="L1023" s="162">
        <f>SUMIF(PRESUPUESTO[CUENTA],EJECUTADO[[#This Row],[CUENTA]],PRESUPUESTO[MONTO])-SUMIF($F$1:F1022,EJECUTADO[[#This Row],[CUENTA]],$M$1:M1022)</f>
        <v>113225.96</v>
      </c>
      <c r="M1023" s="2">
        <v>8.48</v>
      </c>
      <c r="N1023" s="84"/>
      <c r="O1023" s="84"/>
      <c r="P1023" s="162">
        <f>+EJECUTADO[[#This Row],[MONTO SOLICITADO]]-EJECUTADO[[#This Row],[RETENCION IVA]]-EJECUTADO[[#This Row],[RETENCION ISR]]</f>
        <v>8.48</v>
      </c>
      <c r="Q1023" s="84" t="s">
        <v>2521</v>
      </c>
      <c r="R1023" s="84"/>
      <c r="S1023">
        <v>1</v>
      </c>
      <c r="T1023" s="168" t="str">
        <f t="shared" si="38"/>
        <v>PRESTAMOS BANCARIOS - COMISIONES BANCARIOS Disponible $113225.96 Solicitado $8.48 PRESUPUESTO: SI</v>
      </c>
    </row>
    <row r="1024" spans="1:20" ht="60" x14ac:dyDescent="0.25">
      <c r="A1024" s="6">
        <f t="shared" si="36"/>
        <v>934</v>
      </c>
      <c r="B1024" s="21">
        <v>45352</v>
      </c>
      <c r="C1024" s="126" t="s">
        <v>2518</v>
      </c>
      <c r="D1024" s="65" t="s">
        <v>2546</v>
      </c>
      <c r="E1024" s="65" t="s">
        <v>2547</v>
      </c>
      <c r="F1024" t="s">
        <v>1752</v>
      </c>
      <c r="G1024" s="161">
        <f>MONTH(EJECUTADO[[#This Row],[FECHA]])</f>
        <v>3</v>
      </c>
      <c r="H1024" s="163" t="str">
        <f>MID(EJECUTADO[[#This Row],[CUENTA]],1,4)</f>
        <v>E-02</v>
      </c>
      <c r="I1024" s="163" t="str">
        <f>INDEX(CATALOGO[Descripción],MATCH(EJECUTADO[[#This Row],[APLICACIÓN]]&amp;"-00-00-00",CATALOGO[Código],0))</f>
        <v>PRESTAMOS BANCARIOS</v>
      </c>
      <c r="J10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4" s="161" t="str">
        <f>IF((EJECUTADO[[#This Row],[MONTO DISPONIBLE ]]-EJECUTADO[[#This Row],[MONTO SOLICITADO]])&gt;=0,"PRESUPUESTO: SI","PRESUPUESTO: NO")</f>
        <v>PRESUPUESTO: SI</v>
      </c>
      <c r="L1024" s="162">
        <f>SUMIF(PRESUPUESTO[CUENTA],EJECUTADO[[#This Row],[CUENTA]],PRESUPUESTO[MONTO])-SUMIF($F$1:F1023,EJECUTADO[[#This Row],[CUENTA]],$M$1:M1023)</f>
        <v>113217.48</v>
      </c>
      <c r="M1024" s="2">
        <v>2.83</v>
      </c>
      <c r="N1024" s="84"/>
      <c r="O1024" s="84"/>
      <c r="P1024" s="162">
        <f>+EJECUTADO[[#This Row],[MONTO SOLICITADO]]-EJECUTADO[[#This Row],[RETENCION IVA]]-EJECUTADO[[#This Row],[RETENCION ISR]]</f>
        <v>2.83</v>
      </c>
      <c r="Q1024" s="84" t="s">
        <v>2521</v>
      </c>
      <c r="R1024" s="84"/>
      <c r="S1024">
        <v>1</v>
      </c>
      <c r="T1024" s="168" t="str">
        <f t="shared" si="38"/>
        <v>PRESTAMOS BANCARIOS - COMISIONES BANCARIOS Disponible $113217.48 Solicitado $2.83 PRESUPUESTO: SI</v>
      </c>
    </row>
    <row r="1025" spans="1:20" ht="60" x14ac:dyDescent="0.25">
      <c r="A1025" s="6">
        <f t="shared" si="36"/>
        <v>935</v>
      </c>
      <c r="B1025" s="21">
        <v>45356</v>
      </c>
      <c r="C1025" s="126" t="s">
        <v>2518</v>
      </c>
      <c r="D1025" s="65" t="s">
        <v>2548</v>
      </c>
      <c r="E1025" s="65" t="s">
        <v>2549</v>
      </c>
      <c r="F1025" t="s">
        <v>1752</v>
      </c>
      <c r="G1025" s="161">
        <f>MONTH(EJECUTADO[[#This Row],[FECHA]])</f>
        <v>3</v>
      </c>
      <c r="H1025" s="163" t="str">
        <f>MID(EJECUTADO[[#This Row],[CUENTA]],1,4)</f>
        <v>E-02</v>
      </c>
      <c r="I1025" s="163" t="str">
        <f>INDEX(CATALOGO[Descripción],MATCH(EJECUTADO[[#This Row],[APLICACIÓN]]&amp;"-00-00-00",CATALOGO[Código],0))</f>
        <v>PRESTAMOS BANCARIOS</v>
      </c>
      <c r="J10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5" s="161" t="str">
        <f>IF((EJECUTADO[[#This Row],[MONTO DISPONIBLE ]]-EJECUTADO[[#This Row],[MONTO SOLICITADO]])&gt;=0,"PRESUPUESTO: SI","PRESUPUESTO: NO")</f>
        <v>PRESUPUESTO: SI</v>
      </c>
      <c r="L1025" s="162">
        <f>SUMIF(PRESUPUESTO[CUENTA],EJECUTADO[[#This Row],[CUENTA]],PRESUPUESTO[MONTO])-SUMIF($F$1:F1024,EJECUTADO[[#This Row],[CUENTA]],$M$1:M1024)</f>
        <v>113214.65</v>
      </c>
      <c r="M1025" s="2">
        <v>2.83</v>
      </c>
      <c r="N1025" s="84"/>
      <c r="O1025" s="84"/>
      <c r="P1025" s="162">
        <f>+EJECUTADO[[#This Row],[MONTO SOLICITADO]]-EJECUTADO[[#This Row],[RETENCION IVA]]-EJECUTADO[[#This Row],[RETENCION ISR]]</f>
        <v>2.83</v>
      </c>
      <c r="Q1025" s="84" t="s">
        <v>2521</v>
      </c>
      <c r="R1025" s="84"/>
      <c r="S1025">
        <v>1</v>
      </c>
      <c r="T1025" s="168" t="str">
        <f t="shared" si="38"/>
        <v>PRESTAMOS BANCARIOS - COMISIONES BANCARIOS Disponible $113214.65 Solicitado $2.83 PRESUPUESTO: SI</v>
      </c>
    </row>
    <row r="1026" spans="1:20" ht="60" x14ac:dyDescent="0.25">
      <c r="A1026" s="6">
        <f t="shared" si="36"/>
        <v>936</v>
      </c>
      <c r="B1026" s="21">
        <v>45357</v>
      </c>
      <c r="C1026" s="126" t="s">
        <v>2518</v>
      </c>
      <c r="D1026" s="65" t="s">
        <v>2550</v>
      </c>
      <c r="E1026" s="65" t="s">
        <v>2551</v>
      </c>
      <c r="F1026" t="s">
        <v>1752</v>
      </c>
      <c r="G1026" s="161">
        <f>MONTH(EJECUTADO[[#This Row],[FECHA]])</f>
        <v>3</v>
      </c>
      <c r="H1026" s="163" t="str">
        <f>MID(EJECUTADO[[#This Row],[CUENTA]],1,4)</f>
        <v>E-02</v>
      </c>
      <c r="I1026" s="163" t="str">
        <f>INDEX(CATALOGO[Descripción],MATCH(EJECUTADO[[#This Row],[APLICACIÓN]]&amp;"-00-00-00",CATALOGO[Código],0))</f>
        <v>PRESTAMOS BANCARIOS</v>
      </c>
      <c r="J10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6" s="161" t="str">
        <f>IF((EJECUTADO[[#This Row],[MONTO DISPONIBLE ]]-EJECUTADO[[#This Row],[MONTO SOLICITADO]])&gt;=0,"PRESUPUESTO: SI","PRESUPUESTO: NO")</f>
        <v>PRESUPUESTO: SI</v>
      </c>
      <c r="L1026" s="162">
        <f>SUMIF(PRESUPUESTO[CUENTA],EJECUTADO[[#This Row],[CUENTA]],PRESUPUESTO[MONTO])-SUMIF($F$1:F1025,EJECUTADO[[#This Row],[CUENTA]],$M$1:M1025)</f>
        <v>113211.82</v>
      </c>
      <c r="M1026" s="2">
        <v>2.83</v>
      </c>
      <c r="N1026" s="84"/>
      <c r="O1026" s="84"/>
      <c r="P1026" s="162">
        <f>+EJECUTADO[[#This Row],[MONTO SOLICITADO]]-EJECUTADO[[#This Row],[RETENCION IVA]]-EJECUTADO[[#This Row],[RETENCION ISR]]</f>
        <v>2.83</v>
      </c>
      <c r="Q1026" s="84" t="s">
        <v>2521</v>
      </c>
      <c r="R1026" s="84"/>
      <c r="S1026">
        <v>1</v>
      </c>
      <c r="T1026" s="168" t="str">
        <f t="shared" si="38"/>
        <v>PRESTAMOS BANCARIOS - COMISIONES BANCARIOS Disponible $113211.82 Solicitado $2.83 PRESUPUESTO: SI</v>
      </c>
    </row>
    <row r="1027" spans="1:20" ht="60" x14ac:dyDescent="0.25">
      <c r="A1027" s="6">
        <f t="shared" si="36"/>
        <v>937</v>
      </c>
      <c r="B1027" s="21">
        <v>45359</v>
      </c>
      <c r="C1027" s="126" t="s">
        <v>2518</v>
      </c>
      <c r="D1027" s="65" t="s">
        <v>2552</v>
      </c>
      <c r="E1027" s="65" t="s">
        <v>2553</v>
      </c>
      <c r="F1027" t="s">
        <v>1752</v>
      </c>
      <c r="G1027" s="161">
        <f>MONTH(EJECUTADO[[#This Row],[FECHA]])</f>
        <v>3</v>
      </c>
      <c r="H1027" s="163" t="str">
        <f>MID(EJECUTADO[[#This Row],[CUENTA]],1,4)</f>
        <v>E-02</v>
      </c>
      <c r="I1027" s="163" t="str">
        <f>INDEX(CATALOGO[Descripción],MATCH(EJECUTADO[[#This Row],[APLICACIÓN]]&amp;"-00-00-00",CATALOGO[Código],0))</f>
        <v>PRESTAMOS BANCARIOS</v>
      </c>
      <c r="J10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7" s="161" t="str">
        <f>IF((EJECUTADO[[#This Row],[MONTO DISPONIBLE ]]-EJECUTADO[[#This Row],[MONTO SOLICITADO]])&gt;=0,"PRESUPUESTO: SI","PRESUPUESTO: NO")</f>
        <v>PRESUPUESTO: SI</v>
      </c>
      <c r="L1027" s="162">
        <f>SUMIF(PRESUPUESTO[CUENTA],EJECUTADO[[#This Row],[CUENTA]],PRESUPUESTO[MONTO])-SUMIF($F$1:F1026,EJECUTADO[[#This Row],[CUENTA]],$M$1:M1026)</f>
        <v>113208.99</v>
      </c>
      <c r="M1027" s="2">
        <v>5.65</v>
      </c>
      <c r="N1027" s="84"/>
      <c r="O1027" s="84"/>
      <c r="P1027" s="162">
        <f>+EJECUTADO[[#This Row],[MONTO SOLICITADO]]-EJECUTADO[[#This Row],[RETENCION IVA]]-EJECUTADO[[#This Row],[RETENCION ISR]]</f>
        <v>5.65</v>
      </c>
      <c r="Q1027" s="84" t="s">
        <v>2521</v>
      </c>
      <c r="R1027" s="84"/>
      <c r="S1027">
        <v>1</v>
      </c>
      <c r="T1027" s="168" t="str">
        <f t="shared" si="38"/>
        <v>PRESTAMOS BANCARIOS - COMISIONES BANCARIOS Disponible $113208.99 Solicitado $5.65 PRESUPUESTO: SI</v>
      </c>
    </row>
    <row r="1028" spans="1:20" ht="60" x14ac:dyDescent="0.25">
      <c r="A1028" s="6">
        <f t="shared" si="36"/>
        <v>938</v>
      </c>
      <c r="B1028" s="21">
        <v>45362</v>
      </c>
      <c r="C1028" s="126" t="s">
        <v>2518</v>
      </c>
      <c r="D1028" s="65" t="s">
        <v>2554</v>
      </c>
      <c r="E1028" s="65" t="s">
        <v>2555</v>
      </c>
      <c r="F1028" t="s">
        <v>1752</v>
      </c>
      <c r="G1028" s="161">
        <f>MONTH(EJECUTADO[[#This Row],[FECHA]])</f>
        <v>3</v>
      </c>
      <c r="H1028" s="163" t="str">
        <f>MID(EJECUTADO[[#This Row],[CUENTA]],1,4)</f>
        <v>E-02</v>
      </c>
      <c r="I1028" s="163" t="str">
        <f>INDEX(CATALOGO[Descripción],MATCH(EJECUTADO[[#This Row],[APLICACIÓN]]&amp;"-00-00-00",CATALOGO[Código],0))</f>
        <v>PRESTAMOS BANCARIOS</v>
      </c>
      <c r="J10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8" s="161" t="str">
        <f>IF((EJECUTADO[[#This Row],[MONTO DISPONIBLE ]]-EJECUTADO[[#This Row],[MONTO SOLICITADO]])&gt;=0,"PRESUPUESTO: SI","PRESUPUESTO: NO")</f>
        <v>PRESUPUESTO: SI</v>
      </c>
      <c r="L1028" s="162">
        <f>SUMIF(PRESUPUESTO[CUENTA],EJECUTADO[[#This Row],[CUENTA]],PRESUPUESTO[MONTO])-SUMIF($F$1:F1027,EJECUTADO[[#This Row],[CUENTA]],$M$1:M1027)</f>
        <v>113203.34</v>
      </c>
      <c r="M1028" s="2">
        <v>2.83</v>
      </c>
      <c r="N1028" s="84"/>
      <c r="O1028" s="84"/>
      <c r="P1028" s="162">
        <f>+EJECUTADO[[#This Row],[MONTO SOLICITADO]]-EJECUTADO[[#This Row],[RETENCION IVA]]-EJECUTADO[[#This Row],[RETENCION ISR]]</f>
        <v>2.83</v>
      </c>
      <c r="Q1028" s="84" t="s">
        <v>2521</v>
      </c>
      <c r="R1028" s="84"/>
      <c r="S1028">
        <v>1</v>
      </c>
      <c r="T1028" s="168" t="str">
        <f t="shared" si="38"/>
        <v>PRESTAMOS BANCARIOS - COMISIONES BANCARIOS Disponible $113203.34 Solicitado $2.83 PRESUPUESTO: SI</v>
      </c>
    </row>
    <row r="1029" spans="1:20" ht="75" x14ac:dyDescent="0.25">
      <c r="A1029" s="6">
        <f t="shared" si="36"/>
        <v>939</v>
      </c>
      <c r="B1029" s="21">
        <v>45365</v>
      </c>
      <c r="C1029" s="126" t="s">
        <v>2518</v>
      </c>
      <c r="D1029" s="65" t="s">
        <v>2556</v>
      </c>
      <c r="E1029" s="65" t="s">
        <v>2557</v>
      </c>
      <c r="F1029" t="s">
        <v>1752</v>
      </c>
      <c r="G1029" s="161">
        <f>MONTH(EJECUTADO[[#This Row],[FECHA]])</f>
        <v>3</v>
      </c>
      <c r="H1029" s="163" t="str">
        <f>MID(EJECUTADO[[#This Row],[CUENTA]],1,4)</f>
        <v>E-02</v>
      </c>
      <c r="I1029" s="163" t="str">
        <f>INDEX(CATALOGO[Descripción],MATCH(EJECUTADO[[#This Row],[APLICACIÓN]]&amp;"-00-00-00",CATALOGO[Código],0))</f>
        <v>PRESTAMOS BANCARIOS</v>
      </c>
      <c r="J10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29" s="161" t="str">
        <f>IF((EJECUTADO[[#This Row],[MONTO DISPONIBLE ]]-EJECUTADO[[#This Row],[MONTO SOLICITADO]])&gt;=0,"PRESUPUESTO: SI","PRESUPUESTO: NO")</f>
        <v>PRESUPUESTO: SI</v>
      </c>
      <c r="L1029" s="162">
        <f>SUMIF(PRESUPUESTO[CUENTA],EJECUTADO[[#This Row],[CUENTA]],PRESUPUESTO[MONTO])-SUMIF($F$1:F1028,EJECUTADO[[#This Row],[CUENTA]],$M$1:M1028)</f>
        <v>113200.51000000001</v>
      </c>
      <c r="M1029" s="2">
        <v>2.83</v>
      </c>
      <c r="N1029" s="84"/>
      <c r="O1029" s="84"/>
      <c r="P1029" s="162">
        <f>+EJECUTADO[[#This Row],[MONTO SOLICITADO]]-EJECUTADO[[#This Row],[RETENCION IVA]]-EJECUTADO[[#This Row],[RETENCION ISR]]</f>
        <v>2.83</v>
      </c>
      <c r="Q1029" s="84" t="s">
        <v>2521</v>
      </c>
      <c r="R1029" s="84"/>
      <c r="S1029">
        <v>1</v>
      </c>
      <c r="T1029" s="168" t="str">
        <f t="shared" si="38"/>
        <v>PRESTAMOS BANCARIOS - COMISIONES BANCARIOS Disponible $113200.51 Solicitado $2.83 PRESUPUESTO: SI</v>
      </c>
    </row>
    <row r="1030" spans="1:20" ht="75" x14ac:dyDescent="0.25">
      <c r="A1030" s="6">
        <f t="shared" si="36"/>
        <v>940</v>
      </c>
      <c r="B1030" s="21">
        <v>45366</v>
      </c>
      <c r="C1030" s="126" t="s">
        <v>2518</v>
      </c>
      <c r="D1030" s="65" t="s">
        <v>2558</v>
      </c>
      <c r="E1030" s="65" t="s">
        <v>2559</v>
      </c>
      <c r="F1030" t="s">
        <v>1752</v>
      </c>
      <c r="G1030" s="161">
        <f>MONTH(EJECUTADO[[#This Row],[FECHA]])</f>
        <v>3</v>
      </c>
      <c r="H1030" s="163" t="str">
        <f>MID(EJECUTADO[[#This Row],[CUENTA]],1,4)</f>
        <v>E-02</v>
      </c>
      <c r="I1030" s="163" t="str">
        <f>INDEX(CATALOGO[Descripción],MATCH(EJECUTADO[[#This Row],[APLICACIÓN]]&amp;"-00-00-00",CATALOGO[Código],0))</f>
        <v>PRESTAMOS BANCARIOS</v>
      </c>
      <c r="J10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0" s="161" t="str">
        <f>IF((EJECUTADO[[#This Row],[MONTO DISPONIBLE ]]-EJECUTADO[[#This Row],[MONTO SOLICITADO]])&gt;=0,"PRESUPUESTO: SI","PRESUPUESTO: NO")</f>
        <v>PRESUPUESTO: SI</v>
      </c>
      <c r="L1030" s="162">
        <f>SUMIF(PRESUPUESTO[CUENTA],EJECUTADO[[#This Row],[CUENTA]],PRESUPUESTO[MONTO])-SUMIF($F$1:F1029,EJECUTADO[[#This Row],[CUENTA]],$M$1:M1029)</f>
        <v>113197.68000000001</v>
      </c>
      <c r="M1030" s="2">
        <v>2.83</v>
      </c>
      <c r="N1030" s="84"/>
      <c r="O1030" s="84"/>
      <c r="P1030" s="162">
        <f>+EJECUTADO[[#This Row],[MONTO SOLICITADO]]-EJECUTADO[[#This Row],[RETENCION IVA]]-EJECUTADO[[#This Row],[RETENCION ISR]]</f>
        <v>2.83</v>
      </c>
      <c r="Q1030" s="84" t="s">
        <v>2521</v>
      </c>
      <c r="R1030" s="84"/>
      <c r="S1030">
        <v>1</v>
      </c>
      <c r="T1030" s="168" t="str">
        <f t="shared" si="38"/>
        <v>PRESTAMOS BANCARIOS - COMISIONES BANCARIOS Disponible $113197.68 Solicitado $2.83 PRESUPUESTO: SI</v>
      </c>
    </row>
    <row r="1031" spans="1:20" ht="90" x14ac:dyDescent="0.25">
      <c r="A1031" s="6">
        <f t="shared" si="36"/>
        <v>941</v>
      </c>
      <c r="B1031" s="21">
        <v>45335</v>
      </c>
      <c r="C1031" s="126" t="s">
        <v>2560</v>
      </c>
      <c r="D1031" s="65" t="s">
        <v>2561</v>
      </c>
      <c r="E1031" s="65" t="s">
        <v>2562</v>
      </c>
      <c r="F1031" t="s">
        <v>1752</v>
      </c>
      <c r="G1031" s="161">
        <f>MONTH(EJECUTADO[[#This Row],[FECHA]])</f>
        <v>2</v>
      </c>
      <c r="H1031" s="163" t="str">
        <f>MID(EJECUTADO[[#This Row],[CUENTA]],1,4)</f>
        <v>E-02</v>
      </c>
      <c r="I1031" s="163" t="str">
        <f>INDEX(CATALOGO[Descripción],MATCH(EJECUTADO[[#This Row],[APLICACIÓN]]&amp;"-00-00-00",CATALOGO[Código],0))</f>
        <v>PRESTAMOS BANCARIOS</v>
      </c>
      <c r="J10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1" s="161" t="str">
        <f>IF((EJECUTADO[[#This Row],[MONTO DISPONIBLE ]]-EJECUTADO[[#This Row],[MONTO SOLICITADO]])&gt;=0,"PRESUPUESTO: SI","PRESUPUESTO: NO")</f>
        <v>PRESUPUESTO: SI</v>
      </c>
      <c r="L1031" s="162">
        <f>SUMIF(PRESUPUESTO[CUENTA],EJECUTADO[[#This Row],[CUENTA]],PRESUPUESTO[MONTO])-SUMIF($F$1:F1030,EJECUTADO[[#This Row],[CUENTA]],$M$1:M1030)</f>
        <v>113194.85</v>
      </c>
      <c r="M1031" s="2">
        <v>28.25</v>
      </c>
      <c r="N1031" s="84"/>
      <c r="O1031" s="84"/>
      <c r="P1031" s="162">
        <f>+EJECUTADO[[#This Row],[MONTO SOLICITADO]]-EJECUTADO[[#This Row],[RETENCION IVA]]-EJECUTADO[[#This Row],[RETENCION ISR]]</f>
        <v>28.25</v>
      </c>
      <c r="Q1031" s="84" t="s">
        <v>2521</v>
      </c>
      <c r="R1031" s="84"/>
      <c r="S1031">
        <v>1</v>
      </c>
      <c r="T1031" s="168" t="str">
        <f t="shared" si="38"/>
        <v>PRESTAMOS BANCARIOS - COMISIONES BANCARIOS Disponible $113194.85 Solicitado $28.25 PRESUPUESTO: SI</v>
      </c>
    </row>
    <row r="1032" spans="1:20" ht="75" x14ac:dyDescent="0.25">
      <c r="A1032" s="6">
        <f t="shared" si="36"/>
        <v>942</v>
      </c>
      <c r="B1032" s="21">
        <v>45349</v>
      </c>
      <c r="C1032" s="126" t="s">
        <v>2560</v>
      </c>
      <c r="D1032" s="65" t="s">
        <v>2563</v>
      </c>
      <c r="E1032" s="65" t="s">
        <v>2564</v>
      </c>
      <c r="F1032" t="s">
        <v>1752</v>
      </c>
      <c r="G1032" s="161">
        <f>MONTH(EJECUTADO[[#This Row],[FECHA]])</f>
        <v>2</v>
      </c>
      <c r="H1032" s="163" t="str">
        <f>MID(EJECUTADO[[#This Row],[CUENTA]],1,4)</f>
        <v>E-02</v>
      </c>
      <c r="I1032" s="163" t="str">
        <f>INDEX(CATALOGO[Descripción],MATCH(EJECUTADO[[#This Row],[APLICACIÓN]]&amp;"-00-00-00",CATALOGO[Código],0))</f>
        <v>PRESTAMOS BANCARIOS</v>
      </c>
      <c r="J10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2" s="161" t="str">
        <f>IF((EJECUTADO[[#This Row],[MONTO DISPONIBLE ]]-EJECUTADO[[#This Row],[MONTO SOLICITADO]])&gt;=0,"PRESUPUESTO: SI","PRESUPUESTO: NO")</f>
        <v>PRESUPUESTO: SI</v>
      </c>
      <c r="L1032" s="162">
        <f>SUMIF(PRESUPUESTO[CUENTA],EJECUTADO[[#This Row],[CUENTA]],PRESUPUESTO[MONTO])-SUMIF($F$1:F1031,EJECUTADO[[#This Row],[CUENTA]],$M$1:M1031)</f>
        <v>113166.6</v>
      </c>
      <c r="M1032" s="2">
        <v>2.83</v>
      </c>
      <c r="N1032" s="84"/>
      <c r="O1032" s="84"/>
      <c r="P1032" s="162">
        <f>+EJECUTADO[[#This Row],[MONTO SOLICITADO]]-EJECUTADO[[#This Row],[RETENCION IVA]]-EJECUTADO[[#This Row],[RETENCION ISR]]</f>
        <v>2.83</v>
      </c>
      <c r="Q1032" s="84" t="s">
        <v>2521</v>
      </c>
      <c r="R1032" s="84"/>
      <c r="S1032">
        <v>1</v>
      </c>
      <c r="T1032" s="168" t="str">
        <f t="shared" si="38"/>
        <v>PRESTAMOS BANCARIOS - COMISIONES BANCARIOS Disponible $113166.6 Solicitado $2.83 PRESUPUESTO: SI</v>
      </c>
    </row>
    <row r="1033" spans="1:20" ht="75" x14ac:dyDescent="0.25">
      <c r="A1033" s="6">
        <f t="shared" si="36"/>
        <v>943</v>
      </c>
      <c r="B1033" s="21">
        <v>45357</v>
      </c>
      <c r="C1033" s="126" t="s">
        <v>2560</v>
      </c>
      <c r="D1033" s="65" t="s">
        <v>2565</v>
      </c>
      <c r="E1033" s="65" t="s">
        <v>2566</v>
      </c>
      <c r="F1033" t="s">
        <v>1752</v>
      </c>
      <c r="G1033" s="161">
        <f>MONTH(EJECUTADO[[#This Row],[FECHA]])</f>
        <v>3</v>
      </c>
      <c r="H1033" s="163" t="str">
        <f>MID(EJECUTADO[[#This Row],[CUENTA]],1,4)</f>
        <v>E-02</v>
      </c>
      <c r="I1033" s="163" t="str">
        <f>INDEX(CATALOGO[Descripción],MATCH(EJECUTADO[[#This Row],[APLICACIÓN]]&amp;"-00-00-00",CATALOGO[Código],0))</f>
        <v>PRESTAMOS BANCARIOS</v>
      </c>
      <c r="J10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3" s="161" t="str">
        <f>IF((EJECUTADO[[#This Row],[MONTO DISPONIBLE ]]-EJECUTADO[[#This Row],[MONTO SOLICITADO]])&gt;=0,"PRESUPUESTO: SI","PRESUPUESTO: NO")</f>
        <v>PRESUPUESTO: SI</v>
      </c>
      <c r="L1033" s="162">
        <f>SUMIF(PRESUPUESTO[CUENTA],EJECUTADO[[#This Row],[CUENTA]],PRESUPUESTO[MONTO])-SUMIF($F$1:F1032,EJECUTADO[[#This Row],[CUENTA]],$M$1:M1032)</f>
        <v>113163.77</v>
      </c>
      <c r="M1033" s="2">
        <v>33.9</v>
      </c>
      <c r="N1033" s="84"/>
      <c r="O1033" s="84"/>
      <c r="P1033" s="162">
        <f>+EJECUTADO[[#This Row],[MONTO SOLICITADO]]-EJECUTADO[[#This Row],[RETENCION IVA]]-EJECUTADO[[#This Row],[RETENCION ISR]]</f>
        <v>33.9</v>
      </c>
      <c r="Q1033" s="84" t="s">
        <v>2521</v>
      </c>
      <c r="R1033" s="84"/>
      <c r="S1033">
        <v>1</v>
      </c>
      <c r="T1033" s="168" t="str">
        <f t="shared" si="38"/>
        <v>PRESTAMOS BANCARIOS - COMISIONES BANCARIOS Disponible $113163.77 Solicitado $33.9 PRESUPUESTO: SI</v>
      </c>
    </row>
    <row r="1034" spans="1:20" ht="75" x14ac:dyDescent="0.25">
      <c r="A1034" s="6">
        <f t="shared" si="36"/>
        <v>944</v>
      </c>
      <c r="B1034" s="21">
        <v>45322</v>
      </c>
      <c r="C1034" s="126" t="s">
        <v>2567</v>
      </c>
      <c r="D1034" s="65" t="s">
        <v>2568</v>
      </c>
      <c r="E1034" s="65" t="s">
        <v>2569</v>
      </c>
      <c r="F1034" t="s">
        <v>1752</v>
      </c>
      <c r="G1034" s="161">
        <f>MONTH(EJECUTADO[[#This Row],[FECHA]])</f>
        <v>1</v>
      </c>
      <c r="H1034" s="163" t="str">
        <f>MID(EJECUTADO[[#This Row],[CUENTA]],1,4)</f>
        <v>E-02</v>
      </c>
      <c r="I1034" s="163" t="str">
        <f>INDEX(CATALOGO[Descripción],MATCH(EJECUTADO[[#This Row],[APLICACIÓN]]&amp;"-00-00-00",CATALOGO[Código],0))</f>
        <v>PRESTAMOS BANCARIOS</v>
      </c>
      <c r="J10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4" s="161" t="str">
        <f>IF((EJECUTADO[[#This Row],[MONTO DISPONIBLE ]]-EJECUTADO[[#This Row],[MONTO SOLICITADO]])&gt;=0,"PRESUPUESTO: SI","PRESUPUESTO: NO")</f>
        <v>PRESUPUESTO: SI</v>
      </c>
      <c r="L1034" s="162">
        <f>SUMIF(PRESUPUESTO[CUENTA],EJECUTADO[[#This Row],[CUENTA]],PRESUPUESTO[MONTO])-SUMIF($F$1:F1033,EJECUTADO[[#This Row],[CUENTA]],$M$1:M1033)</f>
        <v>113129.87</v>
      </c>
      <c r="M1034" s="2">
        <v>161.78</v>
      </c>
      <c r="N1034" s="84"/>
      <c r="O1034" s="84"/>
      <c r="P1034" s="162">
        <f>+EJECUTADO[[#This Row],[MONTO SOLICITADO]]-EJECUTADO[[#This Row],[RETENCION IVA]]-EJECUTADO[[#This Row],[RETENCION ISR]]</f>
        <v>161.78</v>
      </c>
      <c r="Q1034" s="84" t="s">
        <v>2521</v>
      </c>
      <c r="R1034" s="84"/>
      <c r="S1034">
        <v>1</v>
      </c>
      <c r="T1034" s="168" t="str">
        <f t="shared" si="38"/>
        <v>PRESTAMOS BANCARIOS - COMISIONES BANCARIOS Disponible $113129.87 Solicitado $161.78 PRESUPUESTO: SI</v>
      </c>
    </row>
    <row r="1035" spans="1:20" ht="75" x14ac:dyDescent="0.25">
      <c r="A1035" s="6">
        <f t="shared" si="36"/>
        <v>945</v>
      </c>
      <c r="B1035" s="21">
        <v>45310</v>
      </c>
      <c r="C1035" s="126" t="s">
        <v>2570</v>
      </c>
      <c r="D1035" s="65" t="s">
        <v>2571</v>
      </c>
      <c r="E1035" s="65" t="s">
        <v>2572</v>
      </c>
      <c r="F1035" t="s">
        <v>1752</v>
      </c>
      <c r="G1035" s="161">
        <f>MONTH(EJECUTADO[[#This Row],[FECHA]])</f>
        <v>1</v>
      </c>
      <c r="H1035" s="163" t="str">
        <f>MID(EJECUTADO[[#This Row],[CUENTA]],1,4)</f>
        <v>E-02</v>
      </c>
      <c r="I1035" s="163" t="str">
        <f>INDEX(CATALOGO[Descripción],MATCH(EJECUTADO[[#This Row],[APLICACIÓN]]&amp;"-00-00-00",CATALOGO[Código],0))</f>
        <v>PRESTAMOS BANCARIOS</v>
      </c>
      <c r="J10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5" s="161" t="str">
        <f>IF((EJECUTADO[[#This Row],[MONTO DISPONIBLE ]]-EJECUTADO[[#This Row],[MONTO SOLICITADO]])&gt;=0,"PRESUPUESTO: SI","PRESUPUESTO: NO")</f>
        <v>PRESUPUESTO: SI</v>
      </c>
      <c r="L1035" s="162">
        <f>SUMIF(PRESUPUESTO[CUENTA],EJECUTADO[[#This Row],[CUENTA]],PRESUPUESTO[MONTO])-SUMIF($F$1:F1034,EJECUTADO[[#This Row],[CUENTA]],$M$1:M1034)</f>
        <v>112968.09</v>
      </c>
      <c r="M1035" s="2">
        <v>16.95</v>
      </c>
      <c r="N1035" s="84"/>
      <c r="O1035" s="84"/>
      <c r="P1035" s="162">
        <f>+EJECUTADO[[#This Row],[MONTO SOLICITADO]]-EJECUTADO[[#This Row],[RETENCION IVA]]-EJECUTADO[[#This Row],[RETENCION ISR]]</f>
        <v>16.95</v>
      </c>
      <c r="Q1035" s="84" t="s">
        <v>2521</v>
      </c>
      <c r="R1035" s="84"/>
      <c r="S1035">
        <v>1</v>
      </c>
      <c r="T1035" s="168" t="str">
        <f t="shared" si="38"/>
        <v>PRESTAMOS BANCARIOS - COMISIONES BANCARIOS Disponible $112968.09 Solicitado $16.95 PRESUPUESTO: SI</v>
      </c>
    </row>
    <row r="1036" spans="1:20" ht="75" x14ac:dyDescent="0.25">
      <c r="A1036" s="6">
        <f t="shared" si="36"/>
        <v>946</v>
      </c>
      <c r="B1036" s="21">
        <v>45336</v>
      </c>
      <c r="C1036" s="126" t="s">
        <v>2570</v>
      </c>
      <c r="D1036" s="65" t="s">
        <v>2573</v>
      </c>
      <c r="E1036" s="65" t="s">
        <v>2574</v>
      </c>
      <c r="F1036" t="s">
        <v>1752</v>
      </c>
      <c r="G1036" s="161">
        <f>MONTH(EJECUTADO[[#This Row],[FECHA]])</f>
        <v>2</v>
      </c>
      <c r="H1036" s="163" t="str">
        <f>MID(EJECUTADO[[#This Row],[CUENTA]],1,4)</f>
        <v>E-02</v>
      </c>
      <c r="I1036" s="163" t="str">
        <f>INDEX(CATALOGO[Descripción],MATCH(EJECUTADO[[#This Row],[APLICACIÓN]]&amp;"-00-00-00",CATALOGO[Código],0))</f>
        <v>PRESTAMOS BANCARIOS</v>
      </c>
      <c r="J10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6" s="161" t="str">
        <f>IF((EJECUTADO[[#This Row],[MONTO DISPONIBLE ]]-EJECUTADO[[#This Row],[MONTO SOLICITADO]])&gt;=0,"PRESUPUESTO: SI","PRESUPUESTO: NO")</f>
        <v>PRESUPUESTO: SI</v>
      </c>
      <c r="L1036" s="162">
        <f>SUMIF(PRESUPUESTO[CUENTA],EJECUTADO[[#This Row],[CUENTA]],PRESUPUESTO[MONTO])-SUMIF($F$1:F1035,EJECUTADO[[#This Row],[CUENTA]],$M$1:M1035)</f>
        <v>112951.14</v>
      </c>
      <c r="M1036" s="2">
        <v>1.7</v>
      </c>
      <c r="N1036" s="84"/>
      <c r="O1036" s="84"/>
      <c r="P1036" s="162">
        <f>+EJECUTADO[[#This Row],[MONTO SOLICITADO]]-EJECUTADO[[#This Row],[RETENCION IVA]]-EJECUTADO[[#This Row],[RETENCION ISR]]</f>
        <v>1.7</v>
      </c>
      <c r="Q1036" s="84" t="s">
        <v>2521</v>
      </c>
      <c r="R1036" s="84"/>
      <c r="S1036">
        <v>1</v>
      </c>
      <c r="T1036" s="168" t="str">
        <f t="shared" si="38"/>
        <v>PRESTAMOS BANCARIOS - COMISIONES BANCARIOS Disponible $112951.14 Solicitado $1.7 PRESUPUESTO: SI</v>
      </c>
    </row>
    <row r="1037" spans="1:20" ht="75" x14ac:dyDescent="0.25">
      <c r="A1037" s="6">
        <f t="shared" si="36"/>
        <v>947</v>
      </c>
      <c r="B1037" s="21">
        <v>45349</v>
      </c>
      <c r="C1037" s="126" t="s">
        <v>2570</v>
      </c>
      <c r="D1037" s="65" t="s">
        <v>2573</v>
      </c>
      <c r="E1037" s="65" t="s">
        <v>2575</v>
      </c>
      <c r="F1037" t="s">
        <v>1752</v>
      </c>
      <c r="G1037" s="161">
        <f>MONTH(EJECUTADO[[#This Row],[FECHA]])</f>
        <v>2</v>
      </c>
      <c r="H1037" s="163" t="str">
        <f>MID(EJECUTADO[[#This Row],[CUENTA]],1,4)</f>
        <v>E-02</v>
      </c>
      <c r="I1037" s="163" t="str">
        <f>INDEX(CATALOGO[Descripción],MATCH(EJECUTADO[[#This Row],[APLICACIÓN]]&amp;"-00-00-00",CATALOGO[Código],0))</f>
        <v>PRESTAMOS BANCARIOS</v>
      </c>
      <c r="J10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7" s="161" t="str">
        <f>IF((EJECUTADO[[#This Row],[MONTO DISPONIBLE ]]-EJECUTADO[[#This Row],[MONTO SOLICITADO]])&gt;=0,"PRESUPUESTO: SI","PRESUPUESTO: NO")</f>
        <v>PRESUPUESTO: SI</v>
      </c>
      <c r="L1037" s="162">
        <f>SUMIF(PRESUPUESTO[CUENTA],EJECUTADO[[#This Row],[CUENTA]],PRESUPUESTO[MONTO])-SUMIF($F$1:F1036,EJECUTADO[[#This Row],[CUENTA]],$M$1:M1036)</f>
        <v>112949.44</v>
      </c>
      <c r="M1037" s="2">
        <v>1.7</v>
      </c>
      <c r="N1037" s="84"/>
      <c r="O1037" s="84"/>
      <c r="P1037" s="162">
        <f>+EJECUTADO[[#This Row],[MONTO SOLICITADO]]-EJECUTADO[[#This Row],[RETENCION IVA]]-EJECUTADO[[#This Row],[RETENCION ISR]]</f>
        <v>1.7</v>
      </c>
      <c r="Q1037" s="84" t="s">
        <v>2521</v>
      </c>
      <c r="R1037" s="84"/>
      <c r="S1037">
        <v>1</v>
      </c>
      <c r="T1037" s="168" t="str">
        <f t="shared" si="38"/>
        <v>PRESTAMOS BANCARIOS - COMISIONES BANCARIOS Disponible $112949.44 Solicitado $1.7 PRESUPUESTO: SI</v>
      </c>
    </row>
    <row r="1038" spans="1:20" ht="75" x14ac:dyDescent="0.25">
      <c r="A1038" s="6">
        <f t="shared" si="36"/>
        <v>948</v>
      </c>
      <c r="B1038" s="21">
        <v>45366</v>
      </c>
      <c r="C1038" s="126" t="s">
        <v>2570</v>
      </c>
      <c r="D1038" s="65" t="s">
        <v>2576</v>
      </c>
      <c r="E1038" s="65" t="s">
        <v>2577</v>
      </c>
      <c r="F1038" t="s">
        <v>1752</v>
      </c>
      <c r="G1038" s="161">
        <f>MONTH(EJECUTADO[[#This Row],[FECHA]])</f>
        <v>3</v>
      </c>
      <c r="H1038" s="163" t="str">
        <f>MID(EJECUTADO[[#This Row],[CUENTA]],1,4)</f>
        <v>E-02</v>
      </c>
      <c r="I1038" s="163" t="str">
        <f>INDEX(CATALOGO[Descripción],MATCH(EJECUTADO[[#This Row],[APLICACIÓN]]&amp;"-00-00-00",CATALOGO[Código],0))</f>
        <v>PRESTAMOS BANCARIOS</v>
      </c>
      <c r="J10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8" s="161" t="str">
        <f>IF((EJECUTADO[[#This Row],[MONTO DISPONIBLE ]]-EJECUTADO[[#This Row],[MONTO SOLICITADO]])&gt;=0,"PRESUPUESTO: SI","PRESUPUESTO: NO")</f>
        <v>PRESUPUESTO: SI</v>
      </c>
      <c r="L1038" s="162">
        <f>SUMIF(PRESUPUESTO[CUENTA],EJECUTADO[[#This Row],[CUENTA]],PRESUPUESTO[MONTO])-SUMIF($F$1:F1037,EJECUTADO[[#This Row],[CUENTA]],$M$1:M1037)</f>
        <v>112947.74</v>
      </c>
      <c r="M1038" s="2">
        <v>1.7</v>
      </c>
      <c r="N1038" s="84"/>
      <c r="O1038" s="84"/>
      <c r="P1038" s="162">
        <f>+EJECUTADO[[#This Row],[MONTO SOLICITADO]]-EJECUTADO[[#This Row],[RETENCION IVA]]-EJECUTADO[[#This Row],[RETENCION ISR]]</f>
        <v>1.7</v>
      </c>
      <c r="Q1038" s="84" t="s">
        <v>2521</v>
      </c>
      <c r="R1038" s="84"/>
      <c r="S1038">
        <v>1</v>
      </c>
      <c r="T1038" s="168" t="str">
        <f t="shared" ref="T1038:T1101" si="39">_xlfn.CONCAT(I1038," - ",J1038," Disponible $",L1038," Solicitado $",M1038," ",K1038,)</f>
        <v>PRESTAMOS BANCARIOS - COMISIONES BANCARIOS Disponible $112947.74 Solicitado $1.7 PRESUPUESTO: SI</v>
      </c>
    </row>
    <row r="1039" spans="1:20" ht="90" x14ac:dyDescent="0.25">
      <c r="A1039" s="6">
        <f t="shared" si="36"/>
        <v>949</v>
      </c>
      <c r="B1039" s="21">
        <v>45331</v>
      </c>
      <c r="C1039" s="126" t="s">
        <v>2567</v>
      </c>
      <c r="D1039" s="65" t="s">
        <v>2578</v>
      </c>
      <c r="E1039" s="65" t="s">
        <v>2579</v>
      </c>
      <c r="F1039" t="s">
        <v>1752</v>
      </c>
      <c r="G1039" s="161">
        <f>MONTH(EJECUTADO[[#This Row],[FECHA]])</f>
        <v>2</v>
      </c>
      <c r="H1039" s="163" t="str">
        <f>MID(EJECUTADO[[#This Row],[CUENTA]],1,4)</f>
        <v>E-02</v>
      </c>
      <c r="I1039" s="163" t="str">
        <f>INDEX(CATALOGO[Descripción],MATCH(EJECUTADO[[#This Row],[APLICACIÓN]]&amp;"-00-00-00",CATALOGO[Código],0))</f>
        <v>PRESTAMOS BANCARIOS</v>
      </c>
      <c r="J10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39" s="161" t="str">
        <f>IF((EJECUTADO[[#This Row],[MONTO DISPONIBLE ]]-EJECUTADO[[#This Row],[MONTO SOLICITADO]])&gt;=0,"PRESUPUESTO: SI","PRESUPUESTO: NO")</f>
        <v>PRESUPUESTO: SI</v>
      </c>
      <c r="L1039" s="162">
        <f>SUMIF(PRESUPUESTO[CUENTA],EJECUTADO[[#This Row],[CUENTA]],PRESUPUESTO[MONTO])-SUMIF($F$1:F1038,EJECUTADO[[#This Row],[CUENTA]],$M$1:M1038)</f>
        <v>112946.04000000001</v>
      </c>
      <c r="M1039" s="2">
        <v>57.63</v>
      </c>
      <c r="N1039" s="84"/>
      <c r="O1039" s="84"/>
      <c r="P1039" s="162">
        <f>+EJECUTADO[[#This Row],[MONTO SOLICITADO]]-EJECUTADO[[#This Row],[RETENCION IVA]]-EJECUTADO[[#This Row],[RETENCION ISR]]</f>
        <v>57.63</v>
      </c>
      <c r="Q1039" s="84" t="s">
        <v>2521</v>
      </c>
      <c r="R1039" s="84"/>
      <c r="S1039">
        <v>1</v>
      </c>
      <c r="T1039" s="168" t="str">
        <f t="shared" si="39"/>
        <v>PRESTAMOS BANCARIOS - COMISIONES BANCARIOS Disponible $112946.04 Solicitado $57.63 PRESUPUESTO: SI</v>
      </c>
    </row>
    <row r="1040" spans="1:20" ht="60" x14ac:dyDescent="0.25">
      <c r="A1040" s="6">
        <f t="shared" si="36"/>
        <v>950</v>
      </c>
      <c r="B1040" s="21">
        <v>45323</v>
      </c>
      <c r="C1040" s="126" t="s">
        <v>2518</v>
      </c>
      <c r="D1040" s="65" t="s">
        <v>2580</v>
      </c>
      <c r="E1040" s="174" t="s">
        <v>2581</v>
      </c>
      <c r="F1040" t="s">
        <v>1752</v>
      </c>
      <c r="G1040" s="161">
        <f>MONTH(EJECUTADO[[#This Row],[FECHA]])</f>
        <v>2</v>
      </c>
      <c r="H1040" s="163" t="str">
        <f>MID(EJECUTADO[[#This Row],[CUENTA]],1,4)</f>
        <v>E-02</v>
      </c>
      <c r="I1040" s="163" t="str">
        <f>INDEX(CATALOGO[Descripción],MATCH(EJECUTADO[[#This Row],[APLICACIÓN]]&amp;"-00-00-00",CATALOGO[Código],0))</f>
        <v>PRESTAMOS BANCARIOS</v>
      </c>
      <c r="J10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0" s="161" t="str">
        <f>IF((EJECUTADO[[#This Row],[MONTO DISPONIBLE ]]-EJECUTADO[[#This Row],[MONTO SOLICITADO]])&gt;=0,"PRESUPUESTO: SI","PRESUPUESTO: NO")</f>
        <v>PRESUPUESTO: SI</v>
      </c>
      <c r="L1040" s="162">
        <f>SUMIF(PRESUPUESTO[CUENTA],EJECUTADO[[#This Row],[CUENTA]],PRESUPUESTO[MONTO])-SUMIF($F$1:F1039,EJECUTADO[[#This Row],[CUENTA]],$M$1:M1039)</f>
        <v>112888.41</v>
      </c>
      <c r="M1040" s="2">
        <v>125.43</v>
      </c>
      <c r="N1040" s="84"/>
      <c r="O1040" s="84"/>
      <c r="P1040" s="162">
        <f>+EJECUTADO[[#This Row],[MONTO SOLICITADO]]-EJECUTADO[[#This Row],[RETENCION IVA]]-EJECUTADO[[#This Row],[RETENCION ISR]]</f>
        <v>125.43</v>
      </c>
      <c r="Q1040" s="84" t="s">
        <v>2521</v>
      </c>
      <c r="R1040" s="84"/>
      <c r="S1040">
        <v>1</v>
      </c>
      <c r="T1040" s="168" t="str">
        <f t="shared" si="39"/>
        <v>PRESTAMOS BANCARIOS - COMISIONES BANCARIOS Disponible $112888.41 Solicitado $125.43 PRESUPUESTO: SI</v>
      </c>
    </row>
    <row r="1041" spans="1:20" ht="60" x14ac:dyDescent="0.25">
      <c r="A1041" s="6">
        <f t="shared" si="36"/>
        <v>951</v>
      </c>
      <c r="B1041" s="21">
        <v>45345</v>
      </c>
      <c r="C1041" s="126" t="s">
        <v>2518</v>
      </c>
      <c r="D1041" s="65" t="s">
        <v>2582</v>
      </c>
      <c r="E1041" s="174" t="s">
        <v>2583</v>
      </c>
      <c r="F1041" t="s">
        <v>1752</v>
      </c>
      <c r="G1041" s="161">
        <f>MONTH(EJECUTADO[[#This Row],[FECHA]])</f>
        <v>2</v>
      </c>
      <c r="H1041" s="163" t="str">
        <f>MID(EJECUTADO[[#This Row],[CUENTA]],1,4)</f>
        <v>E-02</v>
      </c>
      <c r="I1041" s="163" t="str">
        <f>INDEX(CATALOGO[Descripción],MATCH(EJECUTADO[[#This Row],[APLICACIÓN]]&amp;"-00-00-00",CATALOGO[Código],0))</f>
        <v>PRESTAMOS BANCARIOS</v>
      </c>
      <c r="J10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1" s="161" t="str">
        <f>IF((EJECUTADO[[#This Row],[MONTO DISPONIBLE ]]-EJECUTADO[[#This Row],[MONTO SOLICITADO]])&gt;=0,"PRESUPUESTO: SI","PRESUPUESTO: NO")</f>
        <v>PRESUPUESTO: SI</v>
      </c>
      <c r="L1041" s="162">
        <f>SUMIF(PRESUPUESTO[CUENTA],EJECUTADO[[#This Row],[CUENTA]],PRESUPUESTO[MONTO])-SUMIF($F$1:F1040,EJECUTADO[[#This Row],[CUENTA]],$M$1:M1040)</f>
        <v>112762.98000000001</v>
      </c>
      <c r="M1041" s="2">
        <v>127.13</v>
      </c>
      <c r="N1041" s="84"/>
      <c r="O1041" s="84"/>
      <c r="P1041" s="162">
        <f>+EJECUTADO[[#This Row],[MONTO SOLICITADO]]-EJECUTADO[[#This Row],[RETENCION IVA]]-EJECUTADO[[#This Row],[RETENCION ISR]]</f>
        <v>127.13</v>
      </c>
      <c r="Q1041" s="84" t="s">
        <v>2521</v>
      </c>
      <c r="R1041" s="84"/>
      <c r="S1041">
        <v>1</v>
      </c>
      <c r="T1041" s="168" t="str">
        <f t="shared" si="39"/>
        <v>PRESTAMOS BANCARIOS - COMISIONES BANCARIOS Disponible $112762.98 Solicitado $127.13 PRESUPUESTO: SI</v>
      </c>
    </row>
    <row r="1042" spans="1:20" ht="45" x14ac:dyDescent="0.25">
      <c r="A1042" s="6">
        <f t="shared" ref="A1042:A1105" si="40">+A1041+1</f>
        <v>952</v>
      </c>
      <c r="B1042" s="21">
        <v>45322</v>
      </c>
      <c r="C1042" s="126" t="s">
        <v>2518</v>
      </c>
      <c r="D1042" s="65" t="s">
        <v>2584</v>
      </c>
      <c r="E1042" s="174" t="s">
        <v>2585</v>
      </c>
      <c r="F1042" t="s">
        <v>1752</v>
      </c>
      <c r="G1042" s="161">
        <f>MONTH(EJECUTADO[[#This Row],[FECHA]])</f>
        <v>1</v>
      </c>
      <c r="H1042" s="163" t="str">
        <f>MID(EJECUTADO[[#This Row],[CUENTA]],1,4)</f>
        <v>E-02</v>
      </c>
      <c r="I1042" s="163" t="str">
        <f>INDEX(CATALOGO[Descripción],MATCH(EJECUTADO[[#This Row],[APLICACIÓN]]&amp;"-00-00-00",CATALOGO[Código],0))</f>
        <v>PRESTAMOS BANCARIOS</v>
      </c>
      <c r="J10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2" s="161" t="str">
        <f>IF((EJECUTADO[[#This Row],[MONTO DISPONIBLE ]]-EJECUTADO[[#This Row],[MONTO SOLICITADO]])&gt;=0,"PRESUPUESTO: SI","PRESUPUESTO: NO")</f>
        <v>PRESUPUESTO: SI</v>
      </c>
      <c r="L1042" s="162">
        <f>SUMIF(PRESUPUESTO[CUENTA],EJECUTADO[[#This Row],[CUENTA]],PRESUPUESTO[MONTO])-SUMIF($F$1:F1041,EJECUTADO[[#This Row],[CUENTA]],$M$1:M1041)</f>
        <v>112635.85</v>
      </c>
      <c r="M1042" s="2">
        <v>2187.4499999999998</v>
      </c>
      <c r="N1042" s="84"/>
      <c r="O1042" s="84"/>
      <c r="P1042" s="162">
        <f>+EJECUTADO[[#This Row],[MONTO SOLICITADO]]-EJECUTADO[[#This Row],[RETENCION IVA]]-EJECUTADO[[#This Row],[RETENCION ISR]]</f>
        <v>2187.4499999999998</v>
      </c>
      <c r="Q1042" s="84" t="s">
        <v>2521</v>
      </c>
      <c r="R1042" s="84"/>
      <c r="S1042">
        <v>1</v>
      </c>
      <c r="T1042" s="168" t="str">
        <f t="shared" si="39"/>
        <v>PRESTAMOS BANCARIOS - COMISIONES BANCARIOS Disponible $112635.85 Solicitado $2187.45 PRESUPUESTO: SI</v>
      </c>
    </row>
    <row r="1043" spans="1:20" ht="75" x14ac:dyDescent="0.25">
      <c r="A1043" s="6">
        <f t="shared" si="40"/>
        <v>953</v>
      </c>
      <c r="B1043" s="21">
        <v>45322</v>
      </c>
      <c r="C1043" s="126" t="s">
        <v>2518</v>
      </c>
      <c r="D1043" s="65" t="s">
        <v>2586</v>
      </c>
      <c r="E1043" s="174" t="s">
        <v>2587</v>
      </c>
      <c r="F1043" t="s">
        <v>1752</v>
      </c>
      <c r="G1043" s="161">
        <f>MONTH(EJECUTADO[[#This Row],[FECHA]])</f>
        <v>1</v>
      </c>
      <c r="H1043" s="163" t="str">
        <f>MID(EJECUTADO[[#This Row],[CUENTA]],1,4)</f>
        <v>E-02</v>
      </c>
      <c r="I1043" s="163" t="str">
        <f>INDEX(CATALOGO[Descripción],MATCH(EJECUTADO[[#This Row],[APLICACIÓN]]&amp;"-00-00-00",CATALOGO[Código],0))</f>
        <v>PRESTAMOS BANCARIOS</v>
      </c>
      <c r="J10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3" s="161" t="str">
        <f>IF((EJECUTADO[[#This Row],[MONTO DISPONIBLE ]]-EJECUTADO[[#This Row],[MONTO SOLICITADO]])&gt;=0,"PRESUPUESTO: SI","PRESUPUESTO: NO")</f>
        <v>PRESUPUESTO: SI</v>
      </c>
      <c r="L1043" s="162">
        <f>SUMIF(PRESUPUESTO[CUENTA],EJECUTADO[[#This Row],[CUENTA]],PRESUPUESTO[MONTO])-SUMIF($F$1:F1042,EJECUTADO[[#This Row],[CUENTA]],$M$1:M1042)</f>
        <v>110448.40000000001</v>
      </c>
      <c r="M1043" s="2">
        <v>147.80000000000001</v>
      </c>
      <c r="N1043" s="84"/>
      <c r="O1043" s="84"/>
      <c r="P1043" s="162">
        <f>+EJECUTADO[[#This Row],[MONTO SOLICITADO]]-EJECUTADO[[#This Row],[RETENCION IVA]]-EJECUTADO[[#This Row],[RETENCION ISR]]</f>
        <v>147.80000000000001</v>
      </c>
      <c r="Q1043" s="84" t="s">
        <v>2521</v>
      </c>
      <c r="R1043" s="84"/>
      <c r="S1043">
        <v>1</v>
      </c>
      <c r="T1043" s="168" t="str">
        <f t="shared" si="39"/>
        <v>PRESTAMOS BANCARIOS - COMISIONES BANCARIOS Disponible $110448.4 Solicitado $147.8 PRESUPUESTO: SI</v>
      </c>
    </row>
    <row r="1044" spans="1:20" ht="75" x14ac:dyDescent="0.25">
      <c r="A1044" s="6">
        <f t="shared" si="40"/>
        <v>954</v>
      </c>
      <c r="B1044" s="21">
        <v>45351</v>
      </c>
      <c r="C1044" s="126" t="s">
        <v>2518</v>
      </c>
      <c r="D1044" s="65" t="s">
        <v>2588</v>
      </c>
      <c r="E1044" s="174" t="s">
        <v>2589</v>
      </c>
      <c r="F1044" t="s">
        <v>1752</v>
      </c>
      <c r="G1044" s="161">
        <f>MONTH(EJECUTADO[[#This Row],[FECHA]])</f>
        <v>2</v>
      </c>
      <c r="H1044" s="163" t="str">
        <f>MID(EJECUTADO[[#This Row],[CUENTA]],1,4)</f>
        <v>E-02</v>
      </c>
      <c r="I1044" s="163" t="str">
        <f>INDEX(CATALOGO[Descripción],MATCH(EJECUTADO[[#This Row],[APLICACIÓN]]&amp;"-00-00-00",CATALOGO[Código],0))</f>
        <v>PRESTAMOS BANCARIOS</v>
      </c>
      <c r="J10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4" s="161" t="str">
        <f>IF((EJECUTADO[[#This Row],[MONTO DISPONIBLE ]]-EJECUTADO[[#This Row],[MONTO SOLICITADO]])&gt;=0,"PRESUPUESTO: SI","PRESUPUESTO: NO")</f>
        <v>PRESUPUESTO: SI</v>
      </c>
      <c r="L1044" s="162">
        <f>SUMIF(PRESUPUESTO[CUENTA],EJECUTADO[[#This Row],[CUENTA]],PRESUPUESTO[MONTO])-SUMIF($F$1:F1043,EJECUTADO[[#This Row],[CUENTA]],$M$1:M1043)</f>
        <v>110300.6</v>
      </c>
      <c r="M1044" s="2">
        <v>150.52000000000001</v>
      </c>
      <c r="N1044" s="84"/>
      <c r="O1044" s="84"/>
      <c r="P1044" s="162">
        <f>+EJECUTADO[[#This Row],[MONTO SOLICITADO]]-EJECUTADO[[#This Row],[RETENCION IVA]]-EJECUTADO[[#This Row],[RETENCION ISR]]</f>
        <v>150.52000000000001</v>
      </c>
      <c r="Q1044" s="84" t="s">
        <v>2521</v>
      </c>
      <c r="R1044" s="84"/>
      <c r="S1044">
        <v>1</v>
      </c>
      <c r="T1044" s="168" t="str">
        <f t="shared" si="39"/>
        <v>PRESTAMOS BANCARIOS - COMISIONES BANCARIOS Disponible $110300.6 Solicitado $150.52 PRESUPUESTO: SI</v>
      </c>
    </row>
    <row r="1045" spans="1:20" ht="45" x14ac:dyDescent="0.25">
      <c r="A1045" s="6">
        <f t="shared" si="40"/>
        <v>955</v>
      </c>
      <c r="B1045" s="21">
        <v>45351</v>
      </c>
      <c r="C1045" s="126" t="s">
        <v>2518</v>
      </c>
      <c r="D1045" s="65" t="s">
        <v>2590</v>
      </c>
      <c r="E1045" s="174" t="s">
        <v>2591</v>
      </c>
      <c r="F1045" t="s">
        <v>1752</v>
      </c>
      <c r="G1045" s="161">
        <f>MONTH(EJECUTADO[[#This Row],[FECHA]])</f>
        <v>2</v>
      </c>
      <c r="H1045" s="163" t="str">
        <f>MID(EJECUTADO[[#This Row],[CUENTA]],1,4)</f>
        <v>E-02</v>
      </c>
      <c r="I1045" s="163" t="str">
        <f>INDEX(CATALOGO[Descripción],MATCH(EJECUTADO[[#This Row],[APLICACIÓN]]&amp;"-00-00-00",CATALOGO[Código],0))</f>
        <v>PRESTAMOS BANCARIOS</v>
      </c>
      <c r="J10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5" s="161" t="str">
        <f>IF((EJECUTADO[[#This Row],[MONTO DISPONIBLE ]]-EJECUTADO[[#This Row],[MONTO SOLICITADO]])&gt;=0,"PRESUPUESTO: SI","PRESUPUESTO: NO")</f>
        <v>PRESUPUESTO: SI</v>
      </c>
      <c r="L1045" s="162">
        <f>SUMIF(PRESUPUESTO[CUENTA],EJECUTADO[[#This Row],[CUENTA]],PRESUPUESTO[MONTO])-SUMIF($F$1:F1044,EJECUTADO[[#This Row],[CUENTA]],$M$1:M1044)</f>
        <v>110150.08</v>
      </c>
      <c r="M1045" s="2">
        <v>1961.45</v>
      </c>
      <c r="N1045" s="84"/>
      <c r="O1045" s="84"/>
      <c r="P1045" s="162">
        <f>+EJECUTADO[[#This Row],[MONTO SOLICITADO]]-EJECUTADO[[#This Row],[RETENCION IVA]]-EJECUTADO[[#This Row],[RETENCION ISR]]</f>
        <v>1961.45</v>
      </c>
      <c r="Q1045" s="84" t="s">
        <v>2521</v>
      </c>
      <c r="R1045" s="84"/>
      <c r="S1045">
        <v>1</v>
      </c>
      <c r="T1045" s="168" t="str">
        <f t="shared" si="39"/>
        <v>PRESTAMOS BANCARIOS - COMISIONES BANCARIOS Disponible $110150.08 Solicitado $1961.45 PRESUPUESTO: SI</v>
      </c>
    </row>
    <row r="1046" spans="1:20" ht="90" x14ac:dyDescent="0.25">
      <c r="A1046" s="6">
        <f t="shared" si="40"/>
        <v>956</v>
      </c>
      <c r="B1046" s="21">
        <v>45322</v>
      </c>
      <c r="C1046" s="126" t="s">
        <v>2592</v>
      </c>
      <c r="D1046" s="65" t="s">
        <v>2593</v>
      </c>
      <c r="E1046" s="174" t="s">
        <v>2594</v>
      </c>
      <c r="F1046" t="s">
        <v>1752</v>
      </c>
      <c r="G1046" s="161">
        <f>MONTH(EJECUTADO[[#This Row],[FECHA]])</f>
        <v>1</v>
      </c>
      <c r="H1046" s="163" t="str">
        <f>MID(EJECUTADO[[#This Row],[CUENTA]],1,4)</f>
        <v>E-02</v>
      </c>
      <c r="I1046" s="163" t="str">
        <f>INDEX(CATALOGO[Descripción],MATCH(EJECUTADO[[#This Row],[APLICACIÓN]]&amp;"-00-00-00",CATALOGO[Código],0))</f>
        <v>PRESTAMOS BANCARIOS</v>
      </c>
      <c r="J10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6" s="161" t="str">
        <f>IF((EJECUTADO[[#This Row],[MONTO DISPONIBLE ]]-EJECUTADO[[#This Row],[MONTO SOLICITADO]])&gt;=0,"PRESUPUESTO: SI","PRESUPUESTO: NO")</f>
        <v>PRESUPUESTO: SI</v>
      </c>
      <c r="L1046" s="162">
        <f>SUMIF(PRESUPUESTO[CUENTA],EJECUTADO[[#This Row],[CUENTA]],PRESUPUESTO[MONTO])-SUMIF($F$1:F1045,EJECUTADO[[#This Row],[CUENTA]],$M$1:M1045)</f>
        <v>108188.63</v>
      </c>
      <c r="M1046" s="2">
        <v>41.5</v>
      </c>
      <c r="N1046" s="84"/>
      <c r="O1046" s="84"/>
      <c r="P1046" s="162">
        <f>+EJECUTADO[[#This Row],[MONTO SOLICITADO]]-EJECUTADO[[#This Row],[RETENCION IVA]]-EJECUTADO[[#This Row],[RETENCION ISR]]</f>
        <v>41.5</v>
      </c>
      <c r="Q1046" s="84" t="s">
        <v>2521</v>
      </c>
      <c r="R1046" s="84"/>
      <c r="S1046">
        <v>1</v>
      </c>
      <c r="T1046" s="168" t="str">
        <f t="shared" si="39"/>
        <v>PRESTAMOS BANCARIOS - COMISIONES BANCARIOS Disponible $108188.63 Solicitado $41.5 PRESUPUESTO: SI</v>
      </c>
    </row>
    <row r="1047" spans="1:20" ht="90" x14ac:dyDescent="0.25">
      <c r="A1047" s="6">
        <f t="shared" si="40"/>
        <v>957</v>
      </c>
      <c r="B1047" s="21">
        <v>45322</v>
      </c>
      <c r="C1047" s="126" t="s">
        <v>2592</v>
      </c>
      <c r="D1047" s="65" t="s">
        <v>2595</v>
      </c>
      <c r="E1047" s="174" t="s">
        <v>2596</v>
      </c>
      <c r="F1047" t="s">
        <v>1752</v>
      </c>
      <c r="G1047" s="161">
        <f>MONTH(EJECUTADO[[#This Row],[FECHA]])</f>
        <v>1</v>
      </c>
      <c r="H1047" s="163" t="str">
        <f>MID(EJECUTADO[[#This Row],[CUENTA]],1,4)</f>
        <v>E-02</v>
      </c>
      <c r="I1047" s="163" t="str">
        <f>INDEX(CATALOGO[Descripción],MATCH(EJECUTADO[[#This Row],[APLICACIÓN]]&amp;"-00-00-00",CATALOGO[Código],0))</f>
        <v>PRESTAMOS BANCARIOS</v>
      </c>
      <c r="J10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7" s="161" t="str">
        <f>IF((EJECUTADO[[#This Row],[MONTO DISPONIBLE ]]-EJECUTADO[[#This Row],[MONTO SOLICITADO]])&gt;=0,"PRESUPUESTO: SI","PRESUPUESTO: NO")</f>
        <v>PRESUPUESTO: SI</v>
      </c>
      <c r="L1047" s="162">
        <f>SUMIF(PRESUPUESTO[CUENTA],EJECUTADO[[#This Row],[CUENTA]],PRESUPUESTO[MONTO])-SUMIF($F$1:F1046,EJECUTADO[[#This Row],[CUENTA]],$M$1:M1046)</f>
        <v>108147.13</v>
      </c>
      <c r="M1047" s="2">
        <v>5.4</v>
      </c>
      <c r="N1047" s="84"/>
      <c r="O1047" s="84"/>
      <c r="P1047" s="162">
        <f>+EJECUTADO[[#This Row],[MONTO SOLICITADO]]-EJECUTADO[[#This Row],[RETENCION IVA]]-EJECUTADO[[#This Row],[RETENCION ISR]]</f>
        <v>5.4</v>
      </c>
      <c r="Q1047" s="84" t="s">
        <v>2521</v>
      </c>
      <c r="R1047" s="84"/>
      <c r="S1047">
        <v>1</v>
      </c>
      <c r="T1047" s="168" t="str">
        <f t="shared" si="39"/>
        <v>PRESTAMOS BANCARIOS - COMISIONES BANCARIOS Disponible $108147.13 Solicitado $5.4 PRESUPUESTO: SI</v>
      </c>
    </row>
    <row r="1048" spans="1:20" ht="90" x14ac:dyDescent="0.25">
      <c r="A1048" s="6">
        <f t="shared" si="40"/>
        <v>958</v>
      </c>
      <c r="B1048" s="21">
        <v>45351</v>
      </c>
      <c r="C1048" s="126" t="s">
        <v>2592</v>
      </c>
      <c r="D1048" s="65" t="s">
        <v>2597</v>
      </c>
      <c r="E1048" s="174" t="s">
        <v>2598</v>
      </c>
      <c r="F1048" t="s">
        <v>1752</v>
      </c>
      <c r="G1048" s="161">
        <f>MONTH(EJECUTADO[[#This Row],[FECHA]])</f>
        <v>2</v>
      </c>
      <c r="H1048" s="163" t="str">
        <f>MID(EJECUTADO[[#This Row],[CUENTA]],1,4)</f>
        <v>E-02</v>
      </c>
      <c r="I1048" s="163" t="str">
        <f>INDEX(CATALOGO[Descripción],MATCH(EJECUTADO[[#This Row],[APLICACIÓN]]&amp;"-00-00-00",CATALOGO[Código],0))</f>
        <v>PRESTAMOS BANCARIOS</v>
      </c>
      <c r="J10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8" s="161" t="str">
        <f>IF((EJECUTADO[[#This Row],[MONTO DISPONIBLE ]]-EJECUTADO[[#This Row],[MONTO SOLICITADO]])&gt;=0,"PRESUPUESTO: SI","PRESUPUESTO: NO")</f>
        <v>PRESUPUESTO: SI</v>
      </c>
      <c r="L1048" s="162">
        <f>SUMIF(PRESUPUESTO[CUENTA],EJECUTADO[[#This Row],[CUENTA]],PRESUPUESTO[MONTO])-SUMIF($F$1:F1047,EJECUTADO[[#This Row],[CUENTA]],$M$1:M1047)</f>
        <v>108141.73000000001</v>
      </c>
      <c r="M1048" s="2">
        <v>32.5</v>
      </c>
      <c r="N1048" s="84"/>
      <c r="O1048" s="84"/>
      <c r="P1048" s="162">
        <f>+EJECUTADO[[#This Row],[MONTO SOLICITADO]]-EJECUTADO[[#This Row],[RETENCION IVA]]-EJECUTADO[[#This Row],[RETENCION ISR]]</f>
        <v>32.5</v>
      </c>
      <c r="Q1048" s="84" t="s">
        <v>2521</v>
      </c>
      <c r="R1048" s="84"/>
      <c r="S1048">
        <v>1</v>
      </c>
      <c r="T1048" s="168" t="str">
        <f t="shared" si="39"/>
        <v>PRESTAMOS BANCARIOS - COMISIONES BANCARIOS Disponible $108141.73 Solicitado $32.5 PRESUPUESTO: SI</v>
      </c>
    </row>
    <row r="1049" spans="1:20" ht="90" x14ac:dyDescent="0.25">
      <c r="A1049" s="6">
        <f t="shared" si="40"/>
        <v>959</v>
      </c>
      <c r="B1049" s="21">
        <v>45351</v>
      </c>
      <c r="C1049" s="126" t="s">
        <v>2592</v>
      </c>
      <c r="D1049" s="65" t="s">
        <v>2599</v>
      </c>
      <c r="E1049" s="174" t="s">
        <v>2600</v>
      </c>
      <c r="F1049" t="s">
        <v>1752</v>
      </c>
      <c r="G1049" s="161">
        <f>MONTH(EJECUTADO[[#This Row],[FECHA]])</f>
        <v>2</v>
      </c>
      <c r="H1049" s="163" t="str">
        <f>MID(EJECUTADO[[#This Row],[CUENTA]],1,4)</f>
        <v>E-02</v>
      </c>
      <c r="I1049" s="163" t="str">
        <f>INDEX(CATALOGO[Descripción],MATCH(EJECUTADO[[#This Row],[APLICACIÓN]]&amp;"-00-00-00",CATALOGO[Código],0))</f>
        <v>PRESTAMOS BANCARIOS</v>
      </c>
      <c r="J10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49" s="161" t="str">
        <f>IF((EJECUTADO[[#This Row],[MONTO DISPONIBLE ]]-EJECUTADO[[#This Row],[MONTO SOLICITADO]])&gt;=0,"PRESUPUESTO: SI","PRESUPUESTO: NO")</f>
        <v>PRESUPUESTO: SI</v>
      </c>
      <c r="L1049" s="162">
        <f>SUMIF(PRESUPUESTO[CUENTA],EJECUTADO[[#This Row],[CUENTA]],PRESUPUESTO[MONTO])-SUMIF($F$1:F1048,EJECUTADO[[#This Row],[CUENTA]],$M$1:M1048)</f>
        <v>108109.23000000001</v>
      </c>
      <c r="M1049" s="2">
        <v>4.2300000000000004</v>
      </c>
      <c r="N1049" s="84"/>
      <c r="O1049" s="84"/>
      <c r="P1049" s="162">
        <f>+EJECUTADO[[#This Row],[MONTO SOLICITADO]]-EJECUTADO[[#This Row],[RETENCION IVA]]-EJECUTADO[[#This Row],[RETENCION ISR]]</f>
        <v>4.2300000000000004</v>
      </c>
      <c r="Q1049" s="84" t="s">
        <v>2521</v>
      </c>
      <c r="R1049" s="84"/>
      <c r="S1049">
        <v>1</v>
      </c>
      <c r="T1049" s="168" t="str">
        <f t="shared" si="39"/>
        <v>PRESTAMOS BANCARIOS - COMISIONES BANCARIOS Disponible $108109.23 Solicitado $4.23 PRESUPUESTO: SI</v>
      </c>
    </row>
    <row r="1050" spans="1:20" ht="90" x14ac:dyDescent="0.25">
      <c r="A1050" s="6">
        <f t="shared" si="40"/>
        <v>960</v>
      </c>
      <c r="B1050" s="21">
        <v>45301</v>
      </c>
      <c r="C1050" s="126" t="s">
        <v>2560</v>
      </c>
      <c r="D1050" s="65" t="s">
        <v>2601</v>
      </c>
      <c r="E1050" s="174" t="s">
        <v>2602</v>
      </c>
      <c r="F1050" t="s">
        <v>1752</v>
      </c>
      <c r="G1050" s="161">
        <f>MONTH(EJECUTADO[[#This Row],[FECHA]])</f>
        <v>1</v>
      </c>
      <c r="H1050" s="163" t="str">
        <f>MID(EJECUTADO[[#This Row],[CUENTA]],1,4)</f>
        <v>E-02</v>
      </c>
      <c r="I1050" s="163" t="str">
        <f>INDEX(CATALOGO[Descripción],MATCH(EJECUTADO[[#This Row],[APLICACIÓN]]&amp;"-00-00-00",CATALOGO[Código],0))</f>
        <v>PRESTAMOS BANCARIOS</v>
      </c>
      <c r="J10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0" s="161" t="str">
        <f>IF((EJECUTADO[[#This Row],[MONTO DISPONIBLE ]]-EJECUTADO[[#This Row],[MONTO SOLICITADO]])&gt;=0,"PRESUPUESTO: SI","PRESUPUESTO: NO")</f>
        <v>PRESUPUESTO: SI</v>
      </c>
      <c r="L1050" s="162">
        <f>SUMIF(PRESUPUESTO[CUENTA],EJECUTADO[[#This Row],[CUENTA]],PRESUPUESTO[MONTO])-SUMIF($F$1:F1049,EJECUTADO[[#This Row],[CUENTA]],$M$1:M1049)</f>
        <v>108105</v>
      </c>
      <c r="M1050" s="2">
        <v>28.25</v>
      </c>
      <c r="N1050" s="84"/>
      <c r="O1050" s="84"/>
      <c r="P1050" s="162">
        <f>+EJECUTADO[[#This Row],[MONTO SOLICITADO]]-EJECUTADO[[#This Row],[RETENCION IVA]]-EJECUTADO[[#This Row],[RETENCION ISR]]</f>
        <v>28.25</v>
      </c>
      <c r="Q1050" s="84" t="s">
        <v>2521</v>
      </c>
      <c r="R1050" s="84"/>
      <c r="S1050">
        <v>1</v>
      </c>
      <c r="T1050" s="168" t="str">
        <f t="shared" si="39"/>
        <v>PRESTAMOS BANCARIOS - COMISIONES BANCARIOS Disponible $108105 Solicitado $28.25 PRESUPUESTO: SI</v>
      </c>
    </row>
    <row r="1051" spans="1:20" ht="90" x14ac:dyDescent="0.25">
      <c r="A1051" s="6">
        <f t="shared" si="40"/>
        <v>961</v>
      </c>
      <c r="B1051" s="21">
        <v>45322</v>
      </c>
      <c r="C1051" s="126" t="s">
        <v>2560</v>
      </c>
      <c r="D1051" s="65" t="s">
        <v>2603</v>
      </c>
      <c r="E1051" s="174" t="s">
        <v>2604</v>
      </c>
      <c r="F1051" t="s">
        <v>1752</v>
      </c>
      <c r="G1051" s="161">
        <f>MONTH(EJECUTADO[[#This Row],[FECHA]])</f>
        <v>1</v>
      </c>
      <c r="H1051" s="163" t="str">
        <f>MID(EJECUTADO[[#This Row],[CUENTA]],1,4)</f>
        <v>E-02</v>
      </c>
      <c r="I1051" s="163" t="str">
        <f>INDEX(CATALOGO[Descripción],MATCH(EJECUTADO[[#This Row],[APLICACIÓN]]&amp;"-00-00-00",CATALOGO[Código],0))</f>
        <v>PRESTAMOS BANCARIOS</v>
      </c>
      <c r="J10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1" s="161" t="str">
        <f>IF((EJECUTADO[[#This Row],[MONTO DISPONIBLE ]]-EJECUTADO[[#This Row],[MONTO SOLICITADO]])&gt;=0,"PRESUPUESTO: SI","PRESUPUESTO: NO")</f>
        <v>PRESUPUESTO: SI</v>
      </c>
      <c r="L1051" s="162">
        <f>SUMIF(PRESUPUESTO[CUENTA],EJECUTADO[[#This Row],[CUENTA]],PRESUPUESTO[MONTO])-SUMIF($F$1:F1050,EJECUTADO[[#This Row],[CUENTA]],$M$1:M1050)</f>
        <v>108076.75</v>
      </c>
      <c r="M1051" s="2">
        <v>75.94</v>
      </c>
      <c r="N1051" s="84"/>
      <c r="O1051" s="84"/>
      <c r="P1051" s="162">
        <f>+EJECUTADO[[#This Row],[MONTO SOLICITADO]]-EJECUTADO[[#This Row],[RETENCION IVA]]-EJECUTADO[[#This Row],[RETENCION ISR]]</f>
        <v>75.94</v>
      </c>
      <c r="Q1051" s="84" t="s">
        <v>2521</v>
      </c>
      <c r="R1051" s="84"/>
      <c r="S1051">
        <v>1</v>
      </c>
      <c r="T1051" s="168" t="str">
        <f t="shared" si="39"/>
        <v>PRESTAMOS BANCARIOS - COMISIONES BANCARIOS Disponible $108076.75 Solicitado $75.94 PRESUPUESTO: SI</v>
      </c>
    </row>
    <row r="1052" spans="1:20" ht="90" x14ac:dyDescent="0.25">
      <c r="A1052" s="6">
        <f t="shared" si="40"/>
        <v>962</v>
      </c>
      <c r="B1052" s="21">
        <v>45351</v>
      </c>
      <c r="C1052" s="126" t="s">
        <v>2560</v>
      </c>
      <c r="D1052" s="65" t="s">
        <v>2605</v>
      </c>
      <c r="E1052" s="174" t="s">
        <v>2606</v>
      </c>
      <c r="F1052" t="s">
        <v>1752</v>
      </c>
      <c r="G1052" s="161">
        <f>MONTH(EJECUTADO[[#This Row],[FECHA]])</f>
        <v>2</v>
      </c>
      <c r="H1052" s="163" t="str">
        <f>MID(EJECUTADO[[#This Row],[CUENTA]],1,4)</f>
        <v>E-02</v>
      </c>
      <c r="I1052" s="163" t="str">
        <f>INDEX(CATALOGO[Descripción],MATCH(EJECUTADO[[#This Row],[APLICACIÓN]]&amp;"-00-00-00",CATALOGO[Código],0))</f>
        <v>PRESTAMOS BANCARIOS</v>
      </c>
      <c r="J10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2" s="161" t="str">
        <f>IF((EJECUTADO[[#This Row],[MONTO DISPONIBLE ]]-EJECUTADO[[#This Row],[MONTO SOLICITADO]])&gt;=0,"PRESUPUESTO: SI","PRESUPUESTO: NO")</f>
        <v>PRESUPUESTO: SI</v>
      </c>
      <c r="L1052" s="162">
        <f>SUMIF(PRESUPUESTO[CUENTA],EJECUTADO[[#This Row],[CUENTA]],PRESUPUESTO[MONTO])-SUMIF($F$1:F1051,EJECUTADO[[#This Row],[CUENTA]],$M$1:M1051)</f>
        <v>108000.81</v>
      </c>
      <c r="M1052" s="2">
        <v>66.900000000000006</v>
      </c>
      <c r="N1052" s="84"/>
      <c r="O1052" s="84"/>
      <c r="P1052" s="162">
        <f>+EJECUTADO[[#This Row],[MONTO SOLICITADO]]-EJECUTADO[[#This Row],[RETENCION IVA]]-EJECUTADO[[#This Row],[RETENCION ISR]]</f>
        <v>66.900000000000006</v>
      </c>
      <c r="Q1052" s="84" t="s">
        <v>2521</v>
      </c>
      <c r="R1052" s="84"/>
      <c r="S1052">
        <v>1</v>
      </c>
      <c r="T1052" s="168" t="str">
        <f t="shared" si="39"/>
        <v>PRESTAMOS BANCARIOS - COMISIONES BANCARIOS Disponible $108000.81 Solicitado $66.9 PRESUPUESTO: SI</v>
      </c>
    </row>
    <row r="1053" spans="1:20" ht="90" x14ac:dyDescent="0.25">
      <c r="A1053" s="6">
        <f t="shared" si="40"/>
        <v>963</v>
      </c>
      <c r="B1053" s="21">
        <v>45362</v>
      </c>
      <c r="C1053" s="126" t="s">
        <v>2560</v>
      </c>
      <c r="D1053" s="65" t="s">
        <v>2607</v>
      </c>
      <c r="E1053" s="174" t="s">
        <v>2608</v>
      </c>
      <c r="F1053" t="s">
        <v>1752</v>
      </c>
      <c r="G1053" s="161">
        <f>MONTH(EJECUTADO[[#This Row],[FECHA]])</f>
        <v>3</v>
      </c>
      <c r="H1053" s="163" t="str">
        <f>MID(EJECUTADO[[#This Row],[CUENTA]],1,4)</f>
        <v>E-02</v>
      </c>
      <c r="I1053" s="163" t="str">
        <f>INDEX(CATALOGO[Descripción],MATCH(EJECUTADO[[#This Row],[APLICACIÓN]]&amp;"-00-00-00",CATALOGO[Código],0))</f>
        <v>PRESTAMOS BANCARIOS</v>
      </c>
      <c r="J10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3" s="161" t="str">
        <f>IF((EJECUTADO[[#This Row],[MONTO DISPONIBLE ]]-EJECUTADO[[#This Row],[MONTO SOLICITADO]])&gt;=0,"PRESUPUESTO: SI","PRESUPUESTO: NO")</f>
        <v>PRESUPUESTO: SI</v>
      </c>
      <c r="L1053" s="162">
        <f>SUMIF(PRESUPUESTO[CUENTA],EJECUTADO[[#This Row],[CUENTA]],PRESUPUESTO[MONTO])-SUMIF($F$1:F1052,EJECUTADO[[#This Row],[CUENTA]],$M$1:M1052)</f>
        <v>107933.91</v>
      </c>
      <c r="M1053" s="2">
        <v>28.25</v>
      </c>
      <c r="N1053" s="84"/>
      <c r="O1053" s="84"/>
      <c r="P1053" s="162">
        <f>+EJECUTADO[[#This Row],[MONTO SOLICITADO]]-EJECUTADO[[#This Row],[RETENCION IVA]]-EJECUTADO[[#This Row],[RETENCION ISR]]</f>
        <v>28.25</v>
      </c>
      <c r="Q1053" s="84" t="s">
        <v>2521</v>
      </c>
      <c r="R1053" s="84"/>
      <c r="S1053">
        <v>1</v>
      </c>
      <c r="T1053" s="168" t="str">
        <f t="shared" si="39"/>
        <v>PRESTAMOS BANCARIOS - COMISIONES BANCARIOS Disponible $107933.91 Solicitado $28.25 PRESUPUESTO: SI</v>
      </c>
    </row>
    <row r="1054" spans="1:20" ht="90" x14ac:dyDescent="0.25">
      <c r="A1054" s="6">
        <f t="shared" si="40"/>
        <v>964</v>
      </c>
      <c r="B1054" s="21">
        <v>45351</v>
      </c>
      <c r="C1054" s="126" t="s">
        <v>2567</v>
      </c>
      <c r="D1054" s="65" t="s">
        <v>2609</v>
      </c>
      <c r="E1054" s="174" t="s">
        <v>2610</v>
      </c>
      <c r="F1054" t="s">
        <v>1752</v>
      </c>
      <c r="G1054" s="161">
        <f>MONTH(EJECUTADO[[#This Row],[FECHA]])</f>
        <v>2</v>
      </c>
      <c r="H1054" s="163" t="str">
        <f>MID(EJECUTADO[[#This Row],[CUENTA]],1,4)</f>
        <v>E-02</v>
      </c>
      <c r="I1054" s="163" t="str">
        <f>INDEX(CATALOGO[Descripción],MATCH(EJECUTADO[[#This Row],[APLICACIÓN]]&amp;"-00-00-00",CATALOGO[Código],0))</f>
        <v>PRESTAMOS BANCARIOS</v>
      </c>
      <c r="J10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4" s="161" t="str">
        <f>IF((EJECUTADO[[#This Row],[MONTO DISPONIBLE ]]-EJECUTADO[[#This Row],[MONTO SOLICITADO]])&gt;=0,"PRESUPUESTO: SI","PRESUPUESTO: NO")</f>
        <v>PRESUPUESTO: SI</v>
      </c>
      <c r="L1054" s="162">
        <f>SUMIF(PRESUPUESTO[CUENTA],EJECUTADO[[#This Row],[CUENTA]],PRESUPUESTO[MONTO])-SUMIF($F$1:F1053,EJECUTADO[[#This Row],[CUENTA]],$M$1:M1053)</f>
        <v>107905.66</v>
      </c>
      <c r="M1054" s="2">
        <v>92.77</v>
      </c>
      <c r="N1054" s="84"/>
      <c r="O1054" s="84"/>
      <c r="P1054" s="162">
        <f>+EJECUTADO[[#This Row],[MONTO SOLICITADO]]-EJECUTADO[[#This Row],[RETENCION IVA]]-EJECUTADO[[#This Row],[RETENCION ISR]]</f>
        <v>92.77</v>
      </c>
      <c r="Q1054" s="84" t="s">
        <v>2521</v>
      </c>
      <c r="R1054" s="84"/>
      <c r="S1054">
        <v>1</v>
      </c>
      <c r="T1054" s="168" t="str">
        <f t="shared" si="39"/>
        <v>PRESTAMOS BANCARIOS - COMISIONES BANCARIOS Disponible $107905.66 Solicitado $92.77 PRESUPUESTO: SI</v>
      </c>
    </row>
    <row r="1055" spans="1:20" ht="105" x14ac:dyDescent="0.25">
      <c r="A1055" s="6">
        <f t="shared" si="40"/>
        <v>965</v>
      </c>
      <c r="B1055" s="21">
        <v>45292</v>
      </c>
      <c r="C1055" s="126" t="s">
        <v>2570</v>
      </c>
      <c r="D1055" s="65" t="s">
        <v>2611</v>
      </c>
      <c r="E1055" s="174" t="s">
        <v>2612</v>
      </c>
      <c r="F1055" t="s">
        <v>1752</v>
      </c>
      <c r="G1055" s="161">
        <f>MONTH(EJECUTADO[[#This Row],[FECHA]])</f>
        <v>1</v>
      </c>
      <c r="H1055" s="163" t="str">
        <f>MID(EJECUTADO[[#This Row],[CUENTA]],1,4)</f>
        <v>E-02</v>
      </c>
      <c r="I1055" s="163" t="str">
        <f>INDEX(CATALOGO[Descripción],MATCH(EJECUTADO[[#This Row],[APLICACIÓN]]&amp;"-00-00-00",CATALOGO[Código],0))</f>
        <v>PRESTAMOS BANCARIOS</v>
      </c>
      <c r="J10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5" s="161" t="str">
        <f>IF((EJECUTADO[[#This Row],[MONTO DISPONIBLE ]]-EJECUTADO[[#This Row],[MONTO SOLICITADO]])&gt;=0,"PRESUPUESTO: SI","PRESUPUESTO: NO")</f>
        <v>PRESUPUESTO: SI</v>
      </c>
      <c r="L1055" s="162">
        <f>SUMIF(PRESUPUESTO[CUENTA],EJECUTADO[[#This Row],[CUENTA]],PRESUPUESTO[MONTO])-SUMIF($F$1:F1054,EJECUTADO[[#This Row],[CUENTA]],$M$1:M1054)</f>
        <v>107812.89</v>
      </c>
      <c r="M1055" s="2">
        <v>125.44</v>
      </c>
      <c r="N1055" s="84"/>
      <c r="O1055" s="84"/>
      <c r="P1055" s="162">
        <f>+EJECUTADO[[#This Row],[MONTO SOLICITADO]]-EJECUTADO[[#This Row],[RETENCION IVA]]-EJECUTADO[[#This Row],[RETENCION ISR]]</f>
        <v>125.44</v>
      </c>
      <c r="Q1055" s="84" t="s">
        <v>2521</v>
      </c>
      <c r="R1055" s="84"/>
      <c r="S1055">
        <v>1</v>
      </c>
      <c r="T1055" s="168" t="str">
        <f t="shared" si="39"/>
        <v>PRESTAMOS BANCARIOS - COMISIONES BANCARIOS Disponible $107812.89 Solicitado $125.44 PRESUPUESTO: SI</v>
      </c>
    </row>
    <row r="1056" spans="1:20" ht="60" x14ac:dyDescent="0.25">
      <c r="A1056" s="6">
        <f t="shared" si="40"/>
        <v>966</v>
      </c>
      <c r="B1056" s="21">
        <v>45298</v>
      </c>
      <c r="C1056" s="126" t="s">
        <v>2570</v>
      </c>
      <c r="D1056" s="65" t="s">
        <v>2613</v>
      </c>
      <c r="E1056" s="174" t="s">
        <v>2614</v>
      </c>
      <c r="F1056" t="s">
        <v>1752</v>
      </c>
      <c r="G1056" s="161">
        <f>MONTH(EJECUTADO[[#This Row],[FECHA]])</f>
        <v>1</v>
      </c>
      <c r="H1056" s="163" t="str">
        <f>MID(EJECUTADO[[#This Row],[CUENTA]],1,4)</f>
        <v>E-02</v>
      </c>
      <c r="I1056" s="163" t="str">
        <f>INDEX(CATALOGO[Descripción],MATCH(EJECUTADO[[#This Row],[APLICACIÓN]]&amp;"-00-00-00",CATALOGO[Código],0))</f>
        <v>PRESTAMOS BANCARIOS</v>
      </c>
      <c r="J10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6" s="161" t="str">
        <f>IF((EJECUTADO[[#This Row],[MONTO DISPONIBLE ]]-EJECUTADO[[#This Row],[MONTO SOLICITADO]])&gt;=0,"PRESUPUESTO: SI","PRESUPUESTO: NO")</f>
        <v>PRESUPUESTO: SI</v>
      </c>
      <c r="L1056" s="162">
        <f>SUMIF(PRESUPUESTO[CUENTA],EJECUTADO[[#This Row],[CUENTA]],PRESUPUESTO[MONTO])-SUMIF($F$1:F1055,EJECUTADO[[#This Row],[CUENTA]],$M$1:M1055)</f>
        <v>107687.45</v>
      </c>
      <c r="M1056" s="2">
        <v>28.25</v>
      </c>
      <c r="N1056" s="84"/>
      <c r="O1056" s="84"/>
      <c r="P1056" s="162">
        <f>+EJECUTADO[[#This Row],[MONTO SOLICITADO]]-EJECUTADO[[#This Row],[RETENCION IVA]]-EJECUTADO[[#This Row],[RETENCION ISR]]</f>
        <v>28.25</v>
      </c>
      <c r="Q1056" s="84" t="s">
        <v>2521</v>
      </c>
      <c r="R1056" s="84"/>
      <c r="S1056">
        <v>1</v>
      </c>
      <c r="T1056" s="168" t="str">
        <f t="shared" si="39"/>
        <v>PRESTAMOS BANCARIOS - COMISIONES BANCARIOS Disponible $107687.45 Solicitado $28.25 PRESUPUESTO: SI</v>
      </c>
    </row>
    <row r="1057" spans="1:20" ht="105" x14ac:dyDescent="0.25">
      <c r="A1057" s="6">
        <f t="shared" si="40"/>
        <v>967</v>
      </c>
      <c r="B1057" s="21">
        <v>45323</v>
      </c>
      <c r="C1057" s="126" t="s">
        <v>2570</v>
      </c>
      <c r="D1057" s="65" t="s">
        <v>2615</v>
      </c>
      <c r="E1057" s="174" t="s">
        <v>2616</v>
      </c>
      <c r="F1057" t="s">
        <v>1752</v>
      </c>
      <c r="G1057" s="161">
        <f>MONTH(EJECUTADO[[#This Row],[FECHA]])</f>
        <v>2</v>
      </c>
      <c r="H1057" s="163" t="str">
        <f>MID(EJECUTADO[[#This Row],[CUENTA]],1,4)</f>
        <v>E-02</v>
      </c>
      <c r="I1057" s="163" t="str">
        <f>INDEX(CATALOGO[Descripción],MATCH(EJECUTADO[[#This Row],[APLICACIÓN]]&amp;"-00-00-00",CATALOGO[Código],0))</f>
        <v>PRESTAMOS BANCARIOS</v>
      </c>
      <c r="J10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7" s="161" t="str">
        <f>IF((EJECUTADO[[#This Row],[MONTO DISPONIBLE ]]-EJECUTADO[[#This Row],[MONTO SOLICITADO]])&gt;=0,"PRESUPUESTO: SI","PRESUPUESTO: NO")</f>
        <v>PRESUPUESTO: SI</v>
      </c>
      <c r="L1057" s="162">
        <f>SUMIF(PRESUPUESTO[CUENTA],EJECUTADO[[#This Row],[CUENTA]],PRESUPUESTO[MONTO])-SUMIF($F$1:F1056,EJECUTADO[[#This Row],[CUENTA]],$M$1:M1056)</f>
        <v>107659.2</v>
      </c>
      <c r="M1057" s="2">
        <v>197.19</v>
      </c>
      <c r="N1057" s="84"/>
      <c r="O1057" s="84"/>
      <c r="P1057" s="162">
        <f>+EJECUTADO[[#This Row],[MONTO SOLICITADO]]-EJECUTADO[[#This Row],[RETENCION IVA]]-EJECUTADO[[#This Row],[RETENCION ISR]]</f>
        <v>197.19</v>
      </c>
      <c r="Q1057" s="84" t="s">
        <v>2521</v>
      </c>
      <c r="R1057" s="84"/>
      <c r="S1057">
        <v>1</v>
      </c>
      <c r="T1057" s="168" t="str">
        <f t="shared" si="39"/>
        <v>PRESTAMOS BANCARIOS - COMISIONES BANCARIOS Disponible $107659.2 Solicitado $197.19 PRESUPUESTO: SI</v>
      </c>
    </row>
    <row r="1058" spans="1:20" ht="75" x14ac:dyDescent="0.25">
      <c r="A1058" s="6">
        <f t="shared" si="40"/>
        <v>968</v>
      </c>
      <c r="B1058" s="21">
        <v>45329</v>
      </c>
      <c r="C1058" s="126" t="s">
        <v>2570</v>
      </c>
      <c r="D1058" s="65" t="s">
        <v>2617</v>
      </c>
      <c r="E1058" s="174" t="s">
        <v>2618</v>
      </c>
      <c r="F1058" t="s">
        <v>1752</v>
      </c>
      <c r="G1058" s="161">
        <f>MONTH(EJECUTADO[[#This Row],[FECHA]])</f>
        <v>2</v>
      </c>
      <c r="H1058" s="163" t="str">
        <f>MID(EJECUTADO[[#This Row],[CUENTA]],1,4)</f>
        <v>E-02</v>
      </c>
      <c r="I1058" s="163" t="str">
        <f>INDEX(CATALOGO[Descripción],MATCH(EJECUTADO[[#This Row],[APLICACIÓN]]&amp;"-00-00-00",CATALOGO[Código],0))</f>
        <v>PRESTAMOS BANCARIOS</v>
      </c>
      <c r="J10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8" s="161" t="str">
        <f>IF((EJECUTADO[[#This Row],[MONTO DISPONIBLE ]]-EJECUTADO[[#This Row],[MONTO SOLICITADO]])&gt;=0,"PRESUPUESTO: SI","PRESUPUESTO: NO")</f>
        <v>PRESUPUESTO: SI</v>
      </c>
      <c r="L1058" s="162">
        <f>SUMIF(PRESUPUESTO[CUENTA],EJECUTADO[[#This Row],[CUENTA]],PRESUPUESTO[MONTO])-SUMIF($F$1:F1057,EJECUTADO[[#This Row],[CUENTA]],$M$1:M1057)</f>
        <v>107462.01000000001</v>
      </c>
      <c r="M1058" s="2">
        <v>28.25</v>
      </c>
      <c r="N1058" s="84"/>
      <c r="O1058" s="84"/>
      <c r="P1058" s="162">
        <f>+EJECUTADO[[#This Row],[MONTO SOLICITADO]]-EJECUTADO[[#This Row],[RETENCION IVA]]-EJECUTADO[[#This Row],[RETENCION ISR]]</f>
        <v>28.25</v>
      </c>
      <c r="Q1058" s="84" t="s">
        <v>2521</v>
      </c>
      <c r="R1058" s="84"/>
      <c r="S1058">
        <v>1</v>
      </c>
      <c r="T1058" s="168" t="str">
        <f t="shared" si="39"/>
        <v>PRESTAMOS BANCARIOS - COMISIONES BANCARIOS Disponible $107462.01 Solicitado $28.25 PRESUPUESTO: SI</v>
      </c>
    </row>
    <row r="1059" spans="1:20" ht="75" x14ac:dyDescent="0.25">
      <c r="A1059" s="6">
        <f t="shared" si="40"/>
        <v>969</v>
      </c>
      <c r="B1059" s="21">
        <v>45352</v>
      </c>
      <c r="C1059" s="126" t="s">
        <v>2570</v>
      </c>
      <c r="D1059" s="65" t="s">
        <v>2619</v>
      </c>
      <c r="E1059" s="174" t="s">
        <v>2620</v>
      </c>
      <c r="F1059" t="s">
        <v>1752</v>
      </c>
      <c r="G1059" s="161">
        <f>MONTH(EJECUTADO[[#This Row],[FECHA]])</f>
        <v>3</v>
      </c>
      <c r="H1059" s="163" t="str">
        <f>MID(EJECUTADO[[#This Row],[CUENTA]],1,4)</f>
        <v>E-02</v>
      </c>
      <c r="I1059" s="163" t="str">
        <f>INDEX(CATALOGO[Descripción],MATCH(EJECUTADO[[#This Row],[APLICACIÓN]]&amp;"-00-00-00",CATALOGO[Código],0))</f>
        <v>PRESTAMOS BANCARIOS</v>
      </c>
      <c r="J10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59" s="161" t="str">
        <f>IF((EJECUTADO[[#This Row],[MONTO DISPONIBLE ]]-EJECUTADO[[#This Row],[MONTO SOLICITADO]])&gt;=0,"PRESUPUESTO: SI","PRESUPUESTO: NO")</f>
        <v>PRESUPUESTO: SI</v>
      </c>
      <c r="L1059" s="162">
        <f>SUMIF(PRESUPUESTO[CUENTA],EJECUTADO[[#This Row],[CUENTA]],PRESUPUESTO[MONTO])-SUMIF($F$1:F1058,EJECUTADO[[#This Row],[CUENTA]],$M$1:M1058)</f>
        <v>107433.76000000001</v>
      </c>
      <c r="M1059" s="2">
        <v>125.76</v>
      </c>
      <c r="N1059" s="84"/>
      <c r="O1059" s="84"/>
      <c r="P1059" s="162">
        <f>+EJECUTADO[[#This Row],[MONTO SOLICITADO]]-EJECUTADO[[#This Row],[RETENCION IVA]]-EJECUTADO[[#This Row],[RETENCION ISR]]</f>
        <v>125.76</v>
      </c>
      <c r="Q1059" s="84" t="s">
        <v>2521</v>
      </c>
      <c r="R1059" s="84"/>
      <c r="S1059">
        <v>1</v>
      </c>
      <c r="T1059" s="168" t="str">
        <f t="shared" si="39"/>
        <v>PRESTAMOS BANCARIOS - COMISIONES BANCARIOS Disponible $107433.76 Solicitado $125.76 PRESUPUESTO: SI</v>
      </c>
    </row>
    <row r="1060" spans="1:20" ht="60" x14ac:dyDescent="0.25">
      <c r="A1060" s="6">
        <f t="shared" si="40"/>
        <v>970</v>
      </c>
      <c r="B1060" s="21">
        <v>45352</v>
      </c>
      <c r="C1060" s="126" t="s">
        <v>2570</v>
      </c>
      <c r="D1060" s="65" t="s">
        <v>2621</v>
      </c>
      <c r="E1060" s="174" t="s">
        <v>2622</v>
      </c>
      <c r="F1060" t="s">
        <v>1752</v>
      </c>
      <c r="G1060" s="161">
        <f>MONTH(EJECUTADO[[#This Row],[FECHA]])</f>
        <v>3</v>
      </c>
      <c r="H1060" s="163" t="str">
        <f>MID(EJECUTADO[[#This Row],[CUENTA]],1,4)</f>
        <v>E-02</v>
      </c>
      <c r="I1060" s="163" t="str">
        <f>INDEX(CATALOGO[Descripción],MATCH(EJECUTADO[[#This Row],[APLICACIÓN]]&amp;"-00-00-00",CATALOGO[Código],0))</f>
        <v>PRESTAMOS BANCARIOS</v>
      </c>
      <c r="J10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0" s="161" t="str">
        <f>IF((EJECUTADO[[#This Row],[MONTO DISPONIBLE ]]-EJECUTADO[[#This Row],[MONTO SOLICITADO]])&gt;=0,"PRESUPUESTO: SI","PRESUPUESTO: NO")</f>
        <v>PRESUPUESTO: SI</v>
      </c>
      <c r="L1060" s="162">
        <f>SUMIF(PRESUPUESTO[CUENTA],EJECUTADO[[#This Row],[CUENTA]],PRESUPUESTO[MONTO])-SUMIF($F$1:F1059,EJECUTADO[[#This Row],[CUENTA]],$M$1:M1059)</f>
        <v>107308</v>
      </c>
      <c r="M1060" s="2">
        <v>27.37</v>
      </c>
      <c r="N1060" s="84"/>
      <c r="O1060" s="84"/>
      <c r="P1060" s="162">
        <f>+EJECUTADO[[#This Row],[MONTO SOLICITADO]]-EJECUTADO[[#This Row],[RETENCION IVA]]-EJECUTADO[[#This Row],[RETENCION ISR]]</f>
        <v>27.37</v>
      </c>
      <c r="Q1060" s="84" t="s">
        <v>2521</v>
      </c>
      <c r="R1060" s="84"/>
      <c r="S1060">
        <v>1</v>
      </c>
      <c r="T1060" s="168" t="str">
        <f t="shared" si="39"/>
        <v>PRESTAMOS BANCARIOS - COMISIONES BANCARIOS Disponible $107308 Solicitado $27.37 PRESUPUESTO: SI</v>
      </c>
    </row>
    <row r="1061" spans="1:20" ht="75" x14ac:dyDescent="0.25">
      <c r="A1061" s="6">
        <f t="shared" si="40"/>
        <v>971</v>
      </c>
      <c r="B1061" s="21">
        <v>45358</v>
      </c>
      <c r="C1061" s="126" t="s">
        <v>2570</v>
      </c>
      <c r="D1061" s="65" t="s">
        <v>2623</v>
      </c>
      <c r="E1061" s="174" t="s">
        <v>2624</v>
      </c>
      <c r="F1061" t="s">
        <v>1752</v>
      </c>
      <c r="G1061" s="161">
        <f>MONTH(EJECUTADO[[#This Row],[FECHA]])</f>
        <v>3</v>
      </c>
      <c r="H1061" s="163" t="str">
        <f>MID(EJECUTADO[[#This Row],[CUENTA]],1,4)</f>
        <v>E-02</v>
      </c>
      <c r="I1061" s="163" t="str">
        <f>INDEX(CATALOGO[Descripción],MATCH(EJECUTADO[[#This Row],[APLICACIÓN]]&amp;"-00-00-00",CATALOGO[Código],0))</f>
        <v>PRESTAMOS BANCARIOS</v>
      </c>
      <c r="J10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1" s="161" t="str">
        <f>IF((EJECUTADO[[#This Row],[MONTO DISPONIBLE ]]-EJECUTADO[[#This Row],[MONTO SOLICITADO]])&gt;=0,"PRESUPUESTO: SI","PRESUPUESTO: NO")</f>
        <v>PRESUPUESTO: SI</v>
      </c>
      <c r="L1061" s="162">
        <f>SUMIF(PRESUPUESTO[CUENTA],EJECUTADO[[#This Row],[CUENTA]],PRESUPUESTO[MONTO])-SUMIF($F$1:F1060,EJECUTADO[[#This Row],[CUENTA]],$M$1:M1060)</f>
        <v>107280.63</v>
      </c>
      <c r="M1061" s="2">
        <v>28.25</v>
      </c>
      <c r="N1061" s="84"/>
      <c r="O1061" s="84"/>
      <c r="P1061" s="162">
        <f>+EJECUTADO[[#This Row],[MONTO SOLICITADO]]-EJECUTADO[[#This Row],[RETENCION IVA]]-EJECUTADO[[#This Row],[RETENCION ISR]]</f>
        <v>28.25</v>
      </c>
      <c r="Q1061" s="84" t="s">
        <v>2521</v>
      </c>
      <c r="R1061" s="84"/>
      <c r="S1061">
        <v>1</v>
      </c>
      <c r="T1061" s="168" t="str">
        <f t="shared" si="39"/>
        <v>PRESTAMOS BANCARIOS - COMISIONES BANCARIOS Disponible $107280.63 Solicitado $28.25 PRESUPUESTO: SI</v>
      </c>
    </row>
    <row r="1062" spans="1:20" ht="75" x14ac:dyDescent="0.25">
      <c r="A1062" s="6">
        <f t="shared" si="40"/>
        <v>972</v>
      </c>
      <c r="B1062" s="21">
        <v>45322</v>
      </c>
      <c r="C1062" s="126" t="s">
        <v>2567</v>
      </c>
      <c r="D1062" s="65" t="s">
        <v>2625</v>
      </c>
      <c r="E1062" s="174" t="s">
        <v>2626</v>
      </c>
      <c r="F1062" t="s">
        <v>1752</v>
      </c>
      <c r="G1062" s="161">
        <f>MONTH(EJECUTADO[[#This Row],[FECHA]])</f>
        <v>1</v>
      </c>
      <c r="H1062" s="163" t="str">
        <f>MID(EJECUTADO[[#This Row],[CUENTA]],1,4)</f>
        <v>E-02</v>
      </c>
      <c r="I1062" s="163" t="str">
        <f>INDEX(CATALOGO[Descripción],MATCH(EJECUTADO[[#This Row],[APLICACIÓN]]&amp;"-00-00-00",CATALOGO[Código],0))</f>
        <v>PRESTAMOS BANCARIOS</v>
      </c>
      <c r="J10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2" s="161" t="str">
        <f>IF((EJECUTADO[[#This Row],[MONTO DISPONIBLE ]]-EJECUTADO[[#This Row],[MONTO SOLICITADO]])&gt;=0,"PRESUPUESTO: SI","PRESUPUESTO: NO")</f>
        <v>PRESUPUESTO: SI</v>
      </c>
      <c r="L1062" s="162">
        <f>SUMIF(PRESUPUESTO[CUENTA],EJECUTADO[[#This Row],[CUENTA]],PRESUPUESTO[MONTO])-SUMIF($F$1:F1061,EJECUTADO[[#This Row],[CUENTA]],$M$1:M1061)</f>
        <v>107252.38</v>
      </c>
      <c r="M1062" s="2">
        <v>346.8</v>
      </c>
      <c r="N1062" s="84"/>
      <c r="O1062" s="84"/>
      <c r="P1062" s="162">
        <f>+EJECUTADO[[#This Row],[MONTO SOLICITADO]]-EJECUTADO[[#This Row],[RETENCION IVA]]-EJECUTADO[[#This Row],[RETENCION ISR]]</f>
        <v>346.8</v>
      </c>
      <c r="Q1062" s="84" t="s">
        <v>2521</v>
      </c>
      <c r="R1062" s="84"/>
      <c r="S1062">
        <v>1</v>
      </c>
      <c r="T1062" s="168" t="str">
        <f t="shared" si="39"/>
        <v>PRESTAMOS BANCARIOS - COMISIONES BANCARIOS Disponible $107252.38 Solicitado $346.8 PRESUPUESTO: SI</v>
      </c>
    </row>
    <row r="1063" spans="1:20" ht="75" x14ac:dyDescent="0.25">
      <c r="A1063" s="6">
        <f t="shared" si="40"/>
        <v>973</v>
      </c>
      <c r="B1063" s="21">
        <v>45322</v>
      </c>
      <c r="C1063" s="126" t="s">
        <v>2567</v>
      </c>
      <c r="D1063" s="65" t="s">
        <v>2627</v>
      </c>
      <c r="E1063" s="174" t="s">
        <v>2628</v>
      </c>
      <c r="F1063" t="s">
        <v>1752</v>
      </c>
      <c r="G1063" s="161">
        <f>MONTH(EJECUTADO[[#This Row],[FECHA]])</f>
        <v>1</v>
      </c>
      <c r="H1063" s="163" t="str">
        <f>MID(EJECUTADO[[#This Row],[CUENTA]],1,4)</f>
        <v>E-02</v>
      </c>
      <c r="I1063" s="163" t="str">
        <f>INDEX(CATALOGO[Descripción],MATCH(EJECUTADO[[#This Row],[APLICACIÓN]]&amp;"-00-00-00",CATALOGO[Código],0))</f>
        <v>PRESTAMOS BANCARIOS</v>
      </c>
      <c r="J10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3" s="161" t="str">
        <f>IF((EJECUTADO[[#This Row],[MONTO DISPONIBLE ]]-EJECUTADO[[#This Row],[MONTO SOLICITADO]])&gt;=0,"PRESUPUESTO: SI","PRESUPUESTO: NO")</f>
        <v>PRESUPUESTO: SI</v>
      </c>
      <c r="L1063" s="162">
        <f>SUMIF(PRESUPUESTO[CUENTA],EJECUTADO[[#This Row],[CUENTA]],PRESUPUESTO[MONTO])-SUMIF($F$1:F1062,EJECUTADO[[#This Row],[CUENTA]],$M$1:M1062)</f>
        <v>106905.58</v>
      </c>
      <c r="M1063" s="2">
        <v>45.08</v>
      </c>
      <c r="N1063" s="84"/>
      <c r="O1063" s="84"/>
      <c r="P1063" s="162">
        <f>+EJECUTADO[[#This Row],[MONTO SOLICITADO]]-EJECUTADO[[#This Row],[RETENCION IVA]]-EJECUTADO[[#This Row],[RETENCION ISR]]</f>
        <v>45.08</v>
      </c>
      <c r="Q1063" s="84" t="s">
        <v>2521</v>
      </c>
      <c r="R1063" s="84"/>
      <c r="S1063">
        <v>1</v>
      </c>
      <c r="T1063" s="168" t="str">
        <f t="shared" si="39"/>
        <v>PRESTAMOS BANCARIOS - COMISIONES BANCARIOS Disponible $106905.58 Solicitado $45.08 PRESUPUESTO: SI</v>
      </c>
    </row>
    <row r="1064" spans="1:20" ht="75" x14ac:dyDescent="0.25">
      <c r="A1064" s="6">
        <f t="shared" si="40"/>
        <v>974</v>
      </c>
      <c r="B1064" s="21">
        <v>45351</v>
      </c>
      <c r="C1064" s="126" t="s">
        <v>2567</v>
      </c>
      <c r="D1064" s="65" t="s">
        <v>2629</v>
      </c>
      <c r="E1064" s="174" t="s">
        <v>2630</v>
      </c>
      <c r="F1064" t="s">
        <v>1752</v>
      </c>
      <c r="G1064" s="161">
        <f>MONTH(EJECUTADO[[#This Row],[FECHA]])</f>
        <v>2</v>
      </c>
      <c r="H1064" s="163" t="str">
        <f>MID(EJECUTADO[[#This Row],[CUENTA]],1,4)</f>
        <v>E-02</v>
      </c>
      <c r="I1064" s="163" t="str">
        <f>INDEX(CATALOGO[Descripción],MATCH(EJECUTADO[[#This Row],[APLICACIÓN]]&amp;"-00-00-00",CATALOGO[Código],0))</f>
        <v>PRESTAMOS BANCARIOS</v>
      </c>
      <c r="J10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4" s="161" t="str">
        <f>IF((EJECUTADO[[#This Row],[MONTO DISPONIBLE ]]-EJECUTADO[[#This Row],[MONTO SOLICITADO]])&gt;=0,"PRESUPUESTO: SI","PRESUPUESTO: NO")</f>
        <v>PRESUPUESTO: SI</v>
      </c>
      <c r="L1064" s="162">
        <f>SUMIF(PRESUPUESTO[CUENTA],EJECUTADO[[#This Row],[CUENTA]],PRESUPUESTO[MONTO])-SUMIF($F$1:F1063,EJECUTADO[[#This Row],[CUENTA]],$M$1:M1063)</f>
        <v>106860.5</v>
      </c>
      <c r="M1064" s="2">
        <v>38.53</v>
      </c>
      <c r="N1064" s="84"/>
      <c r="O1064" s="84"/>
      <c r="P1064" s="162">
        <f>+EJECUTADO[[#This Row],[MONTO SOLICITADO]]-EJECUTADO[[#This Row],[RETENCION IVA]]-EJECUTADO[[#This Row],[RETENCION ISR]]</f>
        <v>38.53</v>
      </c>
      <c r="Q1064" s="84" t="s">
        <v>2521</v>
      </c>
      <c r="R1064" s="84"/>
      <c r="S1064">
        <v>1</v>
      </c>
      <c r="T1064" s="168" t="str">
        <f t="shared" si="39"/>
        <v>PRESTAMOS BANCARIOS - COMISIONES BANCARIOS Disponible $106860.5 Solicitado $38.53 PRESUPUESTO: SI</v>
      </c>
    </row>
    <row r="1065" spans="1:20" ht="75" x14ac:dyDescent="0.25">
      <c r="A1065" s="6">
        <f t="shared" si="40"/>
        <v>975</v>
      </c>
      <c r="B1065" s="21">
        <v>45351</v>
      </c>
      <c r="C1065" s="126" t="s">
        <v>2567</v>
      </c>
      <c r="D1065" s="65" t="s">
        <v>2631</v>
      </c>
      <c r="E1065" s="174" t="s">
        <v>2632</v>
      </c>
      <c r="F1065" t="s">
        <v>1752</v>
      </c>
      <c r="G1065" s="161">
        <f>MONTH(EJECUTADO[[#This Row],[FECHA]])</f>
        <v>2</v>
      </c>
      <c r="H1065" s="163" t="str">
        <f>MID(EJECUTADO[[#This Row],[CUENTA]],1,4)</f>
        <v>E-02</v>
      </c>
      <c r="I1065" s="163" t="str">
        <f>INDEX(CATALOGO[Descripción],MATCH(EJECUTADO[[#This Row],[APLICACIÓN]]&amp;"-00-00-00",CATALOGO[Código],0))</f>
        <v>PRESTAMOS BANCARIOS</v>
      </c>
      <c r="J10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65" s="161" t="str">
        <f>IF((EJECUTADO[[#This Row],[MONTO DISPONIBLE ]]-EJECUTADO[[#This Row],[MONTO SOLICITADO]])&gt;=0,"PRESUPUESTO: SI","PRESUPUESTO: NO")</f>
        <v>PRESUPUESTO: SI</v>
      </c>
      <c r="L1065" s="162">
        <f>SUMIF(PRESUPUESTO[CUENTA],EJECUTADO[[#This Row],[CUENTA]],PRESUPUESTO[MONTO])-SUMIF($F$1:F1064,EJECUTADO[[#This Row],[CUENTA]],$M$1:M1064)</f>
        <v>106821.97</v>
      </c>
      <c r="M1065" s="2">
        <v>296.39999999999998</v>
      </c>
      <c r="N1065" s="84"/>
      <c r="O1065" s="84"/>
      <c r="P1065" s="162">
        <f>+EJECUTADO[[#This Row],[MONTO SOLICITADO]]-EJECUTADO[[#This Row],[RETENCION IVA]]-EJECUTADO[[#This Row],[RETENCION ISR]]</f>
        <v>296.39999999999998</v>
      </c>
      <c r="Q1065" s="84" t="s">
        <v>2521</v>
      </c>
      <c r="R1065" s="84"/>
      <c r="S1065">
        <v>1</v>
      </c>
      <c r="T1065" s="168" t="str">
        <f t="shared" si="39"/>
        <v>PRESTAMOS BANCARIOS - COMISIONES BANCARIOS Disponible $106821.97 Solicitado $296.4 PRESUPUESTO: SI</v>
      </c>
    </row>
    <row r="1066" spans="1:20" ht="105" x14ac:dyDescent="0.25">
      <c r="A1066" s="6">
        <f t="shared" si="40"/>
        <v>976</v>
      </c>
      <c r="B1066" s="21">
        <v>45299</v>
      </c>
      <c r="C1066" s="126" t="s">
        <v>2633</v>
      </c>
      <c r="D1066" s="65" t="s">
        <v>2634</v>
      </c>
      <c r="E1066" s="65" t="s">
        <v>2635</v>
      </c>
      <c r="F1066" t="s">
        <v>2636</v>
      </c>
      <c r="G1066" s="161">
        <f>MONTH(EJECUTADO[[#This Row],[FECHA]])</f>
        <v>1</v>
      </c>
      <c r="H1066" s="163" t="str">
        <f>MID(EJECUTADO[[#This Row],[CUENTA]],1,4)</f>
        <v>E-09</v>
      </c>
      <c r="I1066" s="163" t="str">
        <f>INDEX(CATALOGO[Descripción],MATCH(EJECUTADO[[#This Row],[APLICACIÓN]]&amp;"-00-00-00",CATALOGO[Código],0))</f>
        <v>PRESTACIONES AL PERSONAL</v>
      </c>
      <c r="J10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Prestación laboral por defunción familiar</v>
      </c>
      <c r="K1066" s="161" t="str">
        <f>IF((EJECUTADO[[#This Row],[MONTO DISPONIBLE ]]-EJECUTADO[[#This Row],[MONTO SOLICITADO]])&gt;=0,"PRESUPUESTO: SI","PRESUPUESTO: NO")</f>
        <v>PRESUPUESTO: SI</v>
      </c>
      <c r="L1066" s="162">
        <f>SUMIF(PRESUPUESTO[CUENTA],EJECUTADO[[#This Row],[CUENTA]],PRESUPUESTO[MONTO])-SUMIF($F$1:F1065,EJECUTADO[[#This Row],[CUENTA]],$M$1:M1065)</f>
        <v>3000</v>
      </c>
      <c r="M1066" s="2">
        <v>300</v>
      </c>
      <c r="N1066" s="84"/>
      <c r="O1066" s="84"/>
      <c r="P1066" s="162">
        <f>+EJECUTADO[[#This Row],[MONTO SOLICITADO]]-EJECUTADO[[#This Row],[RETENCION IVA]]-EJECUTADO[[#This Row],[RETENCION ISR]]</f>
        <v>300</v>
      </c>
      <c r="Q1066" s="84" t="s">
        <v>2521</v>
      </c>
      <c r="R1066" s="84"/>
      <c r="S1066">
        <v>1</v>
      </c>
      <c r="T1066" s="168" t="str">
        <f t="shared" si="39"/>
        <v>PRESTACIONES AL PERSONAL - Prestación laboral por defunción familiar Disponible $3000 Solicitado $300 PRESUPUESTO: SI</v>
      </c>
    </row>
    <row r="1067" spans="1:20" ht="90" x14ac:dyDescent="0.25">
      <c r="A1067" s="6">
        <f t="shared" si="40"/>
        <v>977</v>
      </c>
      <c r="B1067" s="21">
        <v>45299</v>
      </c>
      <c r="C1067" s="126" t="s">
        <v>2637</v>
      </c>
      <c r="D1067" s="65" t="s">
        <v>2638</v>
      </c>
      <c r="E1067" s="65" t="s">
        <v>2639</v>
      </c>
      <c r="F1067" t="s">
        <v>2636</v>
      </c>
      <c r="G1067" s="161">
        <f>MONTH(EJECUTADO[[#This Row],[FECHA]])</f>
        <v>1</v>
      </c>
      <c r="H1067" s="163" t="str">
        <f>MID(EJECUTADO[[#This Row],[CUENTA]],1,4)</f>
        <v>E-09</v>
      </c>
      <c r="I1067" s="163" t="str">
        <f>INDEX(CATALOGO[Descripción],MATCH(EJECUTADO[[#This Row],[APLICACIÓN]]&amp;"-00-00-00",CATALOGO[Código],0))</f>
        <v>PRESTACIONES AL PERSONAL</v>
      </c>
      <c r="J10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Prestación laboral por defunción familiar</v>
      </c>
      <c r="K1067" s="161" t="str">
        <f>IF((EJECUTADO[[#This Row],[MONTO DISPONIBLE ]]-EJECUTADO[[#This Row],[MONTO SOLICITADO]])&gt;=0,"PRESUPUESTO: SI","PRESUPUESTO: NO")</f>
        <v>PRESUPUESTO: SI</v>
      </c>
      <c r="L1067" s="162">
        <f>SUMIF(PRESUPUESTO[CUENTA],EJECUTADO[[#This Row],[CUENTA]],PRESUPUESTO[MONTO])-SUMIF($F$1:F1066,EJECUTADO[[#This Row],[CUENTA]],$M$1:M1066)</f>
        <v>2700</v>
      </c>
      <c r="M1067" s="2">
        <v>600</v>
      </c>
      <c r="N1067" s="84"/>
      <c r="O1067" s="84"/>
      <c r="P1067" s="162">
        <f>+EJECUTADO[[#This Row],[MONTO SOLICITADO]]-EJECUTADO[[#This Row],[RETENCION IVA]]-EJECUTADO[[#This Row],[RETENCION ISR]]</f>
        <v>600</v>
      </c>
      <c r="Q1067" s="84" t="s">
        <v>2521</v>
      </c>
      <c r="R1067" s="84"/>
      <c r="S1067">
        <v>1</v>
      </c>
      <c r="T1067" s="168" t="str">
        <f t="shared" si="39"/>
        <v>PRESTACIONES AL PERSONAL - Prestación laboral por defunción familiar Disponible $2700 Solicitado $600 PRESUPUESTO: SI</v>
      </c>
    </row>
    <row r="1068" spans="1:20" ht="90" x14ac:dyDescent="0.25">
      <c r="A1068" s="6">
        <f t="shared" si="40"/>
        <v>978</v>
      </c>
      <c r="B1068" s="21">
        <v>45316</v>
      </c>
      <c r="C1068" s="126" t="s">
        <v>2640</v>
      </c>
      <c r="D1068" s="65" t="s">
        <v>2641</v>
      </c>
      <c r="E1068" s="65" t="s">
        <v>2642</v>
      </c>
      <c r="F1068" t="s">
        <v>2636</v>
      </c>
      <c r="G1068" s="161">
        <f>MONTH(EJECUTADO[[#This Row],[FECHA]])</f>
        <v>1</v>
      </c>
      <c r="H1068" s="163" t="str">
        <f>MID(EJECUTADO[[#This Row],[CUENTA]],1,4)</f>
        <v>E-09</v>
      </c>
      <c r="I1068" s="163" t="str">
        <f>INDEX(CATALOGO[Descripción],MATCH(EJECUTADO[[#This Row],[APLICACIÓN]]&amp;"-00-00-00",CATALOGO[Código],0))</f>
        <v>PRESTACIONES AL PERSONAL</v>
      </c>
      <c r="J10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Prestación laboral por defunción familiar</v>
      </c>
      <c r="K1068" s="161" t="str">
        <f>IF((EJECUTADO[[#This Row],[MONTO DISPONIBLE ]]-EJECUTADO[[#This Row],[MONTO SOLICITADO]])&gt;=0,"PRESUPUESTO: SI","PRESUPUESTO: NO")</f>
        <v>PRESUPUESTO: SI</v>
      </c>
      <c r="L1068" s="162">
        <f>SUMIF(PRESUPUESTO[CUENTA],EJECUTADO[[#This Row],[CUENTA]],PRESUPUESTO[MONTO])-SUMIF($F$1:F1067,EJECUTADO[[#This Row],[CUENTA]],$M$1:M1067)</f>
        <v>2100</v>
      </c>
      <c r="M1068" s="2">
        <v>300</v>
      </c>
      <c r="N1068" s="84"/>
      <c r="O1068" s="84"/>
      <c r="P1068" s="162">
        <f>+EJECUTADO[[#This Row],[MONTO SOLICITADO]]-EJECUTADO[[#This Row],[RETENCION IVA]]-EJECUTADO[[#This Row],[RETENCION ISR]]</f>
        <v>300</v>
      </c>
      <c r="Q1068" s="84" t="s">
        <v>2521</v>
      </c>
      <c r="R1068" s="84"/>
      <c r="S1068">
        <v>1</v>
      </c>
      <c r="T1068" s="168" t="str">
        <f t="shared" si="39"/>
        <v>PRESTACIONES AL PERSONAL - Prestación laboral por defunción familiar Disponible $2100 Solicitado $300 PRESUPUESTO: SI</v>
      </c>
    </row>
    <row r="1069" spans="1:20" ht="105" x14ac:dyDescent="0.25">
      <c r="A1069" s="6">
        <f t="shared" si="40"/>
        <v>979</v>
      </c>
      <c r="B1069" s="21">
        <v>45320</v>
      </c>
      <c r="C1069" s="126" t="s">
        <v>2643</v>
      </c>
      <c r="D1069" s="65" t="s">
        <v>2644</v>
      </c>
      <c r="E1069" s="65" t="s">
        <v>2645</v>
      </c>
      <c r="F1069" t="s">
        <v>2636</v>
      </c>
      <c r="G1069" s="161">
        <f>MONTH(EJECUTADO[[#This Row],[FECHA]])</f>
        <v>1</v>
      </c>
      <c r="H1069" s="163" t="str">
        <f>MID(EJECUTADO[[#This Row],[CUENTA]],1,4)</f>
        <v>E-09</v>
      </c>
      <c r="I1069" s="163" t="str">
        <f>INDEX(CATALOGO[Descripción],MATCH(EJECUTADO[[#This Row],[APLICACIÓN]]&amp;"-00-00-00",CATALOGO[Código],0))</f>
        <v>PRESTACIONES AL PERSONAL</v>
      </c>
      <c r="J10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Prestación laboral por defunción familiar</v>
      </c>
      <c r="K1069" s="161" t="str">
        <f>IF((EJECUTADO[[#This Row],[MONTO DISPONIBLE ]]-EJECUTADO[[#This Row],[MONTO SOLICITADO]])&gt;=0,"PRESUPUESTO: SI","PRESUPUESTO: NO")</f>
        <v>PRESUPUESTO: SI</v>
      </c>
      <c r="L1069" s="162">
        <f>SUMIF(PRESUPUESTO[CUENTA],EJECUTADO[[#This Row],[CUENTA]],PRESUPUESTO[MONTO])-SUMIF($F$1:F1068,EJECUTADO[[#This Row],[CUENTA]],$M$1:M1068)</f>
        <v>1800</v>
      </c>
      <c r="M1069" s="2">
        <v>300</v>
      </c>
      <c r="N1069" s="84"/>
      <c r="O1069" s="84"/>
      <c r="P1069" s="162">
        <f>+EJECUTADO[[#This Row],[MONTO SOLICITADO]]-EJECUTADO[[#This Row],[RETENCION IVA]]-EJECUTADO[[#This Row],[RETENCION ISR]]</f>
        <v>300</v>
      </c>
      <c r="Q1069" s="84" t="s">
        <v>2521</v>
      </c>
      <c r="R1069" s="84"/>
      <c r="S1069">
        <v>1</v>
      </c>
      <c r="T1069" s="168" t="str">
        <f t="shared" si="39"/>
        <v>PRESTACIONES AL PERSONAL - Prestación laboral por defunción familiar Disponible $1800 Solicitado $300 PRESUPUESTO: SI</v>
      </c>
    </row>
    <row r="1070" spans="1:20" ht="60" x14ac:dyDescent="0.25">
      <c r="A1070" s="6">
        <f t="shared" si="40"/>
        <v>980</v>
      </c>
      <c r="B1070" s="21">
        <v>45336</v>
      </c>
      <c r="C1070" s="126" t="s">
        <v>2646</v>
      </c>
      <c r="D1070" s="65" t="s">
        <v>2647</v>
      </c>
      <c r="E1070" s="65" t="s">
        <v>2648</v>
      </c>
      <c r="F1070" t="s">
        <v>1752</v>
      </c>
      <c r="G1070" s="161">
        <f>MONTH(EJECUTADO[[#This Row],[FECHA]])</f>
        <v>2</v>
      </c>
      <c r="H1070" s="163" t="str">
        <f>MID(EJECUTADO[[#This Row],[CUENTA]],1,4)</f>
        <v>E-02</v>
      </c>
      <c r="I1070" s="163" t="str">
        <f>INDEX(CATALOGO[Descripción],MATCH(EJECUTADO[[#This Row],[APLICACIÓN]]&amp;"-00-00-00",CATALOGO[Código],0))</f>
        <v>PRESTAMOS BANCARIOS</v>
      </c>
      <c r="J10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70" s="161" t="str">
        <f>IF((EJECUTADO[[#This Row],[MONTO DISPONIBLE ]]-EJECUTADO[[#This Row],[MONTO SOLICITADO]])&gt;=0,"PRESUPUESTO: SI","PRESUPUESTO: NO")</f>
        <v>PRESUPUESTO: SI</v>
      </c>
      <c r="L1070" s="162">
        <f>SUMIF(PRESUPUESTO[CUENTA],EJECUTADO[[#This Row],[CUENTA]],PRESUPUESTO[MONTO])-SUMIF($F$1:F1069,EJECUTADO[[#This Row],[CUENTA]],$M$1:M1069)</f>
        <v>106525.57</v>
      </c>
      <c r="M1070" s="2">
        <v>0.12</v>
      </c>
      <c r="N1070" s="84"/>
      <c r="O1070" s="84"/>
      <c r="P1070" s="162">
        <f>+EJECUTADO[[#This Row],[MONTO SOLICITADO]]-EJECUTADO[[#This Row],[RETENCION IVA]]-EJECUTADO[[#This Row],[RETENCION ISR]]</f>
        <v>0.12</v>
      </c>
      <c r="Q1070" s="84" t="s">
        <v>2521</v>
      </c>
      <c r="R1070" s="84"/>
      <c r="S1070">
        <v>1</v>
      </c>
      <c r="T1070" s="168" t="str">
        <f t="shared" si="39"/>
        <v>PRESTAMOS BANCARIOS - COMISIONES BANCARIOS Disponible $106525.57 Solicitado $0.12 PRESUPUESTO: SI</v>
      </c>
    </row>
    <row r="1071" spans="1:20" ht="60" x14ac:dyDescent="0.25">
      <c r="A1071" s="6">
        <f t="shared" si="40"/>
        <v>981</v>
      </c>
      <c r="B1071" s="21">
        <v>45351</v>
      </c>
      <c r="C1071" s="126" t="s">
        <v>2649</v>
      </c>
      <c r="D1071" s="65" t="s">
        <v>2650</v>
      </c>
      <c r="E1071" s="65" t="s">
        <v>2651</v>
      </c>
      <c r="F1071" t="s">
        <v>1752</v>
      </c>
      <c r="G1071" s="161">
        <f>MONTH(EJECUTADO[[#This Row],[FECHA]])</f>
        <v>2</v>
      </c>
      <c r="H1071" s="163" t="str">
        <f>MID(EJECUTADO[[#This Row],[CUENTA]],1,4)</f>
        <v>E-02</v>
      </c>
      <c r="I1071" s="163" t="str">
        <f>INDEX(CATALOGO[Descripción],MATCH(EJECUTADO[[#This Row],[APLICACIÓN]]&amp;"-00-00-00",CATALOGO[Código],0))</f>
        <v>PRESTAMOS BANCARIOS</v>
      </c>
      <c r="J10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071" s="161" t="str">
        <f>IF((EJECUTADO[[#This Row],[MONTO DISPONIBLE ]]-EJECUTADO[[#This Row],[MONTO SOLICITADO]])&gt;=0,"PRESUPUESTO: SI","PRESUPUESTO: NO")</f>
        <v>PRESUPUESTO: SI</v>
      </c>
      <c r="L1071" s="162">
        <f>SUMIF(PRESUPUESTO[CUENTA],EJECUTADO[[#This Row],[CUENTA]],PRESUPUESTO[MONTO])-SUMIF($F$1:F1070,EJECUTADO[[#This Row],[CUENTA]],$M$1:M1070)</f>
        <v>106525.45</v>
      </c>
      <c r="M1071" s="2">
        <v>310.82</v>
      </c>
      <c r="N1071" s="84"/>
      <c r="O1071" s="84"/>
      <c r="P1071" s="162">
        <f>+EJECUTADO[[#This Row],[MONTO SOLICITADO]]-EJECUTADO[[#This Row],[RETENCION IVA]]-EJECUTADO[[#This Row],[RETENCION ISR]]</f>
        <v>310.82</v>
      </c>
      <c r="Q1071" s="84" t="s">
        <v>2521</v>
      </c>
      <c r="R1071" s="84"/>
      <c r="S1071">
        <v>1</v>
      </c>
      <c r="T1071" s="168" t="str">
        <f t="shared" si="39"/>
        <v>PRESTAMOS BANCARIOS - COMISIONES BANCARIOS Disponible $106525.45 Solicitado $310.82 PRESUPUESTO: SI</v>
      </c>
    </row>
    <row r="1072" spans="1:20" x14ac:dyDescent="0.25">
      <c r="A1072" s="6">
        <f t="shared" si="40"/>
        <v>982</v>
      </c>
      <c r="B1072" s="21">
        <v>45301</v>
      </c>
      <c r="C1072" s="126" t="s">
        <v>2570</v>
      </c>
      <c r="D1072" s="155" t="s">
        <v>2652</v>
      </c>
      <c r="E1072" s="65" t="s">
        <v>2653</v>
      </c>
      <c r="F1072" t="s">
        <v>2654</v>
      </c>
      <c r="G1072" s="161">
        <f>MONTH(EJECUTADO[[#This Row],[FECHA]])</f>
        <v>1</v>
      </c>
      <c r="H1072" s="163" t="str">
        <f>MID(EJECUTADO[[#This Row],[CUENTA]],1,4)</f>
        <v>E-02</v>
      </c>
      <c r="I1072" s="163" t="str">
        <f>INDEX(CATALOGO[Descripción],MATCH(EJECUTADO[[#This Row],[APLICACIÓN]]&amp;"-00-00-00",CATALOGO[Código],0))</f>
        <v>PRESTAMOS BANCARIOS</v>
      </c>
      <c r="J10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72" s="161" t="str">
        <f>IF((EJECUTADO[[#This Row],[MONTO DISPONIBLE ]]-EJECUTADO[[#This Row],[MONTO SOLICITADO]])&gt;=0,"PRESUPUESTO: SI","PRESUPUESTO: NO")</f>
        <v>PRESUPUESTO: SI</v>
      </c>
      <c r="L1072" s="162">
        <f>SUMIF(PRESUPUESTO[CUENTA],EJECUTADO[[#This Row],[CUENTA]],PRESUPUESTO[MONTO])-SUMIF($F$1:F1071,EJECUTADO[[#This Row],[CUENTA]],$M$1:M1071)</f>
        <v>559100</v>
      </c>
      <c r="M1072" s="2">
        <v>24283.48</v>
      </c>
      <c r="N1072" s="84"/>
      <c r="O1072" s="84"/>
      <c r="P1072" s="162">
        <f>+EJECUTADO[[#This Row],[MONTO SOLICITADO]]-EJECUTADO[[#This Row],[RETENCION IVA]]-EJECUTADO[[#This Row],[RETENCION ISR]]</f>
        <v>24283.48</v>
      </c>
      <c r="Q1072" s="84" t="s">
        <v>2521</v>
      </c>
      <c r="R1072" s="84"/>
      <c r="S1072">
        <v>1</v>
      </c>
      <c r="T1072" s="168" t="str">
        <f t="shared" si="39"/>
        <v>PRESTAMOS BANCARIOS -  DAVIVIENDA REF: 000704399016  Disponible $559100 Solicitado $24283.48 PRESUPUESTO: SI</v>
      </c>
    </row>
    <row r="1073" spans="1:20" ht="60" x14ac:dyDescent="0.25">
      <c r="A1073" s="6">
        <f t="shared" si="40"/>
        <v>983</v>
      </c>
      <c r="B1073" s="21">
        <v>45301</v>
      </c>
      <c r="C1073" s="126" t="s">
        <v>2570</v>
      </c>
      <c r="D1073" s="65" t="s">
        <v>2655</v>
      </c>
      <c r="E1073" s="65" t="s">
        <v>2653</v>
      </c>
      <c r="F1073" t="s">
        <v>2654</v>
      </c>
      <c r="G1073" s="161">
        <f>MONTH(EJECUTADO[[#This Row],[FECHA]])</f>
        <v>1</v>
      </c>
      <c r="H1073" s="163" t="str">
        <f>MID(EJECUTADO[[#This Row],[CUENTA]],1,4)</f>
        <v>E-02</v>
      </c>
      <c r="I1073" s="163" t="str">
        <f>INDEX(CATALOGO[Descripción],MATCH(EJECUTADO[[#This Row],[APLICACIÓN]]&amp;"-00-00-00",CATALOGO[Código],0))</f>
        <v>PRESTAMOS BANCARIOS</v>
      </c>
      <c r="J10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73" s="161" t="str">
        <f>IF((EJECUTADO[[#This Row],[MONTO DISPONIBLE ]]-EJECUTADO[[#This Row],[MONTO SOLICITADO]])&gt;=0,"PRESUPUESTO: SI","PRESUPUESTO: NO")</f>
        <v>PRESUPUESTO: SI</v>
      </c>
      <c r="L1073" s="162">
        <f>SUMIF(PRESUPUESTO[CUENTA],EJECUTADO[[#This Row],[CUENTA]],PRESUPUESTO[MONTO])-SUMIF($F$1:F1072,EJECUTADO[[#This Row],[CUENTA]],$M$1:M1072)</f>
        <v>534816.52</v>
      </c>
      <c r="M1073" s="2">
        <v>10065.459999999999</v>
      </c>
      <c r="N1073" s="84"/>
      <c r="O1073" s="84"/>
      <c r="P1073" s="162">
        <f>+EJECUTADO[[#This Row],[MONTO SOLICITADO]]-EJECUTADO[[#This Row],[RETENCION IVA]]-EJECUTADO[[#This Row],[RETENCION ISR]]</f>
        <v>10065.459999999999</v>
      </c>
      <c r="Q1073" s="84" t="s">
        <v>2521</v>
      </c>
      <c r="R1073" s="84"/>
      <c r="S1073">
        <v>1</v>
      </c>
      <c r="T1073" s="168" t="str">
        <f t="shared" si="39"/>
        <v>PRESTAMOS BANCARIOS -  DAVIVIENDA REF: 000704399016  Disponible $534816.52 Solicitado $10065.46 PRESUPUESTO: SI</v>
      </c>
    </row>
    <row r="1074" spans="1:20" ht="60" x14ac:dyDescent="0.25">
      <c r="A1074" s="6">
        <f t="shared" si="40"/>
        <v>984</v>
      </c>
      <c r="B1074" s="21">
        <v>45332</v>
      </c>
      <c r="C1074" s="126" t="s">
        <v>2570</v>
      </c>
      <c r="D1074" s="65" t="s">
        <v>2656</v>
      </c>
      <c r="E1074" s="65" t="s">
        <v>2657</v>
      </c>
      <c r="F1074" t="s">
        <v>2654</v>
      </c>
      <c r="G1074" s="161">
        <f>MONTH(EJECUTADO[[#This Row],[FECHA]])</f>
        <v>2</v>
      </c>
      <c r="H1074" s="163" t="str">
        <f>MID(EJECUTADO[[#This Row],[CUENTA]],1,4)</f>
        <v>E-02</v>
      </c>
      <c r="I1074" s="163" t="str">
        <f>INDEX(CATALOGO[Descripción],MATCH(EJECUTADO[[#This Row],[APLICACIÓN]]&amp;"-00-00-00",CATALOGO[Código],0))</f>
        <v>PRESTAMOS BANCARIOS</v>
      </c>
      <c r="J10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74" s="161" t="str">
        <f>IF((EJECUTADO[[#This Row],[MONTO DISPONIBLE ]]-EJECUTADO[[#This Row],[MONTO SOLICITADO]])&gt;=0,"PRESUPUESTO: SI","PRESUPUESTO: NO")</f>
        <v>PRESUPUESTO: SI</v>
      </c>
      <c r="L1074" s="162">
        <f>SUMIF(PRESUPUESTO[CUENTA],EJECUTADO[[#This Row],[CUENTA]],PRESUPUESTO[MONTO])-SUMIF($F$1:F1073,EJECUTADO[[#This Row],[CUENTA]],$M$1:M1073)</f>
        <v>524751.06000000006</v>
      </c>
      <c r="M1074" s="2">
        <v>24473.84</v>
      </c>
      <c r="N1074" s="84"/>
      <c r="O1074" s="84"/>
      <c r="P1074" s="162">
        <f>+EJECUTADO[[#This Row],[MONTO SOLICITADO]]-EJECUTADO[[#This Row],[RETENCION IVA]]-EJECUTADO[[#This Row],[RETENCION ISR]]</f>
        <v>24473.84</v>
      </c>
      <c r="Q1074" s="84" t="s">
        <v>2521</v>
      </c>
      <c r="R1074" s="84"/>
      <c r="S1074">
        <v>1</v>
      </c>
      <c r="T1074" s="168" t="str">
        <f t="shared" si="39"/>
        <v>PRESTAMOS BANCARIOS -  DAVIVIENDA REF: 000704399016  Disponible $524751.06 Solicitado $24473.84 PRESUPUESTO: SI</v>
      </c>
    </row>
    <row r="1075" spans="1:20" ht="60" x14ac:dyDescent="0.25">
      <c r="A1075" s="6">
        <f t="shared" si="40"/>
        <v>985</v>
      </c>
      <c r="B1075" s="21">
        <v>45332</v>
      </c>
      <c r="C1075" s="126" t="s">
        <v>2570</v>
      </c>
      <c r="D1075" s="65" t="s">
        <v>2658</v>
      </c>
      <c r="E1075" s="65" t="s">
        <v>2657</v>
      </c>
      <c r="F1075" t="s">
        <v>2654</v>
      </c>
      <c r="G1075" s="161">
        <f>MONTH(EJECUTADO[[#This Row],[FECHA]])</f>
        <v>2</v>
      </c>
      <c r="H1075" s="163" t="str">
        <f>MID(EJECUTADO[[#This Row],[CUENTA]],1,4)</f>
        <v>E-02</v>
      </c>
      <c r="I1075" s="163" t="str">
        <f>INDEX(CATALOGO[Descripción],MATCH(EJECUTADO[[#This Row],[APLICACIÓN]]&amp;"-00-00-00",CATALOGO[Código],0))</f>
        <v>PRESTAMOS BANCARIOS</v>
      </c>
      <c r="J10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75" s="161" t="str">
        <f>IF((EJECUTADO[[#This Row],[MONTO DISPONIBLE ]]-EJECUTADO[[#This Row],[MONTO SOLICITADO]])&gt;=0,"PRESUPUESTO: SI","PRESUPUESTO: NO")</f>
        <v>PRESUPUESTO: SI</v>
      </c>
      <c r="L1075" s="162">
        <f>SUMIF(PRESUPUESTO[CUENTA],EJECUTADO[[#This Row],[CUENTA]],PRESUPUESTO[MONTO])-SUMIF($F$1:F1074,EJECUTADO[[#This Row],[CUENTA]],$M$1:M1074)</f>
        <v>500277.22</v>
      </c>
      <c r="M1075" s="2">
        <v>22118.95</v>
      </c>
      <c r="N1075" s="84"/>
      <c r="O1075" s="84"/>
      <c r="P1075" s="162">
        <f>+EJECUTADO[[#This Row],[MONTO SOLICITADO]]-EJECUTADO[[#This Row],[RETENCION IVA]]-EJECUTADO[[#This Row],[RETENCION ISR]]</f>
        <v>22118.95</v>
      </c>
      <c r="Q1075" s="84" t="s">
        <v>2521</v>
      </c>
      <c r="R1075" s="84"/>
      <c r="S1075">
        <v>1</v>
      </c>
      <c r="T1075" s="168" t="str">
        <f t="shared" si="39"/>
        <v>PRESTAMOS BANCARIOS -  DAVIVIENDA REF: 000704399016  Disponible $500277.22 Solicitado $22118.95 PRESUPUESTO: SI</v>
      </c>
    </row>
    <row r="1076" spans="1:20" ht="60" x14ac:dyDescent="0.25">
      <c r="A1076" s="6">
        <f t="shared" si="40"/>
        <v>986</v>
      </c>
      <c r="B1076" s="21">
        <v>45305</v>
      </c>
      <c r="C1076" s="126" t="s">
        <v>2659</v>
      </c>
      <c r="D1076" s="65" t="s">
        <v>2660</v>
      </c>
      <c r="E1076" s="65" t="s">
        <v>2661</v>
      </c>
      <c r="F1076" t="s">
        <v>2662</v>
      </c>
      <c r="G1076" s="161">
        <f>MONTH(EJECUTADO[[#This Row],[FECHA]])</f>
        <v>1</v>
      </c>
      <c r="H1076" s="163" t="str">
        <f>MID(EJECUTADO[[#This Row],[CUENTA]],1,4)</f>
        <v>E-02</v>
      </c>
      <c r="I1076" s="163" t="str">
        <f>INDEX(CATALOGO[Descripción],MATCH(EJECUTADO[[#This Row],[APLICACIÓN]]&amp;"-00-00-00",CATALOGO[Código],0))</f>
        <v>PRESTAMOS BANCARIOS</v>
      </c>
      <c r="J10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BANCO CUSCATLÁN REF :  5278444 </v>
      </c>
      <c r="K1076" s="161" t="str">
        <f>IF((EJECUTADO[[#This Row],[MONTO DISPONIBLE ]]-EJECUTADO[[#This Row],[MONTO SOLICITADO]])&gt;=0,"PRESUPUESTO: SI","PRESUPUESTO: NO")</f>
        <v>PRESUPUESTO: SI</v>
      </c>
      <c r="L1076" s="162">
        <f>SUMIF(PRESUPUESTO[CUENTA],EJECUTADO[[#This Row],[CUENTA]],PRESUPUESTO[MONTO])-SUMIF($F$1:F1075,EJECUTADO[[#This Row],[CUENTA]],$M$1:M1075)</f>
        <v>871200</v>
      </c>
      <c r="M1076" s="2">
        <v>38691.74</v>
      </c>
      <c r="N1076" s="84"/>
      <c r="O1076" s="84"/>
      <c r="P1076" s="162">
        <f>+EJECUTADO[[#This Row],[MONTO SOLICITADO]]-EJECUTADO[[#This Row],[RETENCION IVA]]-EJECUTADO[[#This Row],[RETENCION ISR]]</f>
        <v>38691.74</v>
      </c>
      <c r="Q1076" s="84" t="s">
        <v>2521</v>
      </c>
      <c r="R1076" s="84"/>
      <c r="S1076">
        <v>1</v>
      </c>
      <c r="T1076" s="168" t="str">
        <f t="shared" si="39"/>
        <v>PRESTAMOS BANCARIOS - BANCO CUSCATLÁN REF :  5278444  Disponible $871200 Solicitado $38691.74 PRESUPUESTO: SI</v>
      </c>
    </row>
    <row r="1077" spans="1:20" ht="75" x14ac:dyDescent="0.25">
      <c r="A1077" s="6">
        <f t="shared" si="40"/>
        <v>987</v>
      </c>
      <c r="B1077" s="21">
        <v>45305</v>
      </c>
      <c r="C1077" s="126" t="s">
        <v>2659</v>
      </c>
      <c r="D1077" s="65" t="s">
        <v>2663</v>
      </c>
      <c r="E1077" s="65" t="s">
        <v>2661</v>
      </c>
      <c r="F1077" t="s">
        <v>2662</v>
      </c>
      <c r="G1077" s="161">
        <f>MONTH(EJECUTADO[[#This Row],[FECHA]])</f>
        <v>1</v>
      </c>
      <c r="H1077" s="163" t="str">
        <f>MID(EJECUTADO[[#This Row],[CUENTA]],1,4)</f>
        <v>E-02</v>
      </c>
      <c r="I1077" s="163" t="str">
        <f>INDEX(CATALOGO[Descripción],MATCH(EJECUTADO[[#This Row],[APLICACIÓN]]&amp;"-00-00-00",CATALOGO[Código],0))</f>
        <v>PRESTAMOS BANCARIOS</v>
      </c>
      <c r="J10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BANCO CUSCATLÁN REF :  5278444 </v>
      </c>
      <c r="K1077" s="161" t="str">
        <f>IF((EJECUTADO[[#This Row],[MONTO DISPONIBLE ]]-EJECUTADO[[#This Row],[MONTO SOLICITADO]])&gt;=0,"PRESUPUESTO: SI","PRESUPUESTO: NO")</f>
        <v>PRESUPUESTO: SI</v>
      </c>
      <c r="L1077" s="162">
        <f>SUMIF(PRESUPUESTO[CUENTA],EJECUTADO[[#This Row],[CUENTA]],PRESUPUESTO[MONTO])-SUMIF($F$1:F1076,EJECUTADO[[#This Row],[CUENTA]],$M$1:M1076)</f>
        <v>832508.26</v>
      </c>
      <c r="M1077" s="2">
        <v>33902.980000000003</v>
      </c>
      <c r="N1077" s="84"/>
      <c r="O1077" s="84"/>
      <c r="P1077" s="162">
        <f>+EJECUTADO[[#This Row],[MONTO SOLICITADO]]-EJECUTADO[[#This Row],[RETENCION IVA]]-EJECUTADO[[#This Row],[RETENCION ISR]]</f>
        <v>33902.980000000003</v>
      </c>
      <c r="Q1077" s="84" t="s">
        <v>2521</v>
      </c>
      <c r="R1077" s="84"/>
      <c r="S1077">
        <v>1</v>
      </c>
      <c r="T1077" s="168" t="str">
        <f t="shared" si="39"/>
        <v>PRESTAMOS BANCARIOS - BANCO CUSCATLÁN REF :  5278444  Disponible $832508.26 Solicitado $33902.98 PRESUPUESTO: SI</v>
      </c>
    </row>
    <row r="1078" spans="1:20" ht="60" x14ac:dyDescent="0.25">
      <c r="A1078" s="6">
        <f t="shared" si="40"/>
        <v>988</v>
      </c>
      <c r="B1078" s="21">
        <v>45365</v>
      </c>
      <c r="C1078" s="126" t="s">
        <v>2659</v>
      </c>
      <c r="D1078" s="65" t="s">
        <v>2664</v>
      </c>
      <c r="E1078" s="65" t="s">
        <v>2665</v>
      </c>
      <c r="F1078" t="s">
        <v>2662</v>
      </c>
      <c r="G1078" s="161">
        <f>MONTH(EJECUTADO[[#This Row],[FECHA]])</f>
        <v>3</v>
      </c>
      <c r="H1078" s="163" t="str">
        <f>MID(EJECUTADO[[#This Row],[CUENTA]],1,4)</f>
        <v>E-02</v>
      </c>
      <c r="I1078" s="163" t="str">
        <f>INDEX(CATALOGO[Descripción],MATCH(EJECUTADO[[#This Row],[APLICACIÓN]]&amp;"-00-00-00",CATALOGO[Código],0))</f>
        <v>PRESTAMOS BANCARIOS</v>
      </c>
      <c r="J10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BANCO CUSCATLÁN REF :  5278444 </v>
      </c>
      <c r="K1078" s="161" t="str">
        <f>IF((EJECUTADO[[#This Row],[MONTO DISPONIBLE ]]-EJECUTADO[[#This Row],[MONTO SOLICITADO]])&gt;=0,"PRESUPUESTO: SI","PRESUPUESTO: NO")</f>
        <v>PRESUPUESTO: SI</v>
      </c>
      <c r="L1078" s="162">
        <f>SUMIF(PRESUPUESTO[CUENTA],EJECUTADO[[#This Row],[CUENTA]],PRESUPUESTO[MONTO])-SUMIF($F$1:F1077,EJECUTADO[[#This Row],[CUENTA]],$M$1:M1077)</f>
        <v>798605.28</v>
      </c>
      <c r="M1078" s="2">
        <v>41360.32</v>
      </c>
      <c r="N1078" s="84"/>
      <c r="O1078" s="84"/>
      <c r="P1078" s="162">
        <f>+EJECUTADO[[#This Row],[MONTO SOLICITADO]]-EJECUTADO[[#This Row],[RETENCION IVA]]-EJECUTADO[[#This Row],[RETENCION ISR]]</f>
        <v>41360.32</v>
      </c>
      <c r="Q1078" s="84" t="s">
        <v>2521</v>
      </c>
      <c r="R1078" s="84"/>
      <c r="S1078">
        <v>1</v>
      </c>
      <c r="T1078" s="168" t="str">
        <f t="shared" si="39"/>
        <v>PRESTAMOS BANCARIOS - BANCO CUSCATLÁN REF :  5278444  Disponible $798605.28 Solicitado $41360.32 PRESUPUESTO: SI</v>
      </c>
    </row>
    <row r="1079" spans="1:20" ht="60" x14ac:dyDescent="0.25">
      <c r="A1079" s="6">
        <f t="shared" si="40"/>
        <v>989</v>
      </c>
      <c r="B1079" s="21">
        <v>45365</v>
      </c>
      <c r="C1079" s="126" t="s">
        <v>2659</v>
      </c>
      <c r="D1079" s="65" t="s">
        <v>2666</v>
      </c>
      <c r="E1079" s="65" t="s">
        <v>2665</v>
      </c>
      <c r="F1079" t="s">
        <v>2662</v>
      </c>
      <c r="G1079" s="161">
        <f>MONTH(EJECUTADO[[#This Row],[FECHA]])</f>
        <v>3</v>
      </c>
      <c r="H1079" s="163" t="str">
        <f>MID(EJECUTADO[[#This Row],[CUENTA]],1,4)</f>
        <v>E-02</v>
      </c>
      <c r="I1079" s="163" t="str">
        <f>INDEX(CATALOGO[Descripción],MATCH(EJECUTADO[[#This Row],[APLICACIÓN]]&amp;"-00-00-00",CATALOGO[Código],0))</f>
        <v>PRESTAMOS BANCARIOS</v>
      </c>
      <c r="J10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BANCO CUSCATLÁN REF :  5278444 </v>
      </c>
      <c r="K1079" s="161" t="str">
        <f>IF((EJECUTADO[[#This Row],[MONTO DISPONIBLE ]]-EJECUTADO[[#This Row],[MONTO SOLICITADO]])&gt;=0,"PRESUPUESTO: SI","PRESUPUESTO: NO")</f>
        <v>PRESUPUESTO: SI</v>
      </c>
      <c r="L1079" s="162">
        <f>SUMIF(PRESUPUESTO[CUENTA],EJECUTADO[[#This Row],[CUENTA]],PRESUPUESTO[MONTO])-SUMIF($F$1:F1078,EJECUTADO[[#This Row],[CUENTA]],$M$1:M1078)</f>
        <v>757244.96</v>
      </c>
      <c r="M1079" s="2">
        <v>31234.57</v>
      </c>
      <c r="N1079" s="84"/>
      <c r="O1079" s="84"/>
      <c r="P1079" s="162">
        <f>+EJECUTADO[[#This Row],[MONTO SOLICITADO]]-EJECUTADO[[#This Row],[RETENCION IVA]]-EJECUTADO[[#This Row],[RETENCION ISR]]</f>
        <v>31234.57</v>
      </c>
      <c r="Q1079" s="84" t="s">
        <v>2521</v>
      </c>
      <c r="R1079" s="84"/>
      <c r="S1079">
        <v>1</v>
      </c>
      <c r="T1079" s="168" t="str">
        <f t="shared" si="39"/>
        <v>PRESTAMOS BANCARIOS - BANCO CUSCATLÁN REF :  5278444  Disponible $757244.96 Solicitado $31234.57 PRESUPUESTO: SI</v>
      </c>
    </row>
    <row r="1080" spans="1:20" ht="60" x14ac:dyDescent="0.25">
      <c r="A1080" s="6">
        <f t="shared" si="40"/>
        <v>990</v>
      </c>
      <c r="B1080" s="21">
        <v>45321</v>
      </c>
      <c r="C1080" s="126" t="s">
        <v>2667</v>
      </c>
      <c r="D1080" s="65" t="s">
        <v>2668</v>
      </c>
      <c r="E1080" s="65" t="s">
        <v>2669</v>
      </c>
      <c r="F1080" t="s">
        <v>1643</v>
      </c>
      <c r="G1080" s="161">
        <f>MONTH(EJECUTADO[[#This Row],[FECHA]])</f>
        <v>1</v>
      </c>
      <c r="H1080" s="163" t="str">
        <f>MID(EJECUTADO[[#This Row],[CUENTA]],1,4)</f>
        <v>E-02</v>
      </c>
      <c r="I1080" s="163" t="str">
        <f>INDEX(CATALOGO[Descripción],MATCH(EJECUTADO[[#This Row],[APLICACIÓN]]&amp;"-00-00-00",CATALOGO[Código],0))</f>
        <v>PRESTAMOS BANCARIOS</v>
      </c>
      <c r="J10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1080" s="161" t="str">
        <f>IF((EJECUTADO[[#This Row],[MONTO DISPONIBLE ]]-EJECUTADO[[#This Row],[MONTO SOLICITADO]])&gt;=0,"PRESUPUESTO: SI","PRESUPUESTO: NO")</f>
        <v>PRESUPUESTO: SI</v>
      </c>
      <c r="L1080" s="162">
        <f>SUMIF(PRESUPUESTO[CUENTA],EJECUTADO[[#This Row],[CUENTA]],PRESUPUESTO[MONTO])-SUMIF($F$1:F1079,EJECUTADO[[#This Row],[CUENTA]],$M$1:M1079)</f>
        <v>369701.64</v>
      </c>
      <c r="M1080" s="2">
        <v>19524.47</v>
      </c>
      <c r="N1080" s="84"/>
      <c r="O1080" s="84"/>
      <c r="P1080" s="162">
        <f>+EJECUTADO[[#This Row],[MONTO SOLICITADO]]-EJECUTADO[[#This Row],[RETENCION IVA]]-EJECUTADO[[#This Row],[RETENCION ISR]]</f>
        <v>19524.47</v>
      </c>
      <c r="Q1080" s="84" t="s">
        <v>2521</v>
      </c>
      <c r="R1080" s="84"/>
      <c r="S1080">
        <v>1</v>
      </c>
      <c r="T1080" s="168" t="str">
        <f t="shared" si="39"/>
        <v>PRESTAMOS BANCARIOS - BANCO PROMERICA REF 784005 Disponible $369701.64 Solicitado $19524.47 PRESUPUESTO: SI</v>
      </c>
    </row>
    <row r="1081" spans="1:20" ht="75" x14ac:dyDescent="0.25">
      <c r="A1081" s="6">
        <f t="shared" si="40"/>
        <v>991</v>
      </c>
      <c r="B1081" s="21">
        <v>45321</v>
      </c>
      <c r="C1081" s="126" t="s">
        <v>2667</v>
      </c>
      <c r="D1081" s="65" t="s">
        <v>2670</v>
      </c>
      <c r="E1081" s="65" t="s">
        <v>2669</v>
      </c>
      <c r="F1081" t="s">
        <v>1643</v>
      </c>
      <c r="G1081" s="161">
        <f>MONTH(EJECUTADO[[#This Row],[FECHA]])</f>
        <v>1</v>
      </c>
      <c r="H1081" s="163" t="str">
        <f>MID(EJECUTADO[[#This Row],[CUENTA]],1,4)</f>
        <v>E-02</v>
      </c>
      <c r="I1081" s="163" t="str">
        <f>INDEX(CATALOGO[Descripción],MATCH(EJECUTADO[[#This Row],[APLICACIÓN]]&amp;"-00-00-00",CATALOGO[Código],0))</f>
        <v>PRESTAMOS BANCARIOS</v>
      </c>
      <c r="J10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1081" s="161" t="str">
        <f>IF((EJECUTADO[[#This Row],[MONTO DISPONIBLE ]]-EJECUTADO[[#This Row],[MONTO SOLICITADO]])&gt;=0,"PRESUPUESTO: SI","PRESUPUESTO: NO")</f>
        <v>PRESUPUESTO: SI</v>
      </c>
      <c r="L1081" s="162">
        <f>SUMIF(PRESUPUESTO[CUENTA],EJECUTADO[[#This Row],[CUENTA]],PRESUPUESTO[MONTO])-SUMIF($F$1:F1080,EJECUTADO[[#This Row],[CUENTA]],$M$1:M1080)</f>
        <v>350177.17</v>
      </c>
      <c r="M1081" s="2">
        <v>20668.88</v>
      </c>
      <c r="N1081" s="84"/>
      <c r="O1081" s="84"/>
      <c r="P1081" s="162">
        <f>+EJECUTADO[[#This Row],[MONTO SOLICITADO]]-EJECUTADO[[#This Row],[RETENCION IVA]]-EJECUTADO[[#This Row],[RETENCION ISR]]</f>
        <v>20668.88</v>
      </c>
      <c r="Q1081" s="84" t="s">
        <v>2521</v>
      </c>
      <c r="R1081" s="84"/>
      <c r="S1081">
        <v>1</v>
      </c>
      <c r="T1081" s="168" t="str">
        <f t="shared" si="39"/>
        <v>PRESTAMOS BANCARIOS - BANCO PROMERICA REF 784005 Disponible $350177.17 Solicitado $20668.88 PRESUPUESTO: SI</v>
      </c>
    </row>
    <row r="1082" spans="1:20" x14ac:dyDescent="0.25">
      <c r="A1082" s="6">
        <f t="shared" si="40"/>
        <v>992</v>
      </c>
      <c r="B1082" s="21">
        <v>45361</v>
      </c>
      <c r="C1082" s="126" t="s">
        <v>2570</v>
      </c>
      <c r="D1082" s="156" t="s">
        <v>2652</v>
      </c>
      <c r="E1082" s="155" t="s">
        <v>2671</v>
      </c>
      <c r="F1082" t="s">
        <v>2654</v>
      </c>
      <c r="G1082" s="161">
        <f>MONTH(EJECUTADO[[#This Row],[FECHA]])</f>
        <v>3</v>
      </c>
      <c r="H1082" s="163" t="str">
        <f>MID(EJECUTADO[[#This Row],[CUENTA]],1,4)</f>
        <v>E-02</v>
      </c>
      <c r="I1082" s="163" t="str">
        <f>INDEX(CATALOGO[Descripción],MATCH(EJECUTADO[[#This Row],[APLICACIÓN]]&amp;"-00-00-00",CATALOGO[Código],0))</f>
        <v>PRESTAMOS BANCARIOS</v>
      </c>
      <c r="J10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82" s="161" t="str">
        <f>IF((EJECUTADO[[#This Row],[MONTO DISPONIBLE ]]-EJECUTADO[[#This Row],[MONTO SOLICITADO]])&gt;=0,"PRESUPUESTO: SI","PRESUPUESTO: NO")</f>
        <v>PRESUPUESTO: SI</v>
      </c>
      <c r="L1082" s="162">
        <f>SUMIF(PRESUPUESTO[CUENTA],EJECUTADO[[#This Row],[CUENTA]],PRESUPUESTO[MONTO])-SUMIF($F$1:F1081,EJECUTADO[[#This Row],[CUENTA]],$M$1:M1081)</f>
        <v>478158.27</v>
      </c>
      <c r="M1082" s="2">
        <v>26039.52</v>
      </c>
      <c r="N1082" s="84"/>
      <c r="O1082" s="84"/>
      <c r="P1082" s="162">
        <f>+EJECUTADO[[#This Row],[MONTO SOLICITADO]]-EJECUTADO[[#This Row],[RETENCION IVA]]-EJECUTADO[[#This Row],[RETENCION ISR]]</f>
        <v>26039.52</v>
      </c>
      <c r="Q1082" s="84" t="s">
        <v>2521</v>
      </c>
      <c r="R1082" s="84"/>
      <c r="S1082">
        <v>1</v>
      </c>
      <c r="T1082" s="168" t="str">
        <f t="shared" si="39"/>
        <v>PRESTAMOS BANCARIOS -  DAVIVIENDA REF: 000704399016  Disponible $478158.27 Solicitado $26039.52 PRESUPUESTO: SI</v>
      </c>
    </row>
    <row r="1083" spans="1:20" ht="60" x14ac:dyDescent="0.25">
      <c r="A1083" s="6">
        <f t="shared" si="40"/>
        <v>993</v>
      </c>
      <c r="B1083" s="21">
        <v>45361</v>
      </c>
      <c r="C1083" s="126" t="s">
        <v>2570</v>
      </c>
      <c r="D1083" s="65" t="s">
        <v>2655</v>
      </c>
      <c r="E1083" s="155" t="s">
        <v>2671</v>
      </c>
      <c r="F1083" t="s">
        <v>2654</v>
      </c>
      <c r="G1083" s="161">
        <f>MONTH(EJECUTADO[[#This Row],[FECHA]])</f>
        <v>3</v>
      </c>
      <c r="H1083" s="163" t="str">
        <f>MID(EJECUTADO[[#This Row],[CUENTA]],1,4)</f>
        <v>E-02</v>
      </c>
      <c r="I1083" s="163" t="str">
        <f>INDEX(CATALOGO[Descripción],MATCH(EJECUTADO[[#This Row],[APLICACIÓN]]&amp;"-00-00-00",CATALOGO[Código],0))</f>
        <v>PRESTAMOS BANCARIOS</v>
      </c>
      <c r="J10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 DAVIVIENDA REF: 000704399016 </v>
      </c>
      <c r="K1083" s="161" t="str">
        <f>IF((EJECUTADO[[#This Row],[MONTO DISPONIBLE ]]-EJECUTADO[[#This Row],[MONTO SOLICITADO]])&gt;=0,"PRESUPUESTO: SI","PRESUPUESTO: NO")</f>
        <v>PRESUPUESTO: SI</v>
      </c>
      <c r="L1083" s="162">
        <f>SUMIF(PRESUPUESTO[CUENTA],EJECUTADO[[#This Row],[CUENTA]],PRESUPUESTO[MONTO])-SUMIF($F$1:F1082,EJECUTADO[[#This Row],[CUENTA]],$M$1:M1082)</f>
        <v>452118.75</v>
      </c>
      <c r="M1083" s="2">
        <v>20553.27</v>
      </c>
      <c r="N1083" s="84"/>
      <c r="O1083" s="84"/>
      <c r="P1083" s="162">
        <f>+EJECUTADO[[#This Row],[MONTO SOLICITADO]]-EJECUTADO[[#This Row],[RETENCION IVA]]-EJECUTADO[[#This Row],[RETENCION ISR]]</f>
        <v>20553.27</v>
      </c>
      <c r="Q1083" s="84" t="s">
        <v>2521</v>
      </c>
      <c r="R1083" s="84"/>
      <c r="S1083">
        <v>1</v>
      </c>
      <c r="T1083" s="168" t="str">
        <f t="shared" si="39"/>
        <v>PRESTAMOS BANCARIOS -  DAVIVIENDA REF: 000704399016  Disponible $452118.75 Solicitado $20553.27 PRESUPUESTO: SI</v>
      </c>
    </row>
    <row r="1084" spans="1:20" ht="30" x14ac:dyDescent="0.25">
      <c r="A1084" s="6">
        <v>994</v>
      </c>
      <c r="B1084" s="21">
        <v>45370</v>
      </c>
      <c r="C1084" s="126" t="s">
        <v>1083</v>
      </c>
      <c r="D1084" s="65" t="s">
        <v>2269</v>
      </c>
      <c r="E1084" s="65"/>
      <c r="F1084" t="s">
        <v>1084</v>
      </c>
      <c r="G1084" s="161">
        <f>MONTH(EJECUTADO[[#This Row],[FECHA]])</f>
        <v>3</v>
      </c>
      <c r="H1084" s="163" t="str">
        <f>MID(EJECUTADO[[#This Row],[CUENTA]],1,4)</f>
        <v>E-10</v>
      </c>
      <c r="I1084" s="163" t="str">
        <f>INDEX(CATALOGO[Descripción],MATCH(EJECUTADO[[#This Row],[APLICACIÓN]]&amp;"-00-00-00",CATALOGO[Código],0))</f>
        <v>SERVICIOS PUBLICOS</v>
      </c>
      <c r="J10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1084" s="161" t="str">
        <f>IF((EJECUTADO[[#This Row],[MONTO DISPONIBLE ]]-EJECUTADO[[#This Row],[MONTO SOLICITADO]])&gt;=0,"PRESUPUESTO: SI","PRESUPUESTO: NO")</f>
        <v>PRESUPUESTO: SI</v>
      </c>
      <c r="L1084" s="162">
        <f>SUMIF(PRESUPUESTO[CUENTA],EJECUTADO[[#This Row],[CUENTA]],PRESUPUESTO[MONTO])-SUMIF($F$1:F1083,EJECUTADO[[#This Row],[CUENTA]],$M$1:M1083)</f>
        <v>69864.97</v>
      </c>
      <c r="M1084" s="2">
        <v>2163.19</v>
      </c>
      <c r="N1084" s="84"/>
      <c r="O1084" s="84"/>
      <c r="P1084" s="162">
        <f>+EJECUTADO[[#This Row],[MONTO SOLICITADO]]-EJECUTADO[[#This Row],[RETENCION IVA]]-EJECUTADO[[#This Row],[RETENCION ISR]]</f>
        <v>2163.19</v>
      </c>
      <c r="Q1084" s="84" t="s">
        <v>1786</v>
      </c>
      <c r="R1084" s="84"/>
      <c r="S1084" s="112">
        <v>3277</v>
      </c>
      <c r="T1084" s="168" t="str">
        <f t="shared" si="39"/>
        <v>SERVICIOS PUBLICOS - SERVICIO DE AGUA Disponible $69864.97 Solicitado $2163.19 PRESUPUESTO: SI</v>
      </c>
    </row>
    <row r="1085" spans="1:20" ht="45" x14ac:dyDescent="0.25">
      <c r="A1085" s="6">
        <v>995</v>
      </c>
      <c r="B1085" s="21">
        <v>45370</v>
      </c>
      <c r="C1085" s="126" t="s">
        <v>1784</v>
      </c>
      <c r="D1085" s="65" t="s">
        <v>1785</v>
      </c>
      <c r="E1085" s="65" t="s">
        <v>2672</v>
      </c>
      <c r="F1085" t="s">
        <v>1265</v>
      </c>
      <c r="G1085" s="161">
        <f>MONTH(EJECUTADO[[#This Row],[FECHA]])</f>
        <v>3</v>
      </c>
      <c r="H1085" s="163" t="str">
        <f>MID(EJECUTADO[[#This Row],[CUENTA]],1,4)</f>
        <v>E-23</v>
      </c>
      <c r="I1085" s="163" t="str">
        <f>INDEX(CATALOGO[Descripción],MATCH(EJECUTADO[[#This Row],[APLICACIÓN]]&amp;"-00-00-00",CATALOGO[Código],0))</f>
        <v>GASTOS DE VIAJE</v>
      </c>
      <c r="J10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085" s="161" t="str">
        <f>IF((EJECUTADO[[#This Row],[MONTO DISPONIBLE ]]-EJECUTADO[[#This Row],[MONTO SOLICITADO]])&gt;=0,"PRESUPUESTO: SI","PRESUPUESTO: NO")</f>
        <v>PRESUPUESTO: SI</v>
      </c>
      <c r="L1085" s="162">
        <f>SUMIF(PRESUPUESTO[CUENTA],EJECUTADO[[#This Row],[CUENTA]],PRESUPUESTO[MONTO])-SUMIF($F$1:F1084,EJECUTADO[[#This Row],[CUENTA]],$M$1:M1084)</f>
        <v>20844.690000000002</v>
      </c>
      <c r="M1085" s="2">
        <v>400</v>
      </c>
      <c r="N1085" s="84"/>
      <c r="O1085" s="84"/>
      <c r="P1085" s="162">
        <v>400</v>
      </c>
      <c r="Q1085" s="84" t="s">
        <v>1786</v>
      </c>
      <c r="R1085" s="84"/>
      <c r="S1085">
        <v>3300</v>
      </c>
      <c r="T1085" s="168" t="str">
        <f t="shared" si="39"/>
        <v>GASTOS DE VIAJE - Servicio combustible Disponible $20844.69 Solicitado $400 PRESUPUESTO: SI</v>
      </c>
    </row>
    <row r="1086" spans="1:20" ht="30" x14ac:dyDescent="0.25">
      <c r="A1086" s="6">
        <f t="shared" ref="A1086:A1091" si="41">+A1085+1</f>
        <v>996</v>
      </c>
      <c r="B1086" s="62">
        <v>45348</v>
      </c>
      <c r="C1086" s="17" t="s">
        <v>1088</v>
      </c>
      <c r="D1086" s="17" t="s">
        <v>1089</v>
      </c>
      <c r="E1086" s="17"/>
      <c r="F1086" t="s">
        <v>1090</v>
      </c>
      <c r="G1086" s="161">
        <f>MONTH(EJECUTADO[[#This Row],[FECHA]])</f>
        <v>2</v>
      </c>
      <c r="H1086" s="163" t="str">
        <f>MID(EJECUTADO[[#This Row],[CUENTA]],1,4)</f>
        <v>E-07</v>
      </c>
      <c r="I1086" s="163" t="str">
        <f>INDEX(CATALOGO[Descripción],MATCH(EJECUTADO[[#This Row],[APLICACIÓN]]&amp;"-00-00-00",CATALOGO[Código],0))</f>
        <v>SERVICIOS TECNOLOGICOS</v>
      </c>
      <c r="J10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086" s="161" t="str">
        <f>IF((EJECUTADO[[#This Row],[MONTO DISPONIBLE ]]-EJECUTADO[[#This Row],[MONTO SOLICITADO]])&gt;=0,"PRESUPUESTO: SI","PRESUPUESTO: NO")</f>
        <v>PRESUPUESTO: SI</v>
      </c>
      <c r="L1086" s="162">
        <f>SUMIF(PRESUPUESTO[CUENTA],EJECUTADO[[#This Row],[CUENTA]],PRESUPUESTO[MONTO])-SUMIF($F$1:F1085,EJECUTADO[[#This Row],[CUENTA]],$M$1:M1085)</f>
        <v>949208.72</v>
      </c>
      <c r="M1086" s="2">
        <v>88384.78</v>
      </c>
      <c r="N1086" s="2"/>
      <c r="O1086" s="2"/>
      <c r="P1086" s="162">
        <f>+EJECUTADO[[#This Row],[MONTO SOLICITADO]]-EJECUTADO[[#This Row],[RETENCION IVA]]-EJECUTADO[[#This Row],[RETENCION ISR]]</f>
        <v>88384.78</v>
      </c>
      <c r="Q1086" s="84" t="s">
        <v>1000</v>
      </c>
      <c r="R1086" s="2"/>
      <c r="S1086">
        <v>3353</v>
      </c>
      <c r="T1086" s="168" t="str">
        <f t="shared" si="39"/>
        <v>SERVICIOS TECNOLOGICOS - SERVICIO LEASING PC  $ 90,040.33 Disponible $949208.72 Solicitado $88384.78 PRESUPUESTO: SI</v>
      </c>
    </row>
    <row r="1087" spans="1:20" ht="30" x14ac:dyDescent="0.25">
      <c r="A1087" s="6">
        <f t="shared" si="41"/>
        <v>997</v>
      </c>
      <c r="B1087" s="62">
        <v>45348</v>
      </c>
      <c r="C1087" s="17" t="s">
        <v>1088</v>
      </c>
      <c r="D1087" s="17" t="s">
        <v>1091</v>
      </c>
      <c r="E1087" s="17"/>
      <c r="F1087" t="s">
        <v>1090</v>
      </c>
      <c r="G1087" s="161">
        <f>MONTH(EJECUTADO[[#This Row],[FECHA]])</f>
        <v>2</v>
      </c>
      <c r="H1087" s="163" t="str">
        <f>MID(EJECUTADO[[#This Row],[CUENTA]],1,4)</f>
        <v>E-07</v>
      </c>
      <c r="I1087" s="163" t="str">
        <f>INDEX(CATALOGO[Descripción],MATCH(EJECUTADO[[#This Row],[APLICACIÓN]]&amp;"-00-00-00",CATALOGO[Código],0))</f>
        <v>SERVICIOS TECNOLOGICOS</v>
      </c>
      <c r="J10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087" s="161" t="str">
        <f>IF((EJECUTADO[[#This Row],[MONTO DISPONIBLE ]]-EJECUTADO[[#This Row],[MONTO SOLICITADO]])&gt;=0,"PRESUPUESTO: SI","PRESUPUESTO: NO")</f>
        <v>PRESUPUESTO: SI</v>
      </c>
      <c r="L1087" s="162">
        <f>SUMIF(PRESUPUESTO[CUENTA],EJECUTADO[[#This Row],[CUENTA]],PRESUPUESTO[MONTO])-SUMIF($F$1:F1086,EJECUTADO[[#This Row],[CUENTA]],$M$1:M1086)</f>
        <v>860823.94</v>
      </c>
      <c r="M1087" s="2">
        <v>1494</v>
      </c>
      <c r="N1087" s="2"/>
      <c r="O1087" s="2"/>
      <c r="P1087" s="162">
        <f>+EJECUTADO[[#This Row],[MONTO SOLICITADO]]-EJECUTADO[[#This Row],[RETENCION IVA]]-EJECUTADO[[#This Row],[RETENCION ISR]]</f>
        <v>1494</v>
      </c>
      <c r="Q1087" s="84" t="s">
        <v>1000</v>
      </c>
      <c r="R1087" s="2"/>
      <c r="S1087">
        <v>3353</v>
      </c>
      <c r="T1087" s="168" t="str">
        <f t="shared" si="39"/>
        <v>SERVICIOS TECNOLOGICOS - SERVICIO LEASING PC  $ 90,040.33 Disponible $860823.94 Solicitado $1494 PRESUPUESTO: SI</v>
      </c>
    </row>
    <row r="1088" spans="1:20" ht="30" x14ac:dyDescent="0.25">
      <c r="A1088" s="6">
        <f t="shared" si="41"/>
        <v>998</v>
      </c>
      <c r="B1088" s="62">
        <v>45348</v>
      </c>
      <c r="C1088" s="17" t="s">
        <v>1088</v>
      </c>
      <c r="D1088" s="17" t="s">
        <v>1092</v>
      </c>
      <c r="E1088" s="17"/>
      <c r="F1088" t="s">
        <v>1090</v>
      </c>
      <c r="G1088" s="161">
        <f>MONTH(EJECUTADO[[#This Row],[FECHA]])</f>
        <v>2</v>
      </c>
      <c r="H1088" s="163" t="str">
        <f>MID(EJECUTADO[[#This Row],[CUENTA]],1,4)</f>
        <v>E-07</v>
      </c>
      <c r="I1088" s="163" t="str">
        <f>INDEX(CATALOGO[Descripción],MATCH(EJECUTADO[[#This Row],[APLICACIÓN]]&amp;"-00-00-00",CATALOGO[Código],0))</f>
        <v>SERVICIOS TECNOLOGICOS</v>
      </c>
      <c r="J10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088" s="161" t="str">
        <f>IF((EJECUTADO[[#This Row],[MONTO DISPONIBLE ]]-EJECUTADO[[#This Row],[MONTO SOLICITADO]])&gt;=0,"PRESUPUESTO: SI","PRESUPUESTO: NO")</f>
        <v>PRESUPUESTO: SI</v>
      </c>
      <c r="L1088" s="162">
        <f>SUMIF(PRESUPUESTO[CUENTA],EJECUTADO[[#This Row],[CUENTA]],PRESUPUESTO[MONTO])-SUMIF($F$1:F1087,EJECUTADO[[#This Row],[CUENTA]],$M$1:M1087)</f>
        <v>859329.94</v>
      </c>
      <c r="M1088" s="2">
        <v>22159</v>
      </c>
      <c r="N1088" s="2"/>
      <c r="O1088" s="2"/>
      <c r="P1088" s="162">
        <f>+EJECUTADO[[#This Row],[MONTO SOLICITADO]]-EJECUTADO[[#This Row],[RETENCION IVA]]-EJECUTADO[[#This Row],[RETENCION ISR]]</f>
        <v>22159</v>
      </c>
      <c r="Q1088" s="84" t="s">
        <v>1000</v>
      </c>
      <c r="R1088" s="2"/>
      <c r="S1088">
        <v>3353</v>
      </c>
      <c r="T1088" s="168" t="str">
        <f t="shared" si="39"/>
        <v>SERVICIOS TECNOLOGICOS - SERVICIO LEASING PC  $ 90,040.33 Disponible $859329.94 Solicitado $22159 PRESUPUESTO: SI</v>
      </c>
    </row>
    <row r="1089" spans="1:20" ht="30" x14ac:dyDescent="0.25">
      <c r="A1089" s="6">
        <f t="shared" si="41"/>
        <v>999</v>
      </c>
      <c r="B1089" s="62">
        <v>45348</v>
      </c>
      <c r="C1089" s="17" t="s">
        <v>1088</v>
      </c>
      <c r="D1089" s="17" t="s">
        <v>1093</v>
      </c>
      <c r="E1089" s="17"/>
      <c r="F1089" t="s">
        <v>1090</v>
      </c>
      <c r="G1089" s="161">
        <f>MONTH(EJECUTADO[[#This Row],[FECHA]])</f>
        <v>2</v>
      </c>
      <c r="H1089" s="163" t="str">
        <f>MID(EJECUTADO[[#This Row],[CUENTA]],1,4)</f>
        <v>E-07</v>
      </c>
      <c r="I1089" s="163" t="str">
        <f>INDEX(CATALOGO[Descripción],MATCH(EJECUTADO[[#This Row],[APLICACIÓN]]&amp;"-00-00-00",CATALOGO[Código],0))</f>
        <v>SERVICIOS TECNOLOGICOS</v>
      </c>
      <c r="J10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089" s="161" t="str">
        <f>IF((EJECUTADO[[#This Row],[MONTO DISPONIBLE ]]-EJECUTADO[[#This Row],[MONTO SOLICITADO]])&gt;=0,"PRESUPUESTO: SI","PRESUPUESTO: NO")</f>
        <v>PRESUPUESTO: SI</v>
      </c>
      <c r="L1089" s="162">
        <f>SUMIF(PRESUPUESTO[CUENTA],EJECUTADO[[#This Row],[CUENTA]],PRESUPUESTO[MONTO])-SUMIF($F$1:F1088,EJECUTADO[[#This Row],[CUENTA]],$M$1:M1088)</f>
        <v>837170.94</v>
      </c>
      <c r="M1089" s="2">
        <v>19237.5</v>
      </c>
      <c r="N1089" s="2"/>
      <c r="O1089" s="2"/>
      <c r="P1089" s="162">
        <f>+EJECUTADO[[#This Row],[MONTO SOLICITADO]]-EJECUTADO[[#This Row],[RETENCION IVA]]-EJECUTADO[[#This Row],[RETENCION ISR]]</f>
        <v>19237.5</v>
      </c>
      <c r="Q1089" s="84" t="s">
        <v>1000</v>
      </c>
      <c r="R1089" s="2"/>
      <c r="S1089">
        <v>3353</v>
      </c>
      <c r="T1089" s="168" t="str">
        <f t="shared" si="39"/>
        <v>SERVICIOS TECNOLOGICOS - SERVICIO LEASING PC  $ 90,040.33 Disponible $837170.94 Solicitado $19237.5 PRESUPUESTO: SI</v>
      </c>
    </row>
    <row r="1090" spans="1:20" ht="30" x14ac:dyDescent="0.25">
      <c r="A1090" s="6">
        <f t="shared" si="41"/>
        <v>1000</v>
      </c>
      <c r="B1090" s="62">
        <v>45348</v>
      </c>
      <c r="C1090" s="17" t="s">
        <v>1088</v>
      </c>
      <c r="D1090" s="17" t="s">
        <v>1094</v>
      </c>
      <c r="E1090" s="17"/>
      <c r="F1090" t="s">
        <v>1095</v>
      </c>
      <c r="G1090" s="161">
        <f>MONTH(EJECUTADO[[#This Row],[FECHA]])</f>
        <v>2</v>
      </c>
      <c r="H1090" s="163" t="str">
        <f>MID(EJECUTADO[[#This Row],[CUENTA]],1,4)</f>
        <v>E-13</v>
      </c>
      <c r="I1090" s="163" t="str">
        <f>INDEX(CATALOGO[Descripción],MATCH(EJECUTADO[[#This Row],[APLICACIÓN]]&amp;"-00-00-00",CATALOGO[Código],0))</f>
        <v>MAESTRIAS Y POSTGRADOS</v>
      </c>
      <c r="J10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 MAESTRIAS</v>
      </c>
      <c r="K1090" s="161" t="str">
        <f>IF((EJECUTADO[[#This Row],[MONTO DISPONIBLE ]]-EJECUTADO[[#This Row],[MONTO SOLICITADO]])&gt;=0,"PRESUPUESTO: SI","PRESUPUESTO: NO")</f>
        <v>PRESUPUESTO: SI</v>
      </c>
      <c r="L1090" s="162">
        <f>SUMIF(PRESUPUESTO[CUENTA],EJECUTADO[[#This Row],[CUENTA]],PRESUPUESTO[MONTO])-SUMIF($F$1:F1089,EJECUTADO[[#This Row],[CUENTA]],$M$1:M1089)</f>
        <v>47365</v>
      </c>
      <c r="M1090" s="2">
        <v>4163</v>
      </c>
      <c r="N1090" s="2"/>
      <c r="O1090" s="2"/>
      <c r="P1090" s="162">
        <f>+EJECUTADO[[#This Row],[MONTO SOLICITADO]]-EJECUTADO[[#This Row],[RETENCION IVA]]-EJECUTADO[[#This Row],[RETENCION ISR]]</f>
        <v>4163</v>
      </c>
      <c r="Q1090" s="84" t="s">
        <v>1000</v>
      </c>
      <c r="R1090" s="2"/>
      <c r="S1090">
        <v>3353</v>
      </c>
      <c r="T1090" s="168" t="str">
        <f t="shared" si="39"/>
        <v>MAESTRIAS Y POSTGRADOS - SERVICIO LEASING  MAESTRIAS Disponible $47365 Solicitado $4163 PRESUPUESTO: SI</v>
      </c>
    </row>
    <row r="1091" spans="1:20" ht="30" x14ac:dyDescent="0.25">
      <c r="A1091" s="6">
        <f t="shared" si="41"/>
        <v>1001</v>
      </c>
      <c r="B1091" s="62">
        <v>45348</v>
      </c>
      <c r="C1091" s="17" t="s">
        <v>1088</v>
      </c>
      <c r="D1091" s="17" t="s">
        <v>1096</v>
      </c>
      <c r="E1091" s="17"/>
      <c r="F1091" t="s">
        <v>1097</v>
      </c>
      <c r="G1091" s="161">
        <f>MONTH(EJECUTADO[[#This Row],[FECHA]])</f>
        <v>2</v>
      </c>
      <c r="H1091" s="163" t="str">
        <f>MID(EJECUTADO[[#This Row],[CUENTA]],1,4)</f>
        <v>E-33</v>
      </c>
      <c r="I1091" s="163" t="str">
        <f>INDEX(CATALOGO[Descripción],MATCH(EJECUTADO[[#This Row],[APLICACIÓN]]&amp;"-00-00-00",CATALOGO[Código],0))</f>
        <v xml:space="preserve">PROVEEDORES </v>
      </c>
      <c r="J10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INVERSIONES DIDACTICAS</v>
      </c>
      <c r="K1091" s="161" t="str">
        <f>IF((EJECUTADO[[#This Row],[MONTO DISPONIBLE ]]-EJECUTADO[[#This Row],[MONTO SOLICITADO]])&gt;=0,"PRESUPUESTO: SI","PRESUPUESTO: NO")</f>
        <v>PRESUPUESTO: SI</v>
      </c>
      <c r="L1091" s="162">
        <f>SUMIF(PRESUPUESTO[CUENTA],EJECUTADO[[#This Row],[CUENTA]],PRESUPUESTO[MONTO])-SUMIF($F$1:F1090,EJECUTADO[[#This Row],[CUENTA]],$M$1:M1090)</f>
        <v>275000</v>
      </c>
      <c r="M1091" s="2">
        <v>25000</v>
      </c>
      <c r="N1091" s="2"/>
      <c r="O1091" s="2"/>
      <c r="P1091" s="162">
        <f>+EJECUTADO[[#This Row],[MONTO SOLICITADO]]-EJECUTADO[[#This Row],[RETENCION IVA]]-EJECUTADO[[#This Row],[RETENCION ISR]]</f>
        <v>25000</v>
      </c>
      <c r="Q1091" s="84" t="s">
        <v>1000</v>
      </c>
      <c r="R1091" s="2"/>
      <c r="S1091">
        <v>3353</v>
      </c>
      <c r="T1091" s="168" t="str">
        <f t="shared" si="39"/>
        <v>PROVEEDORES  - INVERSIONES DIDACTICAS Disponible $275000 Solicitado $25000 PRESUPUESTO: SI</v>
      </c>
    </row>
    <row r="1092" spans="1:20" ht="60" x14ac:dyDescent="0.25">
      <c r="A1092" s="6">
        <f t="shared" si="40"/>
        <v>1002</v>
      </c>
      <c r="B1092" s="21">
        <v>45358</v>
      </c>
      <c r="C1092" s="126" t="s">
        <v>2673</v>
      </c>
      <c r="D1092" s="65" t="s">
        <v>167</v>
      </c>
      <c r="E1092" s="65"/>
      <c r="F1092" t="s">
        <v>1852</v>
      </c>
      <c r="G1092" s="161">
        <f>MONTH(EJECUTADO[[#This Row],[FECHA]])</f>
        <v>3</v>
      </c>
      <c r="H1092" s="163" t="str">
        <f>MID(EJECUTADO[[#This Row],[CUENTA]],1,4)</f>
        <v>E-06</v>
      </c>
      <c r="I1092" s="163" t="str">
        <f>INDEX(CATALOGO[Descripción],MATCH(EJECUTADO[[#This Row],[APLICACIÓN]]&amp;"-00-00-00",CATALOGO[Código],0))</f>
        <v>HORAS CLASES</v>
      </c>
      <c r="J10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EMPRESARIALES</v>
      </c>
      <c r="K1092" s="161" t="str">
        <f>IF((EJECUTADO[[#This Row],[MONTO DISPONIBLE ]]-EJECUTADO[[#This Row],[MONTO SOLICITADO]])&gt;=0,"PRESUPUESTO: SI","PRESUPUESTO: NO")</f>
        <v>PRESUPUESTO: SI</v>
      </c>
      <c r="L1092" s="162">
        <f>SUMIF(PRESUPUESTO[CUENTA],EJECUTADO[[#This Row],[CUENTA]],PRESUPUESTO[MONTO])-SUMIF($F$1:F1091,EJECUTADO[[#This Row],[CUENTA]],$M$1:M1091)</f>
        <v>367471.45</v>
      </c>
      <c r="M1092" s="2">
        <v>35572.239999999998</v>
      </c>
      <c r="N1092" s="84"/>
      <c r="O1092" s="84"/>
      <c r="P1092" s="162">
        <f>+EJECUTADO[[#This Row],[MONTO SOLICITADO]]-EJECUTADO[[#This Row],[RETENCION IVA]]-EJECUTADO[[#This Row],[RETENCION ISR]]</f>
        <v>35572.239999999998</v>
      </c>
      <c r="Q1092" s="84" t="s">
        <v>2521</v>
      </c>
      <c r="R1092" s="84"/>
      <c r="S1092">
        <v>1</v>
      </c>
      <c r="T1092" s="168" t="str">
        <f t="shared" si="39"/>
        <v>HORAS CLASES - HORAS CLASE FACULTAD DE CIENCIAS EMPRESARIALES Disponible $367471.45 Solicitado $35572.24 PRESUPUESTO: SI</v>
      </c>
    </row>
    <row r="1093" spans="1:20" ht="60" x14ac:dyDescent="0.25">
      <c r="A1093" s="6">
        <f t="shared" si="40"/>
        <v>1003</v>
      </c>
      <c r="B1093" s="21">
        <v>45358</v>
      </c>
      <c r="C1093" s="126" t="s">
        <v>2673</v>
      </c>
      <c r="D1093" s="65" t="s">
        <v>168</v>
      </c>
      <c r="E1093" s="65"/>
      <c r="F1093" t="s">
        <v>1855</v>
      </c>
      <c r="G1093" s="161">
        <f>MONTH(EJECUTADO[[#This Row],[FECHA]])</f>
        <v>3</v>
      </c>
      <c r="H1093" s="163" t="str">
        <f>MID(EJECUTADO[[#This Row],[CUENTA]],1,4)</f>
        <v>E-06</v>
      </c>
      <c r="I1093" s="163" t="str">
        <f>INDEX(CATALOGO[Descripción],MATCH(EJECUTADO[[#This Row],[APLICACIÓN]]&amp;"-00-00-00",CATALOGO[Código],0))</f>
        <v>HORAS CLASES</v>
      </c>
      <c r="J10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1093" s="161" t="str">
        <f>IF((EJECUTADO[[#This Row],[MONTO DISPONIBLE ]]-EJECUTADO[[#This Row],[MONTO SOLICITADO]])&gt;=0,"PRESUPUESTO: SI","PRESUPUESTO: NO")</f>
        <v>PRESUPUESTO: SI</v>
      </c>
      <c r="L1093" s="162">
        <f>SUMIF(PRESUPUESTO[CUENTA],EJECUTADO[[#This Row],[CUENTA]],PRESUPUESTO[MONTO])-SUMIF($F$1:F1092,EJECUTADO[[#This Row],[CUENTA]],$M$1:M1092)</f>
        <v>548136.55000000005</v>
      </c>
      <c r="M1093" s="2">
        <v>59981.42</v>
      </c>
      <c r="N1093" s="84"/>
      <c r="O1093" s="84"/>
      <c r="P1093" s="162">
        <f>+EJECUTADO[[#This Row],[MONTO SOLICITADO]]-EJECUTADO[[#This Row],[RETENCION IVA]]-EJECUTADO[[#This Row],[RETENCION ISR]]</f>
        <v>59981.42</v>
      </c>
      <c r="Q1093" s="84" t="s">
        <v>2521</v>
      </c>
      <c r="R1093" s="84"/>
      <c r="S1093">
        <v>1</v>
      </c>
      <c r="T1093" s="168" t="str">
        <f t="shared" si="39"/>
        <v>HORAS CLASES - HORAS CLASE FACULTAD DE INFORMATICA Y CC APLICADAS Disponible $548136.55 Solicitado $59981.42 PRESUPUESTO: SI</v>
      </c>
    </row>
    <row r="1094" spans="1:20" ht="45" x14ac:dyDescent="0.25">
      <c r="A1094" s="6">
        <f t="shared" si="40"/>
        <v>1004</v>
      </c>
      <c r="B1094" s="21">
        <v>45358</v>
      </c>
      <c r="C1094" s="126" t="s">
        <v>2673</v>
      </c>
      <c r="D1094" s="65" t="s">
        <v>169</v>
      </c>
      <c r="E1094" s="65"/>
      <c r="F1094" t="s">
        <v>1864</v>
      </c>
      <c r="G1094" s="161">
        <f>MONTH(EJECUTADO[[#This Row],[FECHA]])</f>
        <v>3</v>
      </c>
      <c r="H1094" s="163" t="str">
        <f>MID(EJECUTADO[[#This Row],[CUENTA]],1,4)</f>
        <v>E-06</v>
      </c>
      <c r="I1094" s="163" t="str">
        <f>INDEX(CATALOGO[Descripción],MATCH(EJECUTADO[[#This Row],[APLICACIÓN]]&amp;"-00-00-00",CATALOGO[Código],0))</f>
        <v>HORAS CLASES</v>
      </c>
      <c r="J10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1094" s="161" t="str">
        <f>IF((EJECUTADO[[#This Row],[MONTO DISPONIBLE ]]-EJECUTADO[[#This Row],[MONTO SOLICITADO]])&gt;=0,"PRESUPUESTO: SI","PRESUPUESTO: NO")</f>
        <v>PRESUPUESTO: SI</v>
      </c>
      <c r="L1094" s="162">
        <f>SUMIF(PRESUPUESTO[CUENTA],EJECUTADO[[#This Row],[CUENTA]],PRESUPUESTO[MONTO])-SUMIF($F$1:F1093,EJECUTADO[[#This Row],[CUENTA]],$M$1:M1093)</f>
        <v>466313.47</v>
      </c>
      <c r="M1094" s="2">
        <v>48180.44</v>
      </c>
      <c r="N1094" s="84"/>
      <c r="O1094" s="84"/>
      <c r="P1094" s="162">
        <f>+EJECUTADO[[#This Row],[MONTO SOLICITADO]]-EJECUTADO[[#This Row],[RETENCION IVA]]-EJECUTADO[[#This Row],[RETENCION ISR]]</f>
        <v>48180.44</v>
      </c>
      <c r="Q1094" s="84" t="s">
        <v>2521</v>
      </c>
      <c r="R1094" s="84"/>
      <c r="S1094">
        <v>1</v>
      </c>
      <c r="T1094" s="168" t="str">
        <f t="shared" si="39"/>
        <v>HORAS CLASES - HORAS CLASE FACULTAD DE CIENCIAS SOCIALES Disponible $466313.47 Solicitado $48180.44 PRESUPUESTO: SI</v>
      </c>
    </row>
    <row r="1095" spans="1:20" ht="45" x14ac:dyDescent="0.25">
      <c r="A1095" s="6">
        <f t="shared" si="40"/>
        <v>1005</v>
      </c>
      <c r="B1095" s="21">
        <v>45358</v>
      </c>
      <c r="C1095" s="126" t="s">
        <v>2673</v>
      </c>
      <c r="D1095" s="65" t="s">
        <v>170</v>
      </c>
      <c r="E1095" s="65"/>
      <c r="F1095" t="s">
        <v>1873</v>
      </c>
      <c r="G1095" s="161">
        <f>MONTH(EJECUTADO[[#This Row],[FECHA]])</f>
        <v>3</v>
      </c>
      <c r="H1095" s="163" t="str">
        <f>MID(EJECUTADO[[#This Row],[CUENTA]],1,4)</f>
        <v>E-06</v>
      </c>
      <c r="I1095" s="163" t="str">
        <f>INDEX(CATALOGO[Descripción],MATCH(EJECUTADO[[#This Row],[APLICACIÓN]]&amp;"-00-00-00",CATALOGO[Código],0))</f>
        <v>HORAS CLASES</v>
      </c>
      <c r="J10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JURIDICAS</v>
      </c>
      <c r="K1095" s="161" t="str">
        <f>IF((EJECUTADO[[#This Row],[MONTO DISPONIBLE ]]-EJECUTADO[[#This Row],[MONTO SOLICITADO]])&gt;=0,"PRESUPUESTO: SI","PRESUPUESTO: NO")</f>
        <v>PRESUPUESTO: SI</v>
      </c>
      <c r="L1095" s="162">
        <f>SUMIF(PRESUPUESTO[CUENTA],EJECUTADO[[#This Row],[CUENTA]],PRESUPUESTO[MONTO])-SUMIF($F$1:F1094,EJECUTADO[[#This Row],[CUENTA]],$M$1:M1094)</f>
        <v>138455.65</v>
      </c>
      <c r="M1095" s="2">
        <v>17332.3</v>
      </c>
      <c r="N1095" s="84"/>
      <c r="O1095" s="84"/>
      <c r="P1095" s="162">
        <f>+EJECUTADO[[#This Row],[MONTO SOLICITADO]]-EJECUTADO[[#This Row],[RETENCION IVA]]-EJECUTADO[[#This Row],[RETENCION ISR]]</f>
        <v>17332.3</v>
      </c>
      <c r="Q1095" s="84" t="s">
        <v>2521</v>
      </c>
      <c r="R1095" s="84"/>
      <c r="S1095">
        <v>1</v>
      </c>
      <c r="T1095" s="168" t="str">
        <f t="shared" si="39"/>
        <v>HORAS CLASES - HORAS CLASE FACULTAD DE CIENCIAS JURIDICAS Disponible $138455.65 Solicitado $17332.3 PRESUPUESTO: SI</v>
      </c>
    </row>
    <row r="1096" spans="1:20" ht="30" x14ac:dyDescent="0.25">
      <c r="A1096" s="6">
        <f t="shared" si="40"/>
        <v>1006</v>
      </c>
      <c r="B1096" s="21">
        <v>45358</v>
      </c>
      <c r="C1096" s="126" t="s">
        <v>2673</v>
      </c>
      <c r="D1096" s="65" t="s">
        <v>343</v>
      </c>
      <c r="E1096" s="65"/>
      <c r="F1096" t="s">
        <v>1884</v>
      </c>
      <c r="G1096" s="161">
        <f>MONTH(EJECUTADO[[#This Row],[FECHA]])</f>
        <v>3</v>
      </c>
      <c r="H1096" s="163" t="str">
        <f>MID(EJECUTADO[[#This Row],[CUENTA]],1,4)</f>
        <v>E-13</v>
      </c>
      <c r="I1096" s="163" t="str">
        <f>INDEX(CATALOGO[Descripción],MATCH(EJECUTADO[[#This Row],[APLICACIÓN]]&amp;"-00-00-00",CATALOGO[Código],0))</f>
        <v>MAESTRIAS Y POSTGRADOS</v>
      </c>
      <c r="J10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 módulos</v>
      </c>
      <c r="K1096" s="161" t="str">
        <f>IF((EJECUTADO[[#This Row],[MONTO DISPONIBLE ]]-EJECUTADO[[#This Row],[MONTO SOLICITADO]])&gt;=0,"PRESUPUESTO: SI","PRESUPUESTO: NO")</f>
        <v>PRESUPUESTO: SI</v>
      </c>
      <c r="L1096" s="162">
        <f>SUMIF(PRESUPUESTO[CUENTA],EJECUTADO[[#This Row],[CUENTA]],PRESUPUESTO[MONTO])-SUMIF($F$1:F1095,EJECUTADO[[#This Row],[CUENTA]],$M$1:M1095)</f>
        <v>127265.60000000001</v>
      </c>
      <c r="M1096" s="2">
        <v>33827.199999999997</v>
      </c>
      <c r="N1096" s="84"/>
      <c r="O1096" s="84"/>
      <c r="P1096" s="162">
        <f>+EJECUTADO[[#This Row],[MONTO SOLICITADO]]-EJECUTADO[[#This Row],[RETENCION IVA]]-EJECUTADO[[#This Row],[RETENCION ISR]]</f>
        <v>33827.199999999997</v>
      </c>
      <c r="Q1096" s="84" t="s">
        <v>2521</v>
      </c>
      <c r="R1096" s="84"/>
      <c r="S1096">
        <v>1</v>
      </c>
      <c r="T1096" s="168" t="str">
        <f t="shared" si="39"/>
        <v>MAESTRIAS Y POSTGRADOS - Horas Clase  módulos Disponible $127265.6 Solicitado $33827.2 PRESUPUESTO: SI</v>
      </c>
    </row>
    <row r="1097" spans="1:20" ht="45" x14ac:dyDescent="0.25">
      <c r="A1097" s="6">
        <f t="shared" si="40"/>
        <v>1007</v>
      </c>
      <c r="B1097" s="21">
        <v>45358</v>
      </c>
      <c r="C1097" s="126" t="s">
        <v>2673</v>
      </c>
      <c r="D1097" s="65" t="s">
        <v>344</v>
      </c>
      <c r="E1097" s="65"/>
      <c r="F1097" t="s">
        <v>1880</v>
      </c>
      <c r="G1097" s="161">
        <f>MONTH(EJECUTADO[[#This Row],[FECHA]])</f>
        <v>3</v>
      </c>
      <c r="H1097" s="163" t="str">
        <f>MID(EJECUTADO[[#This Row],[CUENTA]],1,4)</f>
        <v>E-13</v>
      </c>
      <c r="I1097" s="163" t="str">
        <f>INDEX(CATALOGO[Descripción],MATCH(EJECUTADO[[#This Row],[APLICACIÓN]]&amp;"-00-00-00",CATALOGO[Código],0))</f>
        <v>MAESTRIAS Y POSTGRADOS</v>
      </c>
      <c r="J10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Procesos de Graduación</v>
      </c>
      <c r="K1097" s="161" t="str">
        <f>IF((EJECUTADO[[#This Row],[MONTO DISPONIBLE ]]-EJECUTADO[[#This Row],[MONTO SOLICITADO]])&gt;=0,"PRESUPUESTO: SI","PRESUPUESTO: NO")</f>
        <v>PRESUPUESTO: SI</v>
      </c>
      <c r="L1097" s="162">
        <f>SUMIF(PRESUPUESTO[CUENTA],EJECUTADO[[#This Row],[CUENTA]],PRESUPUESTO[MONTO])-SUMIF($F$1:F1096,EJECUTADO[[#This Row],[CUENTA]],$M$1:M1096)</f>
        <v>20129.599999999999</v>
      </c>
      <c r="M1097" s="2">
        <v>5345.6</v>
      </c>
      <c r="N1097" s="84"/>
      <c r="O1097" s="84"/>
      <c r="P1097" s="162">
        <f>+EJECUTADO[[#This Row],[MONTO SOLICITADO]]-EJECUTADO[[#This Row],[RETENCION IVA]]-EJECUTADO[[#This Row],[RETENCION ISR]]</f>
        <v>5345.6</v>
      </c>
      <c r="Q1097" s="84" t="s">
        <v>2521</v>
      </c>
      <c r="R1097" s="84"/>
      <c r="S1097">
        <v>1</v>
      </c>
      <c r="T1097" s="168" t="str">
        <f t="shared" si="39"/>
        <v>MAESTRIAS Y POSTGRADOS - Horas clase Procesos de Graduación Disponible $20129.6 Solicitado $5345.6 PRESUPUESTO: SI</v>
      </c>
    </row>
    <row r="1098" spans="1:20" ht="30" x14ac:dyDescent="0.25">
      <c r="A1098" s="6">
        <f t="shared" si="40"/>
        <v>1008</v>
      </c>
      <c r="B1098" s="21">
        <v>45358</v>
      </c>
      <c r="C1098" s="126" t="s">
        <v>2673</v>
      </c>
      <c r="D1098" s="65" t="s">
        <v>376</v>
      </c>
      <c r="E1098" s="65"/>
      <c r="F1098" t="s">
        <v>1882</v>
      </c>
      <c r="G1098" s="161">
        <f>MONTH(EJECUTADO[[#This Row],[FECHA]])</f>
        <v>3</v>
      </c>
      <c r="H1098" s="163" t="str">
        <f>MID(EJECUTADO[[#This Row],[CUENTA]],1,4)</f>
        <v>E-13</v>
      </c>
      <c r="I1098" s="163" t="str">
        <f>INDEX(CATALOGO[Descripción],MATCH(EJECUTADO[[#This Row],[APLICACIÓN]]&amp;"-00-00-00",CATALOGO[Código],0))</f>
        <v>MAESTRIAS Y POSTGRADOS</v>
      </c>
      <c r="J10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POSTGRADOS - HORA CLASE</v>
      </c>
      <c r="K1098" s="161" t="str">
        <f>IF((EJECUTADO[[#This Row],[MONTO DISPONIBLE ]]-EJECUTADO[[#This Row],[MONTO SOLICITADO]])&gt;=0,"PRESUPUESTO: SI","PRESUPUESTO: NO")</f>
        <v>PRESUPUESTO: SI</v>
      </c>
      <c r="L1098" s="162">
        <f>SUMIF(PRESUPUESTO[CUENTA],EJECUTADO[[#This Row],[CUENTA]],PRESUPUESTO[MONTO])-SUMIF($F$1:F1097,EJECUTADO[[#This Row],[CUENTA]],$M$1:M1097)</f>
        <v>11740</v>
      </c>
      <c r="M1098" s="2">
        <v>6720</v>
      </c>
      <c r="N1098" s="84"/>
      <c r="O1098" s="84"/>
      <c r="P1098" s="162">
        <f>+EJECUTADO[[#This Row],[MONTO SOLICITADO]]-EJECUTADO[[#This Row],[RETENCION IVA]]-EJECUTADO[[#This Row],[RETENCION ISR]]</f>
        <v>6720</v>
      </c>
      <c r="Q1098" s="84" t="s">
        <v>2521</v>
      </c>
      <c r="R1098" s="84"/>
      <c r="S1098">
        <v>1</v>
      </c>
      <c r="T1098" s="168" t="str">
        <f t="shared" si="39"/>
        <v>MAESTRIAS Y POSTGRADOS - POSTGRADOS - HORA CLASE Disponible $11740 Solicitado $6720 PRESUPUESTO: SI</v>
      </c>
    </row>
    <row r="1099" spans="1:20" ht="30" x14ac:dyDescent="0.25">
      <c r="A1099" s="6">
        <f t="shared" si="40"/>
        <v>1009</v>
      </c>
      <c r="B1099" s="21">
        <v>45358</v>
      </c>
      <c r="C1099" s="126" t="s">
        <v>2673</v>
      </c>
      <c r="D1099" s="65" t="s">
        <v>450</v>
      </c>
      <c r="E1099" s="65"/>
      <c r="F1099" t="s">
        <v>1756</v>
      </c>
      <c r="G1099" s="161">
        <f>MONTH(EJECUTADO[[#This Row],[FECHA]])</f>
        <v>3</v>
      </c>
      <c r="H1099" s="163" t="str">
        <f>MID(EJECUTADO[[#This Row],[CUENTA]],1,4)</f>
        <v>E-16</v>
      </c>
      <c r="I1099" s="163" t="str">
        <f>INDEX(CATALOGO[Descripción],MATCH(EJECUTADO[[#This Row],[APLICACIÓN]]&amp;"-00-00-00",CATALOGO[Código],0))</f>
        <v xml:space="preserve">PRE-ESPECIALIDAD </v>
      </c>
      <c r="J10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 Clase - Modulos</v>
      </c>
      <c r="K1099" s="161" t="str">
        <f>IF((EJECUTADO[[#This Row],[MONTO DISPONIBLE ]]-EJECUTADO[[#This Row],[MONTO SOLICITADO]])&gt;=0,"PRESUPUESTO: SI","PRESUPUESTO: NO")</f>
        <v>PRESUPUESTO: SI</v>
      </c>
      <c r="L1099" s="162">
        <f>SUMIF(PRESUPUESTO[CUENTA],EJECUTADO[[#This Row],[CUENTA]],PRESUPUESTO[MONTO])-SUMIF($F$1:F1098,EJECUTADO[[#This Row],[CUENTA]],$M$1:M1098)</f>
        <v>324264.61</v>
      </c>
      <c r="M1099" s="2">
        <v>9036.6</v>
      </c>
      <c r="N1099" s="84"/>
      <c r="O1099" s="84"/>
      <c r="P1099" s="162">
        <f>+EJECUTADO[[#This Row],[MONTO SOLICITADO]]-EJECUTADO[[#This Row],[RETENCION IVA]]-EJECUTADO[[#This Row],[RETENCION ISR]]</f>
        <v>9036.6</v>
      </c>
      <c r="Q1099" s="84" t="s">
        <v>2521</v>
      </c>
      <c r="R1099" s="84"/>
      <c r="S1099">
        <v>1</v>
      </c>
      <c r="T1099" s="168" t="str">
        <f t="shared" si="39"/>
        <v>PRE-ESPECIALIDAD  - Hora Clase - Modulos Disponible $324264.61 Solicitado $9036.6 PRESUPUESTO: SI</v>
      </c>
    </row>
    <row r="1100" spans="1:20" ht="30" x14ac:dyDescent="0.25">
      <c r="A1100" s="6">
        <f t="shared" si="40"/>
        <v>1010</v>
      </c>
      <c r="B1100" s="21">
        <v>45358</v>
      </c>
      <c r="C1100" s="126" t="s">
        <v>2673</v>
      </c>
      <c r="D1100" s="65" t="s">
        <v>451</v>
      </c>
      <c r="E1100" s="65"/>
      <c r="F1100" t="s">
        <v>2674</v>
      </c>
      <c r="G1100" s="161">
        <f>MONTH(EJECUTADO[[#This Row],[FECHA]])</f>
        <v>3</v>
      </c>
      <c r="H1100" s="163" t="str">
        <f>MID(EJECUTADO[[#This Row],[CUENTA]],1,4)</f>
        <v>E-16</v>
      </c>
      <c r="I1100" s="163" t="str">
        <f>INDEX(CATALOGO[Descripción],MATCH(EJECUTADO[[#This Row],[APLICACIÓN]]&amp;"-00-00-00",CATALOGO[Código],0))</f>
        <v xml:space="preserve">PRE-ESPECIALIDAD </v>
      </c>
      <c r="J11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 Clase - Asesoria Tesis</v>
      </c>
      <c r="K1100" s="161" t="str">
        <f>IF((EJECUTADO[[#This Row],[MONTO DISPONIBLE ]]-EJECUTADO[[#This Row],[MONTO SOLICITADO]])&gt;=0,"PRESUPUESTO: SI","PRESUPUESTO: NO")</f>
        <v>PRESUPUESTO: SI</v>
      </c>
      <c r="L1100" s="162">
        <f>SUMIF(PRESUPUESTO[CUENTA],EJECUTADO[[#This Row],[CUENTA]],PRESUPUESTO[MONTO])-SUMIF($F$1:F1099,EJECUTADO[[#This Row],[CUENTA]],$M$1:M1099)</f>
        <v>16450</v>
      </c>
      <c r="M1100" s="2">
        <v>742.86</v>
      </c>
      <c r="N1100" s="84"/>
      <c r="O1100" s="84"/>
      <c r="P1100" s="162">
        <f>+EJECUTADO[[#This Row],[MONTO SOLICITADO]]-EJECUTADO[[#This Row],[RETENCION IVA]]-EJECUTADO[[#This Row],[RETENCION ISR]]</f>
        <v>742.86</v>
      </c>
      <c r="Q1100" s="84" t="s">
        <v>2521</v>
      </c>
      <c r="R1100" s="84"/>
      <c r="S1100">
        <v>1</v>
      </c>
      <c r="T1100" s="168" t="str">
        <f t="shared" si="39"/>
        <v>PRE-ESPECIALIDAD  - Hora Clase - Asesoria Tesis Disponible $16450 Solicitado $742.86 PRESUPUESTO: SI</v>
      </c>
    </row>
    <row r="1101" spans="1:20" ht="30" x14ac:dyDescent="0.25">
      <c r="A1101" s="6">
        <f t="shared" si="40"/>
        <v>1011</v>
      </c>
      <c r="B1101" s="21">
        <v>45358</v>
      </c>
      <c r="C1101" s="126" t="s">
        <v>2673</v>
      </c>
      <c r="D1101" s="65" t="s">
        <v>452</v>
      </c>
      <c r="E1101" s="65"/>
      <c r="F1101" t="s">
        <v>2675</v>
      </c>
      <c r="G1101" s="161">
        <f>MONTH(EJECUTADO[[#This Row],[FECHA]])</f>
        <v>3</v>
      </c>
      <c r="H1101" s="163" t="str">
        <f>MID(EJECUTADO[[#This Row],[CUENTA]],1,4)</f>
        <v>E-16</v>
      </c>
      <c r="I1101" s="163" t="str">
        <f>INDEX(CATALOGO[Descripción],MATCH(EJECUTADO[[#This Row],[APLICACIÓN]]&amp;"-00-00-00",CATALOGO[Código],0))</f>
        <v xml:space="preserve">PRE-ESPECIALIDAD </v>
      </c>
      <c r="J11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 Clase - Jurado de Tesis técnicos</v>
      </c>
      <c r="K1101" s="161" t="str">
        <f>IF((EJECUTADO[[#This Row],[MONTO DISPONIBLE ]]-EJECUTADO[[#This Row],[MONTO SOLICITADO]])&gt;=0,"PRESUPUESTO: SI","PRESUPUESTO: NO")</f>
        <v>PRESUPUESTO: SI</v>
      </c>
      <c r="L1101" s="162">
        <f>SUMIF(PRESUPUESTO[CUENTA],EJECUTADO[[#This Row],[CUENTA]],PRESUPUESTO[MONTO])-SUMIF($F$1:F1100,EJECUTADO[[#This Row],[CUENTA]],$M$1:M1100)</f>
        <v>6300</v>
      </c>
      <c r="M1101" s="2">
        <v>180</v>
      </c>
      <c r="N1101" s="84"/>
      <c r="O1101" s="84"/>
      <c r="P1101" s="162">
        <f>+EJECUTADO[[#This Row],[MONTO SOLICITADO]]-EJECUTADO[[#This Row],[RETENCION IVA]]-EJECUTADO[[#This Row],[RETENCION ISR]]</f>
        <v>180</v>
      </c>
      <c r="Q1101" s="84" t="s">
        <v>2521</v>
      </c>
      <c r="R1101" s="84"/>
      <c r="S1101">
        <v>1</v>
      </c>
      <c r="T1101" s="168" t="str">
        <f t="shared" si="39"/>
        <v>PRE-ESPECIALIDAD  - Hora Clase - Jurado de Tesis técnicos Disponible $6300 Solicitado $180 PRESUPUESTO: SI</v>
      </c>
    </row>
    <row r="1102" spans="1:20" ht="30" x14ac:dyDescent="0.25">
      <c r="A1102" s="6">
        <f t="shared" si="40"/>
        <v>1012</v>
      </c>
      <c r="B1102" s="21">
        <v>45366</v>
      </c>
      <c r="C1102" s="126" t="s">
        <v>1418</v>
      </c>
      <c r="D1102" s="65" t="s">
        <v>593</v>
      </c>
      <c r="E1102" s="65"/>
      <c r="F1102" t="s">
        <v>2676</v>
      </c>
      <c r="G1102" s="161">
        <f>MONTH(EJECUTADO[[#This Row],[FECHA]])</f>
        <v>3</v>
      </c>
      <c r="H1102" s="163" t="str">
        <f>MID(EJECUTADO[[#This Row],[CUENTA]],1,4)</f>
        <v>E-21</v>
      </c>
      <c r="I1102" s="163" t="str">
        <f>INDEX(CATALOGO[Descripción],MATCH(EJECUTADO[[#This Row],[APLICACIÓN]]&amp;"-00-00-00",CATALOGO[Código],0))</f>
        <v>CENTRO DE FORMACION PROFESIONAL y EXT U</v>
      </c>
      <c r="J11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 Jeny E Sánchez</v>
      </c>
      <c r="K1102" s="161" t="str">
        <f>IF((EJECUTADO[[#This Row],[MONTO DISPONIBLE ]]-EJECUTADO[[#This Row],[MONTO SOLICITADO]])&gt;=0,"PRESUPUESTO: SI","PRESUPUESTO: NO")</f>
        <v>PRESUPUESTO: SI</v>
      </c>
      <c r="L1102" s="162">
        <f>SUMIF(PRESUPUESTO[CUENTA],EJECUTADO[[#This Row],[CUENTA]],PRESUPUESTO[MONTO])-SUMIF($F$1:F1101,EJECUTADO[[#This Row],[CUENTA]],$M$1:M1101)</f>
        <v>5200</v>
      </c>
      <c r="M1102" s="2">
        <v>200</v>
      </c>
      <c r="N1102" s="84"/>
      <c r="O1102" s="84"/>
      <c r="P1102" s="162">
        <f>+EJECUTADO[[#This Row],[MONTO SOLICITADO]]-EJECUTADO[[#This Row],[RETENCION IVA]]-EJECUTADO[[#This Row],[RETENCION ISR]]</f>
        <v>200</v>
      </c>
      <c r="Q1102" s="84" t="s">
        <v>2521</v>
      </c>
      <c r="R1102" s="84"/>
      <c r="S1102">
        <v>1</v>
      </c>
      <c r="T1102" s="168" t="str">
        <f t="shared" ref="T1102:T1165" si="42">_xlfn.CONCAT(I1102," - ",J1102," Disponible $",L1102," Solicitado $",M1102," ",K1102,)</f>
        <v>CENTRO DE FORMACION PROFESIONAL y EXT U - Sueldo Jeny E Sánchez Disponible $5200 Solicitado $200 PRESUPUESTO: SI</v>
      </c>
    </row>
    <row r="1103" spans="1:20" ht="30" x14ac:dyDescent="0.25">
      <c r="A1103" s="6">
        <f t="shared" si="40"/>
        <v>1013</v>
      </c>
      <c r="B1103" s="21">
        <v>45366</v>
      </c>
      <c r="C1103" s="126" t="s">
        <v>1418</v>
      </c>
      <c r="D1103" s="65" t="s">
        <v>256</v>
      </c>
      <c r="E1103" s="65"/>
      <c r="F1103" t="s">
        <v>1481</v>
      </c>
      <c r="G1103" s="161">
        <f>MONTH(EJECUTADO[[#This Row],[FECHA]])</f>
        <v>3</v>
      </c>
      <c r="H1103" s="163" t="str">
        <f>MID(EJECUTADO[[#This Row],[CUENTA]],1,4)</f>
        <v>E-11</v>
      </c>
      <c r="I1103" s="163" t="str">
        <f>INDEX(CATALOGO[Descripción],MATCH(EJECUTADO[[#This Row],[APLICACIÓN]]&amp;"-00-00-00",CATALOGO[Código],0))</f>
        <v>INVESTIGACIONES</v>
      </c>
      <c r="J11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103" s="161" t="str">
        <f>IF((EJECUTADO[[#This Row],[MONTO DISPONIBLE ]]-EJECUTADO[[#This Row],[MONTO SOLICITADO]])&gt;=0,"PRESUPUESTO: SI","PRESUPUESTO: NO")</f>
        <v>PRESUPUESTO: SI</v>
      </c>
      <c r="L1103" s="162">
        <f>SUMIF(PRESUPUESTO[CUENTA],EJECUTADO[[#This Row],[CUENTA]],PRESUPUESTO[MONTO])-SUMIF($F$1:F1102,EJECUTADO[[#This Row],[CUENTA]],$M$1:M1102)</f>
        <v>231798.66</v>
      </c>
      <c r="M1103" s="2">
        <v>9542.5</v>
      </c>
      <c r="N1103" s="84"/>
      <c r="O1103" s="84"/>
      <c r="P1103" s="162">
        <f>+EJECUTADO[[#This Row],[MONTO SOLICITADO]]-EJECUTADO[[#This Row],[RETENCION IVA]]-EJECUTADO[[#This Row],[RETENCION ISR]]</f>
        <v>9542.5</v>
      </c>
      <c r="Q1103" s="84" t="s">
        <v>2521</v>
      </c>
      <c r="R1103" s="84"/>
      <c r="S1103">
        <v>1</v>
      </c>
      <c r="T1103" s="168" t="str">
        <f t="shared" si="42"/>
        <v>INVESTIGACIONES - SUELDOS Y SALARIOS Disponible $231798.66 Solicitado $9542.5 PRESUPUESTO: SI</v>
      </c>
    </row>
    <row r="1104" spans="1:20" ht="30" x14ac:dyDescent="0.25">
      <c r="A1104" s="6">
        <f t="shared" si="40"/>
        <v>1014</v>
      </c>
      <c r="B1104" s="21">
        <v>45366</v>
      </c>
      <c r="C1104" s="126" t="s">
        <v>1418</v>
      </c>
      <c r="D1104" s="65" t="s">
        <v>256</v>
      </c>
      <c r="E1104" s="65"/>
      <c r="F1104" t="s">
        <v>1483</v>
      </c>
      <c r="G1104" s="161">
        <f>MONTH(EJECUTADO[[#This Row],[FECHA]])</f>
        <v>3</v>
      </c>
      <c r="H1104" s="163" t="str">
        <f>MID(EJECUTADO[[#This Row],[CUENTA]],1,4)</f>
        <v>E-12</v>
      </c>
      <c r="I1104" s="163" t="str">
        <f>INDEX(CATALOGO[Descripción],MATCH(EJECUTADO[[#This Row],[APLICACIÓN]]&amp;"-00-00-00",CATALOGO[Código],0))</f>
        <v>PROYECCION SOCIAL</v>
      </c>
      <c r="J11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104" s="161" t="str">
        <f>IF((EJECUTADO[[#This Row],[MONTO DISPONIBLE ]]-EJECUTADO[[#This Row],[MONTO SOLICITADO]])&gt;=0,"PRESUPUESTO: SI","PRESUPUESTO: NO")</f>
        <v>PRESUPUESTO: SI</v>
      </c>
      <c r="L1104" s="162">
        <f>SUMIF(PRESUPUESTO[CUENTA],EJECUTADO[[#This Row],[CUENTA]],PRESUPUESTO[MONTO])-SUMIF($F$1:F1103,EJECUTADO[[#This Row],[CUENTA]],$M$1:M1103)</f>
        <v>42102.879999999997</v>
      </c>
      <c r="M1104" s="2">
        <v>2961.78</v>
      </c>
      <c r="N1104" s="84"/>
      <c r="O1104" s="84"/>
      <c r="P1104" s="162">
        <f>+EJECUTADO[[#This Row],[MONTO SOLICITADO]]-EJECUTADO[[#This Row],[RETENCION IVA]]-EJECUTADO[[#This Row],[RETENCION ISR]]</f>
        <v>2961.78</v>
      </c>
      <c r="Q1104" s="84" t="s">
        <v>2521</v>
      </c>
      <c r="R1104" s="84"/>
      <c r="S1104">
        <v>1</v>
      </c>
      <c r="T1104" s="168" t="str">
        <f t="shared" si="42"/>
        <v>PROYECCION SOCIAL - SUELDOS Y SALARIOS Disponible $42102.88 Solicitado $2961.78 PRESUPUESTO: SI</v>
      </c>
    </row>
    <row r="1105" spans="1:20" ht="30" x14ac:dyDescent="0.25">
      <c r="A1105" s="6">
        <f t="shared" si="40"/>
        <v>1015</v>
      </c>
      <c r="B1105" s="21">
        <v>45366</v>
      </c>
      <c r="C1105" s="126" t="s">
        <v>1418</v>
      </c>
      <c r="D1105" s="65" t="s">
        <v>256</v>
      </c>
      <c r="E1105" s="65"/>
      <c r="F1105" t="s">
        <v>1468</v>
      </c>
      <c r="G1105" s="161">
        <f>MONTH(EJECUTADO[[#This Row],[FECHA]])</f>
        <v>3</v>
      </c>
      <c r="H1105" s="163" t="str">
        <f>MID(EJECUTADO[[#This Row],[CUENTA]],1,4)</f>
        <v>E-13</v>
      </c>
      <c r="I1105" s="163" t="str">
        <f>INDEX(CATALOGO[Descripción],MATCH(EJECUTADO[[#This Row],[APLICACIÓN]]&amp;"-00-00-00",CATALOGO[Código],0))</f>
        <v>MAESTRIAS Y POSTGRADOS</v>
      </c>
      <c r="J11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105" s="161" t="str">
        <f>IF((EJECUTADO[[#This Row],[MONTO DISPONIBLE ]]-EJECUTADO[[#This Row],[MONTO SOLICITADO]])&gt;=0,"PRESUPUESTO: SI","PRESUPUESTO: NO")</f>
        <v>PRESUPUESTO: SI</v>
      </c>
      <c r="L1105" s="162">
        <f>SUMIF(PRESUPUESTO[CUENTA],EJECUTADO[[#This Row],[CUENTA]],PRESUPUESTO[MONTO])-SUMIF($F$1:F1104,EJECUTADO[[#This Row],[CUENTA]],$M$1:M1104)</f>
        <v>90334.37</v>
      </c>
      <c r="M1105" s="2">
        <v>4975</v>
      </c>
      <c r="N1105" s="84"/>
      <c r="O1105" s="84"/>
      <c r="P1105" s="162">
        <f>+EJECUTADO[[#This Row],[MONTO SOLICITADO]]-EJECUTADO[[#This Row],[RETENCION IVA]]-EJECUTADO[[#This Row],[RETENCION ISR]]</f>
        <v>4975</v>
      </c>
      <c r="Q1105" s="84" t="s">
        <v>2521</v>
      </c>
      <c r="R1105" s="84"/>
      <c r="S1105">
        <v>1</v>
      </c>
      <c r="T1105" s="168" t="str">
        <f t="shared" si="42"/>
        <v>MAESTRIAS Y POSTGRADOS - SUELDOS Y SALARIOS Disponible $90334.37 Solicitado $4975 PRESUPUESTO: SI</v>
      </c>
    </row>
    <row r="1106" spans="1:20" ht="30" x14ac:dyDescent="0.25">
      <c r="A1106" s="6">
        <f t="shared" ref="A1106:A1169" si="43">+A1105+1</f>
        <v>1016</v>
      </c>
      <c r="B1106" s="21">
        <v>45366</v>
      </c>
      <c r="C1106" s="126" t="s">
        <v>1418</v>
      </c>
      <c r="D1106" s="65" t="s">
        <v>256</v>
      </c>
      <c r="E1106" s="65"/>
      <c r="F1106" t="s">
        <v>1485</v>
      </c>
      <c r="G1106" s="161">
        <f>MONTH(EJECUTADO[[#This Row],[FECHA]])</f>
        <v>3</v>
      </c>
      <c r="H1106" s="163" t="str">
        <f>MID(EJECUTADO[[#This Row],[CUENTA]],1,4)</f>
        <v>E-16</v>
      </c>
      <c r="I1106" s="163" t="str">
        <f>INDEX(CATALOGO[Descripción],MATCH(EJECUTADO[[#This Row],[APLICACIÓN]]&amp;"-00-00-00",CATALOGO[Código],0))</f>
        <v xml:space="preserve">PRE-ESPECIALIDAD </v>
      </c>
      <c r="J11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</v>
      </c>
      <c r="K1106" s="161" t="str">
        <f>IF((EJECUTADO[[#This Row],[MONTO DISPONIBLE ]]-EJECUTADO[[#This Row],[MONTO SOLICITADO]])&gt;=0,"PRESUPUESTO: SI","PRESUPUESTO: NO")</f>
        <v>PRESUPUESTO: SI</v>
      </c>
      <c r="L1106" s="162">
        <f>SUMIF(PRESUPUESTO[CUENTA],EJECUTADO[[#This Row],[CUENTA]],PRESUPUESTO[MONTO])-SUMIF($F$1:F1105,EJECUTADO[[#This Row],[CUENTA]],$M$1:M1105)</f>
        <v>26650</v>
      </c>
      <c r="M1106" s="2">
        <v>975</v>
      </c>
      <c r="N1106" s="84"/>
      <c r="O1106" s="84"/>
      <c r="P1106" s="162">
        <f>+EJECUTADO[[#This Row],[MONTO SOLICITADO]]-EJECUTADO[[#This Row],[RETENCION IVA]]-EJECUTADO[[#This Row],[RETENCION ISR]]</f>
        <v>975</v>
      </c>
      <c r="Q1106" s="84" t="s">
        <v>2521</v>
      </c>
      <c r="R1106" s="84"/>
      <c r="S1106">
        <v>1</v>
      </c>
      <c r="T1106" s="168" t="str">
        <f t="shared" si="42"/>
        <v>PRE-ESPECIALIDAD  - SUELDOS Y SALARIOS  Disponible $26650 Solicitado $975 PRESUPUESTO: SI</v>
      </c>
    </row>
    <row r="1107" spans="1:20" ht="30" x14ac:dyDescent="0.25">
      <c r="A1107" s="6">
        <f t="shared" si="43"/>
        <v>1017</v>
      </c>
      <c r="B1107" s="21">
        <v>45366</v>
      </c>
      <c r="C1107" s="126" t="s">
        <v>1418</v>
      </c>
      <c r="D1107" s="65" t="s">
        <v>256</v>
      </c>
      <c r="E1107" s="65"/>
      <c r="F1107" t="s">
        <v>1470</v>
      </c>
      <c r="G1107" s="161">
        <f>MONTH(EJECUTADO[[#This Row],[FECHA]])</f>
        <v>3</v>
      </c>
      <c r="H1107" s="163" t="str">
        <f>MID(EJECUTADO[[#This Row],[CUENTA]],1,4)</f>
        <v>E-25</v>
      </c>
      <c r="I1107" s="163" t="str">
        <f>INDEX(CATALOGO[Descripción],MATCH(EJECUTADO[[#This Row],[APLICACIÓN]]&amp;"-00-00-00",CATALOGO[Código],0))</f>
        <v>DECANATO DE ESTUDIANTES</v>
      </c>
      <c r="J11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107" s="161" t="str">
        <f>IF((EJECUTADO[[#This Row],[MONTO DISPONIBLE ]]-EJECUTADO[[#This Row],[MONTO SOLICITADO]])&gt;=0,"PRESUPUESTO: SI","PRESUPUESTO: NO")</f>
        <v>PRESUPUESTO: SI</v>
      </c>
      <c r="L1107" s="162">
        <f>SUMIF(PRESUPUESTO[CUENTA],EJECUTADO[[#This Row],[CUENTA]],PRESUPUESTO[MONTO])-SUMIF($F$1:F1106,EJECUTADO[[#This Row],[CUENTA]],$M$1:M1106)</f>
        <v>47611.53</v>
      </c>
      <c r="M1107" s="2">
        <v>2000</v>
      </c>
      <c r="N1107" s="84"/>
      <c r="O1107" s="84"/>
      <c r="P1107" s="162">
        <f>+EJECUTADO[[#This Row],[MONTO SOLICITADO]]-EJECUTADO[[#This Row],[RETENCION IVA]]-EJECUTADO[[#This Row],[RETENCION ISR]]</f>
        <v>2000</v>
      </c>
      <c r="Q1107" s="84" t="s">
        <v>2521</v>
      </c>
      <c r="R1107" s="84"/>
      <c r="S1107">
        <v>1</v>
      </c>
      <c r="T1107" s="168" t="str">
        <f t="shared" si="42"/>
        <v>DECANATO DE ESTUDIANTES - SUELDOS Y SALARIOS Disponible $47611.53 Solicitado $2000 PRESUPUESTO: SI</v>
      </c>
    </row>
    <row r="1108" spans="1:20" ht="30" x14ac:dyDescent="0.25">
      <c r="A1108" s="6">
        <f t="shared" si="43"/>
        <v>1018</v>
      </c>
      <c r="B1108" s="21">
        <v>45366</v>
      </c>
      <c r="C1108" s="126" t="s">
        <v>1418</v>
      </c>
      <c r="D1108" s="65" t="s">
        <v>256</v>
      </c>
      <c r="E1108" s="65"/>
      <c r="F1108" t="s">
        <v>1436</v>
      </c>
      <c r="G1108" s="161">
        <f>MONTH(EJECUTADO[[#This Row],[FECHA]])</f>
        <v>3</v>
      </c>
      <c r="H1108" s="163" t="str">
        <f>MID(EJECUTADO[[#This Row],[CUENTA]],1,4)</f>
        <v>E-28</v>
      </c>
      <c r="I1108" s="163" t="str">
        <f>INDEX(CATALOGO[Descripción],MATCH(EJECUTADO[[#This Row],[APLICACIÓN]]&amp;"-00-00-00",CATALOGO[Código],0))</f>
        <v>INSTITUTO DE GRADUADOS</v>
      </c>
      <c r="J11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108" s="161" t="str">
        <f>IF((EJECUTADO[[#This Row],[MONTO DISPONIBLE ]]-EJECUTADO[[#This Row],[MONTO SOLICITADO]])&gt;=0,"PRESUPUESTO: SI","PRESUPUESTO: NO")</f>
        <v>PRESUPUESTO: SI</v>
      </c>
      <c r="L1108" s="162">
        <f>SUMIF(PRESUPUESTO[CUENTA],EJECUTADO[[#This Row],[CUENTA]],PRESUPUESTO[MONTO])-SUMIF($F$1:F1107,EJECUTADO[[#This Row],[CUENTA]],$M$1:M1107)</f>
        <v>39050</v>
      </c>
      <c r="M1108" s="2">
        <v>1775</v>
      </c>
      <c r="N1108" s="84"/>
      <c r="O1108" s="84"/>
      <c r="P1108" s="162">
        <f>+EJECUTADO[[#This Row],[MONTO SOLICITADO]]-EJECUTADO[[#This Row],[RETENCION IVA]]-EJECUTADO[[#This Row],[RETENCION ISR]]</f>
        <v>1775</v>
      </c>
      <c r="Q1108" s="84" t="s">
        <v>2521</v>
      </c>
      <c r="R1108" s="84"/>
      <c r="S1108">
        <v>1</v>
      </c>
      <c r="T1108" s="168" t="str">
        <f t="shared" si="42"/>
        <v>INSTITUTO DE GRADUADOS - SUELDOS Y SALARIOS Disponible $39050 Solicitado $1775 PRESUPUESTO: SI</v>
      </c>
    </row>
    <row r="1109" spans="1:20" ht="45" x14ac:dyDescent="0.25">
      <c r="A1109" s="6">
        <f t="shared" si="43"/>
        <v>1019</v>
      </c>
      <c r="B1109" s="21">
        <v>45366</v>
      </c>
      <c r="C1109" s="126" t="s">
        <v>1418</v>
      </c>
      <c r="D1109" s="65" t="s">
        <v>160</v>
      </c>
      <c r="E1109" s="65"/>
      <c r="F1109" t="s">
        <v>1484</v>
      </c>
      <c r="G1109" s="161">
        <f>MONTH(EJECUTADO[[#This Row],[FECHA]])</f>
        <v>3</v>
      </c>
      <c r="H1109" s="163" t="str">
        <f>MID(EJECUTADO[[#This Row],[CUENTA]],1,4)</f>
        <v>E-04</v>
      </c>
      <c r="I1109" s="163" t="str">
        <f>INDEX(CATALOGO[Descripción],MATCH(EJECUTADO[[#This Row],[APLICACIÓN]]&amp;"-00-00-00",CATALOGO[Código],0))</f>
        <v>SUELDOS ACADÉMICOS</v>
      </c>
      <c r="J11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ADMÓN ACADÉMICA</v>
      </c>
      <c r="K1109" s="161" t="str">
        <f>IF((EJECUTADO[[#This Row],[MONTO DISPONIBLE ]]-EJECUTADO[[#This Row],[MONTO SOLICITADO]])&gt;=0,"PRESUPUESTO: SI","PRESUPUESTO: NO")</f>
        <v>PRESUPUESTO: SI</v>
      </c>
      <c r="L1109" s="162">
        <f>SUMIF(PRESUPUESTO[CUENTA],EJECUTADO[[#This Row],[CUENTA]],PRESUPUESTO[MONTO])-SUMIF($F$1:F1108,EJECUTADO[[#This Row],[CUENTA]],$M$1:M1108)</f>
        <v>92250</v>
      </c>
      <c r="M1109" s="2">
        <v>4125</v>
      </c>
      <c r="N1109" s="84"/>
      <c r="O1109" s="84"/>
      <c r="P1109" s="162">
        <f>+EJECUTADO[[#This Row],[MONTO SOLICITADO]]-EJECUTADO[[#This Row],[RETENCION IVA]]-EJECUTADO[[#This Row],[RETENCION ISR]]</f>
        <v>4125</v>
      </c>
      <c r="Q1109" s="84" t="s">
        <v>2521</v>
      </c>
      <c r="R1109" s="84"/>
      <c r="S1109">
        <v>1</v>
      </c>
      <c r="T1109" s="168" t="str">
        <f t="shared" si="42"/>
        <v>SUELDOS ACADÉMICOS - SUELDOS Y SALARIOS ADMÓN ACADÉMICA Disponible $92250 Solicitado $4125 PRESUPUESTO: SI</v>
      </c>
    </row>
    <row r="1110" spans="1:20" ht="45" x14ac:dyDescent="0.25">
      <c r="A1110" s="6">
        <f t="shared" si="43"/>
        <v>1020</v>
      </c>
      <c r="B1110" s="21">
        <v>45366</v>
      </c>
      <c r="C1110" s="126" t="s">
        <v>1418</v>
      </c>
      <c r="D1110" s="65" t="s">
        <v>147</v>
      </c>
      <c r="E1110" s="65"/>
      <c r="F1110" t="s">
        <v>1479</v>
      </c>
      <c r="G1110" s="161">
        <f>MONTH(EJECUTADO[[#This Row],[FECHA]])</f>
        <v>3</v>
      </c>
      <c r="H1110" s="163" t="str">
        <f>MID(EJECUTADO[[#This Row],[CUENTA]],1,4)</f>
        <v>E-03</v>
      </c>
      <c r="I1110" s="163" t="str">
        <f>INDEX(CATALOGO[Descripción],MATCH(EJECUTADO[[#This Row],[APLICACIÓN]]&amp;"-00-00-00",CATALOGO[Código],0))</f>
        <v>SUELDOS ADMINISTRATIVOS</v>
      </c>
      <c r="J11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CLINICA EMPRESARIAL</v>
      </c>
      <c r="K1110" s="161" t="str">
        <f>IF((EJECUTADO[[#This Row],[MONTO DISPONIBLE ]]-EJECUTADO[[#This Row],[MONTO SOLICITADO]])&gt;=0,"PRESUPUESTO: SI","PRESUPUESTO: NO")</f>
        <v>PRESUPUESTO: SI</v>
      </c>
      <c r="L1110" s="162">
        <f>SUMIF(PRESUPUESTO[CUENTA],EJECUTADO[[#This Row],[CUENTA]],PRESUPUESTO[MONTO])-SUMIF($F$1:F1109,EJECUTADO[[#This Row],[CUENTA]],$M$1:M1109)</f>
        <v>29371.42</v>
      </c>
      <c r="M1110" s="2">
        <v>650</v>
      </c>
      <c r="N1110" s="84"/>
      <c r="O1110" s="84"/>
      <c r="P1110" s="162">
        <f>+EJECUTADO[[#This Row],[MONTO SOLICITADO]]-EJECUTADO[[#This Row],[RETENCION IVA]]-EJECUTADO[[#This Row],[RETENCION ISR]]</f>
        <v>650</v>
      </c>
      <c r="Q1110" s="84" t="s">
        <v>2521</v>
      </c>
      <c r="R1110" s="84"/>
      <c r="S1110">
        <v>1</v>
      </c>
      <c r="T1110" s="168" t="str">
        <f t="shared" si="42"/>
        <v>SUELDOS ADMINISTRATIVOS - SUELDOS Y SALARIOS CLINICA EMPRESARIAL Disponible $29371.42 Solicitado $650 PRESUPUESTO: SI</v>
      </c>
    </row>
    <row r="1111" spans="1:20" ht="60" x14ac:dyDescent="0.25">
      <c r="A1111" s="6">
        <f t="shared" si="43"/>
        <v>1021</v>
      </c>
      <c r="B1111" s="21">
        <v>45366</v>
      </c>
      <c r="C1111" s="126" t="s">
        <v>1418</v>
      </c>
      <c r="D1111" s="65" t="s">
        <v>145</v>
      </c>
      <c r="E1111" s="65"/>
      <c r="F1111" t="s">
        <v>1229</v>
      </c>
      <c r="G1111" s="161">
        <f>MONTH(EJECUTADO[[#This Row],[FECHA]])</f>
        <v>3</v>
      </c>
      <c r="H1111" s="163" t="str">
        <f>MID(EJECUTADO[[#This Row],[CUENTA]],1,4)</f>
        <v>E-03</v>
      </c>
      <c r="I1111" s="163" t="str">
        <f>INDEX(CATALOGO[Descripción],MATCH(EJECUTADO[[#This Row],[APLICACIÓN]]&amp;"-00-00-00",CATALOGO[Código],0))</f>
        <v>SUELDOS ADMINISTRATIVOS</v>
      </c>
      <c r="J11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1111" s="161" t="str">
        <f>IF((EJECUTADO[[#This Row],[MONTO DISPONIBLE ]]-EJECUTADO[[#This Row],[MONTO SOLICITADO]])&gt;=0,"PRESUPUESTO: SI","PRESUPUESTO: NO")</f>
        <v>PRESUPUESTO: SI</v>
      </c>
      <c r="L1111" s="162">
        <f>SUMIF(PRESUPUESTO[CUENTA],EJECUTADO[[#This Row],[CUENTA]],PRESUPUESTO[MONTO])-SUMIF($F$1:F1110,EJECUTADO[[#This Row],[CUENTA]],$M$1:M1110)</f>
        <v>114050</v>
      </c>
      <c r="M1111" s="2">
        <v>4850</v>
      </c>
      <c r="N1111" s="84"/>
      <c r="O1111" s="84"/>
      <c r="P1111" s="162">
        <f>+EJECUTADO[[#This Row],[MONTO SOLICITADO]]-EJECUTADO[[#This Row],[RETENCION IVA]]-EJECUTADO[[#This Row],[RETENCION ISR]]</f>
        <v>4850</v>
      </c>
      <c r="Q1111" s="84" t="s">
        <v>2521</v>
      </c>
      <c r="R1111" s="84"/>
      <c r="S1111">
        <v>1</v>
      </c>
      <c r="T1111" s="168" t="str">
        <f t="shared" si="42"/>
        <v>SUELDOS ADMINISTRATIVOS - SUELDOS Y SALARIOS DIRECCIÓN DE COMUNICACIONES Disponible $114050 Solicitado $4850 PRESUPUESTO: SI</v>
      </c>
    </row>
    <row r="1112" spans="1:20" ht="60" x14ac:dyDescent="0.25">
      <c r="A1112" s="6">
        <f t="shared" si="43"/>
        <v>1022</v>
      </c>
      <c r="B1112" s="21">
        <v>45366</v>
      </c>
      <c r="C1112" s="126" t="s">
        <v>1418</v>
      </c>
      <c r="D1112" s="65" t="s">
        <v>164</v>
      </c>
      <c r="E1112" s="65"/>
      <c r="F1112" t="s">
        <v>1440</v>
      </c>
      <c r="G1112" s="161">
        <f>MONTH(EJECUTADO[[#This Row],[FECHA]])</f>
        <v>3</v>
      </c>
      <c r="H1112" s="163" t="str">
        <f>MID(EJECUTADO[[#This Row],[CUENTA]],1,4)</f>
        <v>E-04</v>
      </c>
      <c r="I1112" s="163" t="str">
        <f>INDEX(CATALOGO[Descripción],MATCH(EJECUTADO[[#This Row],[APLICACIÓN]]&amp;"-00-00-00",CATALOGO[Código],0))</f>
        <v>SUELDOS ACADÉMICOS</v>
      </c>
      <c r="J11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CULTURA</v>
      </c>
      <c r="K1112" s="161" t="str">
        <f>IF((EJECUTADO[[#This Row],[MONTO DISPONIBLE ]]-EJECUTADO[[#This Row],[MONTO SOLICITADO]])&gt;=0,"PRESUPUESTO: SI","PRESUPUESTO: NO")</f>
        <v>PRESUPUESTO: SI</v>
      </c>
      <c r="L1112" s="162">
        <f>SUMIF(PRESUPUESTO[CUENTA],EJECUTADO[[#This Row],[CUENTA]],PRESUPUESTO[MONTO])-SUMIF($F$1:F1111,EJECUTADO[[#This Row],[CUENTA]],$M$1:M1111)</f>
        <v>73800</v>
      </c>
      <c r="M1112" s="2">
        <v>3150</v>
      </c>
      <c r="N1112" s="84"/>
      <c r="O1112" s="84"/>
      <c r="P1112" s="162">
        <f>+EJECUTADO[[#This Row],[MONTO SOLICITADO]]-EJECUTADO[[#This Row],[RETENCION IVA]]-EJECUTADO[[#This Row],[RETENCION ISR]]</f>
        <v>3150</v>
      </c>
      <c r="Q1112" s="84" t="s">
        <v>2521</v>
      </c>
      <c r="R1112" s="84"/>
      <c r="S1112">
        <v>1</v>
      </c>
      <c r="T1112" s="168" t="str">
        <f t="shared" si="42"/>
        <v>SUELDOS ACADÉMICOS - SUELDOS Y SALARIOS DIRECCIÓN DE CULTURA Disponible $73800 Solicitado $3150 PRESUPUESTO: SI</v>
      </c>
    </row>
    <row r="1113" spans="1:20" ht="60" x14ac:dyDescent="0.25">
      <c r="A1113" s="6">
        <f t="shared" si="43"/>
        <v>1023</v>
      </c>
      <c r="B1113" s="21">
        <v>45366</v>
      </c>
      <c r="C1113" s="126" t="s">
        <v>1418</v>
      </c>
      <c r="D1113" s="65" t="s">
        <v>159</v>
      </c>
      <c r="E1113" s="65"/>
      <c r="F1113" t="s">
        <v>1487</v>
      </c>
      <c r="G1113" s="161">
        <f>MONTH(EJECUTADO[[#This Row],[FECHA]])</f>
        <v>3</v>
      </c>
      <c r="H1113" s="163" t="str">
        <f>MID(EJECUTADO[[#This Row],[CUENTA]],1,4)</f>
        <v>E-04</v>
      </c>
      <c r="I1113" s="163" t="str">
        <f>INDEX(CATALOGO[Descripción],MATCH(EJECUTADO[[#This Row],[APLICACIÓN]]&amp;"-00-00-00",CATALOGO[Código],0))</f>
        <v>SUELDOS ACADÉMICOS</v>
      </c>
      <c r="J11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INFORMÁTICA</v>
      </c>
      <c r="K1113" s="161" t="str">
        <f>IF((EJECUTADO[[#This Row],[MONTO DISPONIBLE ]]-EJECUTADO[[#This Row],[MONTO SOLICITADO]])&gt;=0,"PRESUPUESTO: SI","PRESUPUESTO: NO")</f>
        <v>PRESUPUESTO: SI</v>
      </c>
      <c r="L1113" s="162">
        <f>SUMIF(PRESUPUESTO[CUENTA],EJECUTADO[[#This Row],[CUENTA]],PRESUPUESTO[MONTO])-SUMIF($F$1:F1112,EJECUTADO[[#This Row],[CUENTA]],$M$1:M1112)</f>
        <v>144656.66</v>
      </c>
      <c r="M1113" s="2">
        <v>6575</v>
      </c>
      <c r="N1113" s="84"/>
      <c r="O1113" s="84"/>
      <c r="P1113" s="162">
        <f>+EJECUTADO[[#This Row],[MONTO SOLICITADO]]-EJECUTADO[[#This Row],[RETENCION IVA]]-EJECUTADO[[#This Row],[RETENCION ISR]]</f>
        <v>6575</v>
      </c>
      <c r="Q1113" s="84" t="s">
        <v>2521</v>
      </c>
      <c r="R1113" s="84"/>
      <c r="S1113">
        <v>1</v>
      </c>
      <c r="T1113" s="168" t="str">
        <f t="shared" si="42"/>
        <v>SUELDOS ACADÉMICOS - SUELDOS Y SALARIOS DIRECCIÓN DE INFORMÁTICA Disponible $144656.66 Solicitado $6575 PRESUPUESTO: SI</v>
      </c>
    </row>
    <row r="1114" spans="1:20" ht="75" x14ac:dyDescent="0.25">
      <c r="A1114" s="6">
        <f t="shared" si="43"/>
        <v>1024</v>
      </c>
      <c r="B1114" s="21">
        <v>45366</v>
      </c>
      <c r="C1114" s="126" t="s">
        <v>1418</v>
      </c>
      <c r="D1114" s="65" t="s">
        <v>146</v>
      </c>
      <c r="E1114" s="65"/>
      <c r="F1114" t="s">
        <v>1434</v>
      </c>
      <c r="G1114" s="161">
        <f>MONTH(EJECUTADO[[#This Row],[FECHA]])</f>
        <v>3</v>
      </c>
      <c r="H1114" s="163" t="str">
        <f>MID(EJECUTADO[[#This Row],[CUENTA]],1,4)</f>
        <v>E-03</v>
      </c>
      <c r="I1114" s="163" t="str">
        <f>INDEX(CATALOGO[Descripción],MATCH(EJECUTADO[[#This Row],[APLICACIÓN]]&amp;"-00-00-00",CATALOGO[Código],0))</f>
        <v>SUELDOS ADMINISTRATIVOS</v>
      </c>
      <c r="J11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RECURSOS HUMANOS</v>
      </c>
      <c r="K1114" s="161" t="str">
        <f>IF((EJECUTADO[[#This Row],[MONTO DISPONIBLE ]]-EJECUTADO[[#This Row],[MONTO SOLICITADO]])&gt;=0,"PRESUPUESTO: SI","PRESUPUESTO: NO")</f>
        <v>PRESUPUESTO: SI</v>
      </c>
      <c r="L1114" s="162">
        <f>SUMIF(PRESUPUESTO[CUENTA],EJECUTADO[[#This Row],[CUENTA]],PRESUPUESTO[MONTO])-SUMIF($F$1:F1113,EJECUTADO[[#This Row],[CUENTA]],$M$1:M1113)</f>
        <v>121000</v>
      </c>
      <c r="M1114" s="2">
        <v>3025</v>
      </c>
      <c r="N1114" s="84"/>
      <c r="O1114" s="84"/>
      <c r="P1114" s="162">
        <f>+EJECUTADO[[#This Row],[MONTO SOLICITADO]]-EJECUTADO[[#This Row],[RETENCION IVA]]-EJECUTADO[[#This Row],[RETENCION ISR]]</f>
        <v>3025</v>
      </c>
      <c r="Q1114" s="84" t="s">
        <v>2521</v>
      </c>
      <c r="R1114" s="84"/>
      <c r="S1114">
        <v>1</v>
      </c>
      <c r="T1114" s="168" t="str">
        <f t="shared" si="42"/>
        <v>SUELDOS ADMINISTRATIVOS - SUELDOS Y SALARIOS DIRECCIÓN DE RECURSOS HUMANOS Disponible $121000 Solicitado $3025 PRESUPUESTO: SI</v>
      </c>
    </row>
    <row r="1115" spans="1:20" ht="75" x14ac:dyDescent="0.25">
      <c r="A1115" s="6">
        <f t="shared" si="43"/>
        <v>1025</v>
      </c>
      <c r="B1115" s="21">
        <v>45366</v>
      </c>
      <c r="C1115" s="126" t="s">
        <v>1418</v>
      </c>
      <c r="D1115" s="65" t="s">
        <v>158</v>
      </c>
      <c r="E1115" s="65"/>
      <c r="F1115" t="s">
        <v>1490</v>
      </c>
      <c r="G1115" s="161">
        <f>MONTH(EJECUTADO[[#This Row],[FECHA]])</f>
        <v>3</v>
      </c>
      <c r="H1115" s="163" t="str">
        <f>MID(EJECUTADO[[#This Row],[CUENTA]],1,4)</f>
        <v>E-04</v>
      </c>
      <c r="I1115" s="163" t="str">
        <f>INDEX(CATALOGO[Descripción],MATCH(EJECUTADO[[#This Row],[APLICACIÓN]]&amp;"-00-00-00",CATALOGO[Código],0))</f>
        <v>SUELDOS ACADÉMICOS</v>
      </c>
      <c r="J11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EDUCACIÓN VIRTUAL</v>
      </c>
      <c r="K1115" s="161" t="str">
        <f>IF((EJECUTADO[[#This Row],[MONTO DISPONIBLE ]]-EJECUTADO[[#This Row],[MONTO SOLICITADO]])&gt;=0,"PRESUPUESTO: SI","PRESUPUESTO: NO")</f>
        <v>PRESUPUESTO: SI</v>
      </c>
      <c r="L1115" s="162">
        <f>SUMIF(PRESUPUESTO[CUENTA],EJECUTADO[[#This Row],[CUENTA]],PRESUPUESTO[MONTO])-SUMIF($F$1:F1114,EJECUTADO[[#This Row],[CUENTA]],$M$1:M1114)</f>
        <v>78050</v>
      </c>
      <c r="M1115" s="2">
        <v>2125</v>
      </c>
      <c r="N1115" s="84"/>
      <c r="O1115" s="84"/>
      <c r="P1115" s="162">
        <f>+EJECUTADO[[#This Row],[MONTO SOLICITADO]]-EJECUTADO[[#This Row],[RETENCION IVA]]-EJECUTADO[[#This Row],[RETENCION ISR]]</f>
        <v>2125</v>
      </c>
      <c r="Q1115" s="84" t="s">
        <v>2521</v>
      </c>
      <c r="R1115" s="84"/>
      <c r="S1115">
        <v>1</v>
      </c>
      <c r="T1115" s="168" t="str">
        <f t="shared" si="42"/>
        <v>SUELDOS ACADÉMICOS - SUELDOS Y SALARIOS DIRECCIÓN EDUCACIÓN VIRTUAL Disponible $78050 Solicitado $2125 PRESUPUESTO: SI</v>
      </c>
    </row>
    <row r="1116" spans="1:20" ht="75" x14ac:dyDescent="0.25">
      <c r="A1116" s="6">
        <f t="shared" si="43"/>
        <v>1026</v>
      </c>
      <c r="B1116" s="21">
        <v>45366</v>
      </c>
      <c r="C1116" s="126" t="s">
        <v>1418</v>
      </c>
      <c r="D1116" s="65" t="s">
        <v>151</v>
      </c>
      <c r="E1116" s="65"/>
      <c r="F1116" t="s">
        <v>1451</v>
      </c>
      <c r="G1116" s="161">
        <f>MONTH(EJECUTADO[[#This Row],[FECHA]])</f>
        <v>3</v>
      </c>
      <c r="H1116" s="163" t="str">
        <f>MID(EJECUTADO[[#This Row],[CUENTA]],1,4)</f>
        <v>E-04</v>
      </c>
      <c r="I1116" s="163" t="str">
        <f>INDEX(CATALOGO[Descripción],MATCH(EJECUTADO[[#This Row],[APLICACIÓN]]&amp;"-00-00-00",CATALOGO[Código],0))</f>
        <v>SUELDOS ACADÉMICOS</v>
      </c>
      <c r="J11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1116" s="161" t="str">
        <f>IF((EJECUTADO[[#This Row],[MONTO DISPONIBLE ]]-EJECUTADO[[#This Row],[MONTO SOLICITADO]])&gt;=0,"PRESUPUESTO: SI","PRESUPUESTO: NO")</f>
        <v>PRESUPUESTO: SI</v>
      </c>
      <c r="L1116" s="162">
        <f>SUMIF(PRESUPUESTO[CUENTA],EJECUTADO[[#This Row],[CUENTA]],PRESUPUESTO[MONTO])-SUMIF($F$1:F1115,EJECUTADO[[#This Row],[CUENTA]],$M$1:M1115)</f>
        <v>70950</v>
      </c>
      <c r="M1116" s="2">
        <v>3225</v>
      </c>
      <c r="N1116" s="84"/>
      <c r="O1116" s="84"/>
      <c r="P1116" s="162">
        <f>+EJECUTADO[[#This Row],[MONTO SOLICITADO]]-EJECUTADO[[#This Row],[RETENCION IVA]]-EJECUTADO[[#This Row],[RETENCION ISR]]</f>
        <v>3225</v>
      </c>
      <c r="Q1116" s="84" t="s">
        <v>2521</v>
      </c>
      <c r="R1116" s="84"/>
      <c r="S1116">
        <v>1</v>
      </c>
      <c r="T1116" s="168" t="str">
        <f t="shared" si="42"/>
        <v>SUELDOS ACADÉMICOS - SUELDOS Y SALARIOS FACULTAD DE CIENCIAS EMPRESARIALES Disponible $70950 Solicitado $3225 PRESUPUESTO: SI</v>
      </c>
    </row>
    <row r="1117" spans="1:20" ht="75" x14ac:dyDescent="0.25">
      <c r="A1117" s="6">
        <f t="shared" si="43"/>
        <v>1027</v>
      </c>
      <c r="B1117" s="21">
        <v>45366</v>
      </c>
      <c r="C1117" s="126" t="s">
        <v>1418</v>
      </c>
      <c r="D1117" s="65" t="s">
        <v>151</v>
      </c>
      <c r="E1117" s="65"/>
      <c r="F1117" t="s">
        <v>1453</v>
      </c>
      <c r="G1117" s="161">
        <f>MONTH(EJECUTADO[[#This Row],[FECHA]])</f>
        <v>3</v>
      </c>
      <c r="H1117" s="163" t="str">
        <f>MID(EJECUTADO[[#This Row],[CUENTA]],1,4)</f>
        <v>E-05</v>
      </c>
      <c r="I1117" s="163" t="str">
        <f>INDEX(CATALOGO[Descripción],MATCH(EJECUTADO[[#This Row],[APLICACIÓN]]&amp;"-00-00-00",CATALOGO[Código],0))</f>
        <v>SUELDOS DTC</v>
      </c>
      <c r="J11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1117" s="161" t="str">
        <f>IF((EJECUTADO[[#This Row],[MONTO DISPONIBLE ]]-EJECUTADO[[#This Row],[MONTO SOLICITADO]])&gt;=0,"PRESUPUESTO: SI","PRESUPUESTO: NO")</f>
        <v>PRESUPUESTO: SI</v>
      </c>
      <c r="L1117" s="162">
        <f>SUMIF(PRESUPUESTO[CUENTA],EJECUTADO[[#This Row],[CUENTA]],PRESUPUESTO[MONTO])-SUMIF($F$1:F1116,EJECUTADO[[#This Row],[CUENTA]],$M$1:M1116)</f>
        <v>253179</v>
      </c>
      <c r="M1117" s="2">
        <v>6931.25</v>
      </c>
      <c r="N1117" s="84"/>
      <c r="O1117" s="84"/>
      <c r="P1117" s="162">
        <f>+EJECUTADO[[#This Row],[MONTO SOLICITADO]]-EJECUTADO[[#This Row],[RETENCION IVA]]-EJECUTADO[[#This Row],[RETENCION ISR]]</f>
        <v>6931.25</v>
      </c>
      <c r="Q1117" s="84" t="s">
        <v>2521</v>
      </c>
      <c r="R1117" s="84"/>
      <c r="S1117">
        <v>1</v>
      </c>
      <c r="T1117" s="168" t="str">
        <f t="shared" si="42"/>
        <v>SUELDOS DTC - SUELDOS Y SALARIOS FACULTAD DE CIENCIAS EMPRESARIALES Disponible $253179 Solicitado $6931.25 PRESUPUESTO: SI</v>
      </c>
    </row>
    <row r="1118" spans="1:20" ht="60" x14ac:dyDescent="0.25">
      <c r="A1118" s="6">
        <f t="shared" si="43"/>
        <v>1028</v>
      </c>
      <c r="B1118" s="21">
        <v>45366</v>
      </c>
      <c r="C1118" s="126" t="s">
        <v>1418</v>
      </c>
      <c r="D1118" s="65" t="s">
        <v>154</v>
      </c>
      <c r="E1118" s="65"/>
      <c r="F1118" t="s">
        <v>1465</v>
      </c>
      <c r="G1118" s="161">
        <f>MONTH(EJECUTADO[[#This Row],[FECHA]])</f>
        <v>3</v>
      </c>
      <c r="H1118" s="163" t="str">
        <f>MID(EJECUTADO[[#This Row],[CUENTA]],1,4)</f>
        <v>E-04</v>
      </c>
      <c r="I1118" s="163" t="str">
        <f>INDEX(CATALOGO[Descripción],MATCH(EJECUTADO[[#This Row],[APLICACIÓN]]&amp;"-00-00-00",CATALOGO[Código],0))</f>
        <v>SUELDOS ACADÉMICOS</v>
      </c>
      <c r="J11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1118" s="161" t="str">
        <f>IF((EJECUTADO[[#This Row],[MONTO DISPONIBLE ]]-EJECUTADO[[#This Row],[MONTO SOLICITADO]])&gt;=0,"PRESUPUESTO: SI","PRESUPUESTO: NO")</f>
        <v>PRESUPUESTO: SI</v>
      </c>
      <c r="L1118" s="162">
        <f>SUMIF(PRESUPUESTO[CUENTA],EJECUTADO[[#This Row],[CUENTA]],PRESUPUESTO[MONTO])-SUMIF($F$1:F1117,EJECUTADO[[#This Row],[CUENTA]],$M$1:M1117)</f>
        <v>43820</v>
      </c>
      <c r="M1118" s="2">
        <v>1495</v>
      </c>
      <c r="N1118" s="84"/>
      <c r="O1118" s="84"/>
      <c r="P1118" s="162">
        <f>+EJECUTADO[[#This Row],[MONTO SOLICITADO]]-EJECUTADO[[#This Row],[RETENCION IVA]]-EJECUTADO[[#This Row],[RETENCION ISR]]</f>
        <v>1495</v>
      </c>
      <c r="Q1118" s="84" t="s">
        <v>2521</v>
      </c>
      <c r="R1118" s="84"/>
      <c r="S1118">
        <v>1</v>
      </c>
      <c r="T1118" s="168" t="str">
        <f t="shared" si="42"/>
        <v>SUELDOS ACADÉMICOS - SUELDOS Y SALARIOS FACULTAD DE CIENCIAS JURIDICAS Disponible $43820 Solicitado $1495 PRESUPUESTO: SI</v>
      </c>
    </row>
    <row r="1119" spans="1:20" ht="60" x14ac:dyDescent="0.25">
      <c r="A1119" s="6">
        <f t="shared" si="43"/>
        <v>1029</v>
      </c>
      <c r="B1119" s="21">
        <v>45366</v>
      </c>
      <c r="C1119" s="126" t="s">
        <v>1418</v>
      </c>
      <c r="D1119" s="65" t="s">
        <v>154</v>
      </c>
      <c r="E1119" s="65"/>
      <c r="F1119" t="s">
        <v>1467</v>
      </c>
      <c r="G1119" s="161">
        <f>MONTH(EJECUTADO[[#This Row],[FECHA]])</f>
        <v>3</v>
      </c>
      <c r="H1119" s="163" t="str">
        <f>MID(EJECUTADO[[#This Row],[CUENTA]],1,4)</f>
        <v>E-05</v>
      </c>
      <c r="I1119" s="163" t="str">
        <f>INDEX(CATALOGO[Descripción],MATCH(EJECUTADO[[#This Row],[APLICACIÓN]]&amp;"-00-00-00",CATALOGO[Código],0))</f>
        <v>SUELDOS DTC</v>
      </c>
      <c r="J11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1119" s="161" t="str">
        <f>IF((EJECUTADO[[#This Row],[MONTO DISPONIBLE ]]-EJECUTADO[[#This Row],[MONTO SOLICITADO]])&gt;=0,"PRESUPUESTO: SI","PRESUPUESTO: NO")</f>
        <v>PRESUPUESTO: SI</v>
      </c>
      <c r="L1119" s="162">
        <f>SUMIF(PRESUPUESTO[CUENTA],EJECUTADO[[#This Row],[CUENTA]],PRESUPUESTO[MONTO])-SUMIF($F$1:F1118,EJECUTADO[[#This Row],[CUENTA]],$M$1:M1118)</f>
        <v>168432.5</v>
      </c>
      <c r="M1119" s="2">
        <v>3995</v>
      </c>
      <c r="N1119" s="84"/>
      <c r="O1119" s="84"/>
      <c r="P1119" s="162">
        <f>+EJECUTADO[[#This Row],[MONTO SOLICITADO]]-EJECUTADO[[#This Row],[RETENCION IVA]]-EJECUTADO[[#This Row],[RETENCION ISR]]</f>
        <v>3995</v>
      </c>
      <c r="Q1119" s="84" t="s">
        <v>2521</v>
      </c>
      <c r="R1119" s="84"/>
      <c r="S1119">
        <v>1</v>
      </c>
      <c r="T1119" s="168" t="str">
        <f t="shared" si="42"/>
        <v>SUELDOS DTC - SUELDOS Y SALARIOS FACULTAD DE CIENCIAS JURIDICAS Disponible $168432.5 Solicitado $3995 PRESUPUESTO: SI</v>
      </c>
    </row>
    <row r="1120" spans="1:20" ht="60" x14ac:dyDescent="0.25">
      <c r="A1120" s="6">
        <f t="shared" si="43"/>
        <v>1030</v>
      </c>
      <c r="B1120" s="21">
        <v>45366</v>
      </c>
      <c r="C1120" s="126" t="s">
        <v>1418</v>
      </c>
      <c r="D1120" s="65" t="s">
        <v>153</v>
      </c>
      <c r="E1120" s="65"/>
      <c r="F1120" t="s">
        <v>1454</v>
      </c>
      <c r="G1120" s="161">
        <f>MONTH(EJECUTADO[[#This Row],[FECHA]])</f>
        <v>3</v>
      </c>
      <c r="H1120" s="163" t="str">
        <f>MID(EJECUTADO[[#This Row],[CUENTA]],1,4)</f>
        <v>E-04</v>
      </c>
      <c r="I1120" s="163" t="str">
        <f>INDEX(CATALOGO[Descripción],MATCH(EJECUTADO[[#This Row],[APLICACIÓN]]&amp;"-00-00-00",CATALOGO[Código],0))</f>
        <v>SUELDOS ACADÉMICOS</v>
      </c>
      <c r="J11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1120" s="161" t="str">
        <f>IF((EJECUTADO[[#This Row],[MONTO DISPONIBLE ]]-EJECUTADO[[#This Row],[MONTO SOLICITADO]])&gt;=0,"PRESUPUESTO: SI","PRESUPUESTO: NO")</f>
        <v>PRESUPUESTO: SI</v>
      </c>
      <c r="L1120" s="162">
        <f>SUMIF(PRESUPUESTO[CUENTA],EJECUTADO[[#This Row],[CUENTA]],PRESUPUESTO[MONTO])-SUMIF($F$1:F1119,EJECUTADO[[#This Row],[CUENTA]],$M$1:M1119)</f>
        <v>173350</v>
      </c>
      <c r="M1120" s="2">
        <v>2000</v>
      </c>
      <c r="N1120" s="84"/>
      <c r="O1120" s="84"/>
      <c r="P1120" s="162">
        <f>+EJECUTADO[[#This Row],[MONTO SOLICITADO]]-EJECUTADO[[#This Row],[RETENCION IVA]]-EJECUTADO[[#This Row],[RETENCION ISR]]</f>
        <v>2000</v>
      </c>
      <c r="Q1120" s="84" t="s">
        <v>2521</v>
      </c>
      <c r="R1120" s="84"/>
      <c r="S1120">
        <v>1</v>
      </c>
      <c r="T1120" s="168" t="str">
        <f t="shared" si="42"/>
        <v>SUELDOS ACADÉMICOS - SUELDOS Y SALARIOS FACULTAD DE CIENCIAS SOCIALES Disponible $173350 Solicitado $2000 PRESUPUESTO: SI</v>
      </c>
    </row>
    <row r="1121" spans="1:20" ht="60" x14ac:dyDescent="0.25">
      <c r="A1121" s="6">
        <f t="shared" si="43"/>
        <v>1031</v>
      </c>
      <c r="B1121" s="21">
        <v>45366</v>
      </c>
      <c r="C1121" s="126" t="s">
        <v>1418</v>
      </c>
      <c r="D1121" s="65" t="s">
        <v>153</v>
      </c>
      <c r="E1121" s="65"/>
      <c r="F1121" t="s">
        <v>1456</v>
      </c>
      <c r="G1121" s="161">
        <f>MONTH(EJECUTADO[[#This Row],[FECHA]])</f>
        <v>3</v>
      </c>
      <c r="H1121" s="163" t="str">
        <f>MID(EJECUTADO[[#This Row],[CUENTA]],1,4)</f>
        <v>E-05</v>
      </c>
      <c r="I1121" s="163" t="str">
        <f>INDEX(CATALOGO[Descripción],MATCH(EJECUTADO[[#This Row],[APLICACIÓN]]&amp;"-00-00-00",CATALOGO[Código],0))</f>
        <v>SUELDOS DTC</v>
      </c>
      <c r="J11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1121" s="161" t="str">
        <f>IF((EJECUTADO[[#This Row],[MONTO DISPONIBLE ]]-EJECUTADO[[#This Row],[MONTO SOLICITADO]])&gt;=0,"PRESUPUESTO: SI","PRESUPUESTO: NO")</f>
        <v>PRESUPUESTO: SI</v>
      </c>
      <c r="L1121" s="162">
        <f>SUMIF(PRESUPUESTO[CUENTA],EJECUTADO[[#This Row],[CUENTA]],PRESUPUESTO[MONTO])-SUMIF($F$1:F1120,EJECUTADO[[#This Row],[CUENTA]],$M$1:M1120)</f>
        <v>339585.83999999997</v>
      </c>
      <c r="M1121" s="2">
        <v>21206.26</v>
      </c>
      <c r="N1121" s="84"/>
      <c r="O1121" s="84"/>
      <c r="P1121" s="162">
        <f>+EJECUTADO[[#This Row],[MONTO SOLICITADO]]-EJECUTADO[[#This Row],[RETENCION IVA]]-EJECUTADO[[#This Row],[RETENCION ISR]]</f>
        <v>21206.26</v>
      </c>
      <c r="Q1121" s="84" t="s">
        <v>2521</v>
      </c>
      <c r="R1121" s="84"/>
      <c r="S1121">
        <v>1</v>
      </c>
      <c r="T1121" s="168" t="str">
        <f t="shared" si="42"/>
        <v>SUELDOS DTC - SUELDOS Y SALARIOS FACULTAD DE CIENCIAS SOCIALES Disponible $339585.84 Solicitado $21206.26 PRESUPUESTO: SI</v>
      </c>
    </row>
    <row r="1122" spans="1:20" ht="90" x14ac:dyDescent="0.25">
      <c r="A1122" s="6">
        <f t="shared" si="43"/>
        <v>1032</v>
      </c>
      <c r="B1122" s="21">
        <v>45366</v>
      </c>
      <c r="C1122" s="126" t="s">
        <v>1418</v>
      </c>
      <c r="D1122" s="65" t="s">
        <v>152</v>
      </c>
      <c r="E1122" s="65"/>
      <c r="F1122" t="s">
        <v>1462</v>
      </c>
      <c r="G1122" s="161">
        <f>MONTH(EJECUTADO[[#This Row],[FECHA]])</f>
        <v>3</v>
      </c>
      <c r="H1122" s="163" t="str">
        <f>MID(EJECUTADO[[#This Row],[CUENTA]],1,4)</f>
        <v>E-05</v>
      </c>
      <c r="I1122" s="163" t="str">
        <f>INDEX(CATALOGO[Descripción],MATCH(EJECUTADO[[#This Row],[APLICACIÓN]]&amp;"-00-00-00",CATALOGO[Código],0))</f>
        <v>SUELDOS DTC</v>
      </c>
      <c r="J11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1122" s="161" t="str">
        <f>IF((EJECUTADO[[#This Row],[MONTO DISPONIBLE ]]-EJECUTADO[[#This Row],[MONTO SOLICITADO]])&gt;=0,"PRESUPUESTO: SI","PRESUPUESTO: NO")</f>
        <v>PRESUPUESTO: SI</v>
      </c>
      <c r="L1122" s="162">
        <f>SUMIF(PRESUPUESTO[CUENTA],EJECUTADO[[#This Row],[CUENTA]],PRESUPUESTO[MONTO])-SUMIF($F$1:F1121,EJECUTADO[[#This Row],[CUENTA]],$M$1:M1121)</f>
        <v>380534.74</v>
      </c>
      <c r="M1122" s="2">
        <v>19647.919999999998</v>
      </c>
      <c r="N1122" s="84"/>
      <c r="O1122" s="84"/>
      <c r="P1122" s="162">
        <f>+EJECUTADO[[#This Row],[MONTO SOLICITADO]]-EJECUTADO[[#This Row],[RETENCION IVA]]-EJECUTADO[[#This Row],[RETENCION ISR]]</f>
        <v>19647.919999999998</v>
      </c>
      <c r="Q1122" s="84" t="s">
        <v>2521</v>
      </c>
      <c r="R1122" s="84"/>
      <c r="S1122">
        <v>1</v>
      </c>
      <c r="T1122" s="168" t="str">
        <f t="shared" si="42"/>
        <v>SUELDOS DTC - SUELDOS Y SALARIOS FACULTAD DE INFORMATICA Y CIENCIAS APLICADAS Disponible $380534.74 Solicitado $19647.92 PRESUPUESTO: SI</v>
      </c>
    </row>
    <row r="1123" spans="1:20" ht="45" x14ac:dyDescent="0.25">
      <c r="A1123" s="6">
        <f t="shared" si="43"/>
        <v>1033</v>
      </c>
      <c r="B1123" s="21">
        <v>45366</v>
      </c>
      <c r="C1123" s="126" t="s">
        <v>1418</v>
      </c>
      <c r="D1123" s="65" t="s">
        <v>149</v>
      </c>
      <c r="E1123" s="65"/>
      <c r="F1123" t="s">
        <v>1444</v>
      </c>
      <c r="G1123" s="161">
        <f>MONTH(EJECUTADO[[#This Row],[FECHA]])</f>
        <v>3</v>
      </c>
      <c r="H1123" s="163" t="str">
        <f>MID(EJECUTADO[[#This Row],[CUENTA]],1,4)</f>
        <v>E-03</v>
      </c>
      <c r="I1123" s="163" t="str">
        <f>INDEX(CATALOGO[Descripción],MATCH(EJECUTADO[[#This Row],[APLICACIÓN]]&amp;"-00-00-00",CATALOGO[Código],0))</f>
        <v>SUELDOS ADMINISTRATIVOS</v>
      </c>
      <c r="J11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MANTENIMIENTO</v>
      </c>
      <c r="K1123" s="161" t="str">
        <f>IF((EJECUTADO[[#This Row],[MONTO DISPONIBLE ]]-EJECUTADO[[#This Row],[MONTO SOLICITADO]])&gt;=0,"PRESUPUESTO: SI","PRESUPUESTO: NO")</f>
        <v>PRESUPUESTO: SI</v>
      </c>
      <c r="L1123" s="162">
        <f>SUMIF(PRESUPUESTO[CUENTA],EJECUTADO[[#This Row],[CUENTA]],PRESUPUESTO[MONTO])-SUMIF($F$1:F1122,EJECUTADO[[#This Row],[CUENTA]],$M$1:M1122)</f>
        <v>163997.49</v>
      </c>
      <c r="M1123" s="2">
        <v>6663.14</v>
      </c>
      <c r="N1123" s="84"/>
      <c r="O1123" s="84"/>
      <c r="P1123" s="162">
        <f>+EJECUTADO[[#This Row],[MONTO SOLICITADO]]-EJECUTADO[[#This Row],[RETENCION IVA]]-EJECUTADO[[#This Row],[RETENCION ISR]]</f>
        <v>6663.14</v>
      </c>
      <c r="Q1123" s="84" t="s">
        <v>2521</v>
      </c>
      <c r="R1123" s="84"/>
      <c r="S1123">
        <v>1</v>
      </c>
      <c r="T1123" s="168" t="str">
        <f t="shared" si="42"/>
        <v>SUELDOS ADMINISTRATIVOS - SUELDOS Y SALARIOS MANTENIMIENTO Disponible $163997.49 Solicitado $6663.14 PRESUPUESTO: SI</v>
      </c>
    </row>
    <row r="1124" spans="1:20" ht="45" x14ac:dyDescent="0.25">
      <c r="A1124" s="6">
        <f t="shared" si="43"/>
        <v>1034</v>
      </c>
      <c r="B1124" s="21">
        <v>45366</v>
      </c>
      <c r="C1124" s="126" t="s">
        <v>1418</v>
      </c>
      <c r="D1124" s="65" t="s">
        <v>162</v>
      </c>
      <c r="E1124" s="65"/>
      <c r="F1124" t="s">
        <v>1396</v>
      </c>
      <c r="G1124" s="161">
        <f>MONTH(EJECUTADO[[#This Row],[FECHA]])</f>
        <v>3</v>
      </c>
      <c r="H1124" s="163" t="str">
        <f>MID(EJECUTADO[[#This Row],[CUENTA]],1,4)</f>
        <v>E-04</v>
      </c>
      <c r="I1124" s="163" t="str">
        <f>INDEX(CATALOGO[Descripción],MATCH(EJECUTADO[[#This Row],[APLICACIÓN]]&amp;"-00-00-00",CATALOGO[Código],0))</f>
        <v>SUELDOS ACADÉMICOS</v>
      </c>
      <c r="J11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1124" s="161" t="str">
        <f>IF((EJECUTADO[[#This Row],[MONTO DISPONIBLE ]]-EJECUTADO[[#This Row],[MONTO SOLICITADO]])&gt;=0,"PRESUPUESTO: SI","PRESUPUESTO: NO")</f>
        <v>PRESUPUESTO: SI</v>
      </c>
      <c r="L1124" s="162">
        <f>SUMIF(PRESUPUESTO[CUENTA],EJECUTADO[[#This Row],[CUENTA]],PRESUPUESTO[MONTO])-SUMIF($F$1:F1123,EJECUTADO[[#This Row],[CUENTA]],$M$1:M1123)</f>
        <v>41110.480000000003</v>
      </c>
      <c r="M1124" s="2">
        <v>6897.18</v>
      </c>
      <c r="N1124" s="84"/>
      <c r="O1124" s="84"/>
      <c r="P1124" s="162">
        <f>+EJECUTADO[[#This Row],[MONTO SOLICITADO]]-EJECUTADO[[#This Row],[RETENCION IVA]]-EJECUTADO[[#This Row],[RETENCION ISR]]</f>
        <v>6897.18</v>
      </c>
      <c r="Q1124" s="84" t="s">
        <v>2521</v>
      </c>
      <c r="R1124" s="84"/>
      <c r="S1124">
        <v>1</v>
      </c>
      <c r="T1124" s="168" t="str">
        <f t="shared" si="42"/>
        <v>SUELDOS ACADÉMICOS - SUELDOS Y SALARIOS NUEVO INGRESO Disponible $41110.48 Solicitado $6897.18 PRESUPUESTO: SI</v>
      </c>
    </row>
    <row r="1125" spans="1:20" ht="45" x14ac:dyDescent="0.25">
      <c r="A1125" s="6">
        <f t="shared" si="43"/>
        <v>1035</v>
      </c>
      <c r="B1125" s="21">
        <v>45366</v>
      </c>
      <c r="C1125" s="126" t="s">
        <v>1418</v>
      </c>
      <c r="D1125" s="65" t="s">
        <v>140</v>
      </c>
      <c r="E1125" s="65"/>
      <c r="F1125" t="s">
        <v>1422</v>
      </c>
      <c r="G1125" s="161">
        <f>MONTH(EJECUTADO[[#This Row],[FECHA]])</f>
        <v>3</v>
      </c>
      <c r="H1125" s="163" t="str">
        <f>MID(EJECUTADO[[#This Row],[CUENTA]],1,4)</f>
        <v>E-03</v>
      </c>
      <c r="I1125" s="163" t="str">
        <f>INDEX(CATALOGO[Descripción],MATCH(EJECUTADO[[#This Row],[APLICACIÓN]]&amp;"-00-00-00",CATALOGO[Código],0))</f>
        <v>SUELDOS ADMINISTRATIVOS</v>
      </c>
      <c r="J11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</v>
      </c>
      <c r="K1125" s="161" t="str">
        <f>IF((EJECUTADO[[#This Row],[MONTO DISPONIBLE ]]-EJECUTADO[[#This Row],[MONTO SOLICITADO]])&gt;=0,"PRESUPUESTO: SI","PRESUPUESTO: NO")</f>
        <v>PRESUPUESTO: SI</v>
      </c>
      <c r="L1125" s="162">
        <f>SUMIF(PRESUPUESTO[CUENTA],EJECUTADO[[#This Row],[CUENTA]],PRESUPUESTO[MONTO])-SUMIF($F$1:F1124,EJECUTADO[[#This Row],[CUENTA]],$M$1:M1124)</f>
        <v>78620.88</v>
      </c>
      <c r="M1125" s="2">
        <v>37844.78</v>
      </c>
      <c r="N1125" s="84"/>
      <c r="O1125" s="84"/>
      <c r="P1125" s="162">
        <f>+EJECUTADO[[#This Row],[MONTO SOLICITADO]]-EJECUTADO[[#This Row],[RETENCION IVA]]-EJECUTADO[[#This Row],[RETENCION ISR]]</f>
        <v>37844.78</v>
      </c>
      <c r="Q1125" s="84" t="s">
        <v>2521</v>
      </c>
      <c r="R1125" s="84"/>
      <c r="S1125">
        <v>1</v>
      </c>
      <c r="T1125" s="168" t="str">
        <f t="shared" si="42"/>
        <v>SUELDOS ADMINISTRATIVOS - SUELDOS Y SALARIOS PRESIDENCIA Disponible $78620.88 Solicitado $37844.78 PRESUPUESTO: SI</v>
      </c>
    </row>
    <row r="1126" spans="1:20" ht="60" x14ac:dyDescent="0.25">
      <c r="A1126" s="6">
        <f t="shared" si="43"/>
        <v>1036</v>
      </c>
      <c r="B1126" s="21">
        <v>45366</v>
      </c>
      <c r="C1126" s="126" t="s">
        <v>1418</v>
      </c>
      <c r="D1126" s="65" t="s">
        <v>139</v>
      </c>
      <c r="E1126" s="65"/>
      <c r="F1126" t="s">
        <v>1420</v>
      </c>
      <c r="G1126" s="161">
        <f>MONTH(EJECUTADO[[#This Row],[FECHA]])</f>
        <v>3</v>
      </c>
      <c r="H1126" s="163" t="str">
        <f>MID(EJECUTADO[[#This Row],[CUENTA]],1,4)</f>
        <v>E-03</v>
      </c>
      <c r="I1126" s="163" t="str">
        <f>INDEX(CATALOGO[Descripción],MATCH(EJECUTADO[[#This Row],[APLICACIÓN]]&amp;"-00-00-00",CATALOGO[Código],0))</f>
        <v>SUELDOS ADMINISTRATIVOS</v>
      </c>
      <c r="J11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1126" s="161" t="str">
        <f>IF((EJECUTADO[[#This Row],[MONTO DISPONIBLE ]]-EJECUTADO[[#This Row],[MONTO SOLICITADO]])&gt;=0,"PRESUPUESTO: SI","PRESUPUESTO: NO")</f>
        <v>PRESUPUESTO: SI</v>
      </c>
      <c r="L1126" s="162">
        <f>SUMIF(PRESUPUESTO[CUENTA],EJECUTADO[[#This Row],[CUENTA]],PRESUPUESTO[MONTO])-SUMIF($F$1:F1125,EJECUTADO[[#This Row],[CUENTA]],$M$1:M1125)</f>
        <v>949500</v>
      </c>
      <c r="M1126" s="2">
        <v>8875</v>
      </c>
      <c r="N1126" s="84"/>
      <c r="O1126" s="84"/>
      <c r="P1126" s="162">
        <f>+EJECUTADO[[#This Row],[MONTO SOLICITADO]]-EJECUTADO[[#This Row],[RETENCION IVA]]-EJECUTADO[[#This Row],[RETENCION ISR]]</f>
        <v>8875</v>
      </c>
      <c r="Q1126" s="84" t="s">
        <v>2521</v>
      </c>
      <c r="R1126" s="84"/>
      <c r="S1126">
        <v>1</v>
      </c>
      <c r="T1126" s="168" t="str">
        <f t="shared" si="42"/>
        <v>SUELDOS ADMINISTRATIVOS - SUELDOS Y SALARIOS PRESIDENCIA JUNTA GU Disponible $949500 Solicitado $8875 PRESUPUESTO: SI</v>
      </c>
    </row>
    <row r="1127" spans="1:20" ht="45" x14ac:dyDescent="0.25">
      <c r="A1127" s="6">
        <f t="shared" si="43"/>
        <v>1037</v>
      </c>
      <c r="B1127" s="21">
        <v>45366</v>
      </c>
      <c r="C1127" s="126" t="s">
        <v>1418</v>
      </c>
      <c r="D1127" s="65" t="s">
        <v>156</v>
      </c>
      <c r="E1127" s="65"/>
      <c r="F1127" t="s">
        <v>1446</v>
      </c>
      <c r="G1127" s="161">
        <f>MONTH(EJECUTADO[[#This Row],[FECHA]])</f>
        <v>3</v>
      </c>
      <c r="H1127" s="163" t="str">
        <f>MID(EJECUTADO[[#This Row],[CUENTA]],1,4)</f>
        <v>E-04</v>
      </c>
      <c r="I1127" s="163" t="str">
        <f>INDEX(CATALOGO[Descripción],MATCH(EJECUTADO[[#This Row],[APLICACIÓN]]&amp;"-00-00-00",CATALOGO[Código],0))</f>
        <v>SUELDOS ACADÉMICOS</v>
      </c>
      <c r="J11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RECTORÍA</v>
      </c>
      <c r="K1127" s="161" t="str">
        <f>IF((EJECUTADO[[#This Row],[MONTO DISPONIBLE ]]-EJECUTADO[[#This Row],[MONTO SOLICITADO]])&gt;=0,"PRESUPUESTO: SI","PRESUPUESTO: NO")</f>
        <v>PRESUPUESTO: SI</v>
      </c>
      <c r="L1127" s="162">
        <f>SUMIF(PRESUPUESTO[CUENTA],EJECUTADO[[#This Row],[CUENTA]],PRESUPUESTO[MONTO])-SUMIF($F$1:F1126,EJECUTADO[[#This Row],[CUENTA]],$M$1:M1126)</f>
        <v>171600</v>
      </c>
      <c r="M1127" s="2">
        <v>7800</v>
      </c>
      <c r="N1127" s="84"/>
      <c r="O1127" s="84"/>
      <c r="P1127" s="162">
        <f>+EJECUTADO[[#This Row],[MONTO SOLICITADO]]-EJECUTADO[[#This Row],[RETENCION IVA]]-EJECUTADO[[#This Row],[RETENCION ISR]]</f>
        <v>7800</v>
      </c>
      <c r="Q1127" s="84" t="s">
        <v>2521</v>
      </c>
      <c r="R1127" s="84"/>
      <c r="S1127">
        <v>1</v>
      </c>
      <c r="T1127" s="168" t="str">
        <f t="shared" si="42"/>
        <v>SUELDOS ACADÉMICOS - SUELDOS Y SALARIOS RECTORÍA Disponible $171600 Solicitado $7800 PRESUPUESTO: SI</v>
      </c>
    </row>
    <row r="1128" spans="1:20" ht="60" x14ac:dyDescent="0.25">
      <c r="A1128" s="6">
        <f t="shared" si="43"/>
        <v>1038</v>
      </c>
      <c r="B1128" s="21">
        <v>45366</v>
      </c>
      <c r="C1128" s="126" t="s">
        <v>1418</v>
      </c>
      <c r="D1128" s="65" t="s">
        <v>161</v>
      </c>
      <c r="E1128" s="65"/>
      <c r="F1128" t="s">
        <v>1488</v>
      </c>
      <c r="G1128" s="161">
        <f>MONTH(EJECUTADO[[#This Row],[FECHA]])</f>
        <v>3</v>
      </c>
      <c r="H1128" s="163" t="str">
        <f>MID(EJECUTADO[[#This Row],[CUENTA]],1,4)</f>
        <v>E-04</v>
      </c>
      <c r="I1128" s="163" t="str">
        <f>INDEX(CATALOGO[Descripción],MATCH(EJECUTADO[[#This Row],[APLICACIÓN]]&amp;"-00-00-00",CATALOGO[Código],0))</f>
        <v>SUELDOS ACADÉMICOS</v>
      </c>
      <c r="J11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RELACIONES INTERNACIONALES</v>
      </c>
      <c r="K1128" s="161" t="str">
        <f>IF((EJECUTADO[[#This Row],[MONTO DISPONIBLE ]]-EJECUTADO[[#This Row],[MONTO SOLICITADO]])&gt;=0,"PRESUPUESTO: SI","PRESUPUESTO: NO")</f>
        <v>PRESUPUESTO: SI</v>
      </c>
      <c r="L1128" s="162">
        <f>SUMIF(PRESUPUESTO[CUENTA],EJECUTADO[[#This Row],[CUENTA]],PRESUPUESTO[MONTO])-SUMIF($F$1:F1127,EJECUTADO[[#This Row],[CUENTA]],$M$1:M1127)</f>
        <v>40700</v>
      </c>
      <c r="M1128" s="2">
        <v>1850</v>
      </c>
      <c r="N1128" s="84"/>
      <c r="O1128" s="84"/>
      <c r="P1128" s="162">
        <f>+EJECUTADO[[#This Row],[MONTO SOLICITADO]]-EJECUTADO[[#This Row],[RETENCION IVA]]-EJECUTADO[[#This Row],[RETENCION ISR]]</f>
        <v>1850</v>
      </c>
      <c r="Q1128" s="84" t="s">
        <v>2521</v>
      </c>
      <c r="R1128" s="84"/>
      <c r="S1128">
        <v>1</v>
      </c>
      <c r="T1128" s="168" t="str">
        <f t="shared" si="42"/>
        <v>SUELDOS ACADÉMICOS - SUELDOS Y SALARIOS RELACIONES INTERNACIONALES Disponible $40700 Solicitado $1850 PRESUPUESTO: SI</v>
      </c>
    </row>
    <row r="1129" spans="1:20" ht="60" x14ac:dyDescent="0.25">
      <c r="A1129" s="6">
        <f t="shared" si="43"/>
        <v>1039</v>
      </c>
      <c r="B1129" s="21">
        <v>45366</v>
      </c>
      <c r="C1129" s="126" t="s">
        <v>1418</v>
      </c>
      <c r="D1129" s="65" t="s">
        <v>2677</v>
      </c>
      <c r="E1129" s="65"/>
      <c r="F1129" t="s">
        <v>1442</v>
      </c>
      <c r="G1129" s="161">
        <f>MONTH(EJECUTADO[[#This Row],[FECHA]])</f>
        <v>3</v>
      </c>
      <c r="H1129" s="163" t="str">
        <f>MID(EJECUTADO[[#This Row],[CUENTA]],1,4)</f>
        <v>E-03</v>
      </c>
      <c r="I1129" s="163" t="str">
        <f>INDEX(CATALOGO[Descripción],MATCH(EJECUTADO[[#This Row],[APLICACIÓN]]&amp;"-00-00-00",CATALOGO[Código],0))</f>
        <v>SUELDOS ADMINISTRATIVOS</v>
      </c>
      <c r="J11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SERVICIOS GENERALES </v>
      </c>
      <c r="K1129" s="161" t="str">
        <f>IF((EJECUTADO[[#This Row],[MONTO DISPONIBLE ]]-EJECUTADO[[#This Row],[MONTO SOLICITADO]])&gt;=0,"PRESUPUESTO: SI","PRESUPUESTO: NO")</f>
        <v>PRESUPUESTO: SI</v>
      </c>
      <c r="L1129" s="162">
        <f>SUMIF(PRESUPUESTO[CUENTA],EJECUTADO[[#This Row],[CUENTA]],PRESUPUESTO[MONTO])-SUMIF($F$1:F1128,EJECUTADO[[#This Row],[CUENTA]],$M$1:M1128)</f>
        <v>75319.27</v>
      </c>
      <c r="M1129" s="2">
        <v>5457.44</v>
      </c>
      <c r="N1129" s="84"/>
      <c r="O1129" s="84"/>
      <c r="P1129" s="162">
        <f>+EJECUTADO[[#This Row],[MONTO SOLICITADO]]-EJECUTADO[[#This Row],[RETENCION IVA]]-EJECUTADO[[#This Row],[RETENCION ISR]]</f>
        <v>5457.44</v>
      </c>
      <c r="Q1129" s="84" t="s">
        <v>2521</v>
      </c>
      <c r="R1129" s="84"/>
      <c r="S1129">
        <v>1</v>
      </c>
      <c r="T1129" s="168" t="str">
        <f t="shared" si="42"/>
        <v>SUELDOS ADMINISTRATIVOS - SUELDOS Y SALARIOS SERVICIOS GENERALES  Disponible $75319.27 Solicitado $5457.44 PRESUPUESTO: SI</v>
      </c>
    </row>
    <row r="1130" spans="1:20" ht="45" x14ac:dyDescent="0.25">
      <c r="A1130" s="6">
        <f t="shared" si="43"/>
        <v>1040</v>
      </c>
      <c r="B1130" s="21">
        <v>45366</v>
      </c>
      <c r="C1130" s="126" t="s">
        <v>1418</v>
      </c>
      <c r="D1130" s="65" t="s">
        <v>163</v>
      </c>
      <c r="E1130" s="65"/>
      <c r="F1130" t="s">
        <v>1443</v>
      </c>
      <c r="G1130" s="161">
        <f>MONTH(EJECUTADO[[#This Row],[FECHA]])</f>
        <v>3</v>
      </c>
      <c r="H1130" s="163" t="str">
        <f>MID(EJECUTADO[[#This Row],[CUENTA]],1,4)</f>
        <v>E-04</v>
      </c>
      <c r="I1130" s="163" t="str">
        <f>INDEX(CATALOGO[Descripción],MATCH(EJECUTADO[[#This Row],[APLICACIÓN]]&amp;"-00-00-00",CATALOGO[Código],0))</f>
        <v>SUELDOS ACADÉMICOS</v>
      </c>
      <c r="J11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SISTEMA BIBLIOTECARIO</v>
      </c>
      <c r="K1130" s="161" t="str">
        <f>IF((EJECUTADO[[#This Row],[MONTO DISPONIBLE ]]-EJECUTADO[[#This Row],[MONTO SOLICITADO]])&gt;=0,"PRESUPUESTO: SI","PRESUPUESTO: NO")</f>
        <v>PRESUPUESTO: SI</v>
      </c>
      <c r="L1130" s="162">
        <f>SUMIF(PRESUPUESTO[CUENTA],EJECUTADO[[#This Row],[CUENTA]],PRESUPUESTO[MONTO])-SUMIF($F$1:F1129,EJECUTADO[[#This Row],[CUENTA]],$M$1:M1129)</f>
        <v>78785.72</v>
      </c>
      <c r="M1130" s="2">
        <v>3278.57</v>
      </c>
      <c r="N1130" s="84"/>
      <c r="O1130" s="84"/>
      <c r="P1130" s="162">
        <f>+EJECUTADO[[#This Row],[MONTO SOLICITADO]]-EJECUTADO[[#This Row],[RETENCION IVA]]-EJECUTADO[[#This Row],[RETENCION ISR]]</f>
        <v>3278.57</v>
      </c>
      <c r="Q1130" s="84" t="s">
        <v>2521</v>
      </c>
      <c r="R1130" s="84"/>
      <c r="S1130">
        <v>1</v>
      </c>
      <c r="T1130" s="168" t="str">
        <f t="shared" si="42"/>
        <v>SUELDOS ACADÉMICOS - SUELDOS Y SALARIOS SISTEMA BIBLIOTECARIO Disponible $78785.72 Solicitado $3278.57 PRESUPUESTO: SI</v>
      </c>
    </row>
    <row r="1131" spans="1:20" ht="45" x14ac:dyDescent="0.25">
      <c r="A1131" s="6">
        <f t="shared" si="43"/>
        <v>1041</v>
      </c>
      <c r="B1131" s="21">
        <v>45366</v>
      </c>
      <c r="C1131" s="126" t="s">
        <v>1418</v>
      </c>
      <c r="D1131" s="65" t="s">
        <v>2678</v>
      </c>
      <c r="E1131" s="65"/>
      <c r="F1131" t="s">
        <v>1439</v>
      </c>
      <c r="G1131" s="161">
        <f>MONTH(EJECUTADO[[#This Row],[FECHA]])</f>
        <v>3</v>
      </c>
      <c r="H1131" s="163" t="str">
        <f>MID(EJECUTADO[[#This Row],[CUENTA]],1,4)</f>
        <v>E-03</v>
      </c>
      <c r="I1131" s="163" t="str">
        <f>INDEX(CATALOGO[Descripción],MATCH(EJECUTADO[[#This Row],[APLICACIÓN]]&amp;"-00-00-00",CATALOGO[Código],0))</f>
        <v>SUELDOS ADMINISTRATIVOS</v>
      </c>
      <c r="J11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VICEPRESIDENCIA </v>
      </c>
      <c r="K1131" s="161" t="str">
        <f>IF((EJECUTADO[[#This Row],[MONTO DISPONIBLE ]]-EJECUTADO[[#This Row],[MONTO SOLICITADO]])&gt;=0,"PRESUPUESTO: SI","PRESUPUESTO: NO")</f>
        <v>PRESUPUESTO: SI</v>
      </c>
      <c r="L1131" s="162">
        <f>SUMIF(PRESUPUESTO[CUENTA],EJECUTADO[[#This Row],[CUENTA]],PRESUPUESTO[MONTO])-SUMIF($F$1:F1130,EJECUTADO[[#This Row],[CUENTA]],$M$1:M1130)</f>
        <v>438293.92</v>
      </c>
      <c r="M1131" s="2">
        <v>19926.52</v>
      </c>
      <c r="N1131" s="84"/>
      <c r="O1131" s="84"/>
      <c r="P1131" s="162">
        <f>+EJECUTADO[[#This Row],[MONTO SOLICITADO]]-EJECUTADO[[#This Row],[RETENCION IVA]]-EJECUTADO[[#This Row],[RETENCION ISR]]</f>
        <v>19926.52</v>
      </c>
      <c r="Q1131" s="84" t="s">
        <v>2521</v>
      </c>
      <c r="R1131" s="84"/>
      <c r="S1131">
        <v>1</v>
      </c>
      <c r="T1131" s="168" t="str">
        <f t="shared" si="42"/>
        <v>SUELDOS ADMINISTRATIVOS - SUELDOS Y SALARIOS VICEPRESIDENCIA  Disponible $438293.92 Solicitado $19926.52 PRESUPUESTO: SI</v>
      </c>
    </row>
    <row r="1132" spans="1:20" ht="60" x14ac:dyDescent="0.25">
      <c r="A1132" s="6">
        <f t="shared" si="43"/>
        <v>1042</v>
      </c>
      <c r="B1132" s="21">
        <v>45366</v>
      </c>
      <c r="C1132" s="126" t="s">
        <v>1418</v>
      </c>
      <c r="D1132" s="65" t="s">
        <v>144</v>
      </c>
      <c r="E1132" s="65"/>
      <c r="F1132" t="s">
        <v>1493</v>
      </c>
      <c r="G1132" s="161">
        <f>MONTH(EJECUTADO[[#This Row],[FECHA]])</f>
        <v>3</v>
      </c>
      <c r="H1132" s="163" t="str">
        <f>MID(EJECUTADO[[#This Row],[CUENTA]],1,4)</f>
        <v>E-03</v>
      </c>
      <c r="I1132" s="163" t="str">
        <f>INDEX(CATALOGO[Descripción],MATCH(EJECUTADO[[#This Row],[APLICACIÓN]]&amp;"-00-00-00",CATALOGO[Código],0))</f>
        <v>SUELDOS ADMINISTRATIVOS</v>
      </c>
      <c r="J11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VICERRECTORÍA DE OPERACIONES</v>
      </c>
      <c r="K1132" s="161" t="str">
        <f>IF((EJECUTADO[[#This Row],[MONTO DISPONIBLE ]]-EJECUTADO[[#This Row],[MONTO SOLICITADO]])&gt;=0,"PRESUPUESTO: SI","PRESUPUESTO: NO")</f>
        <v>PRESUPUESTO: SI</v>
      </c>
      <c r="L1132" s="162">
        <f>SUMIF(PRESUPUESTO[CUENTA],EJECUTADO[[#This Row],[CUENTA]],PRESUPUESTO[MONTO])-SUMIF($F$1:F1131,EJECUTADO[[#This Row],[CUENTA]],$M$1:M1131)</f>
        <v>71800</v>
      </c>
      <c r="M1132" s="2">
        <v>3300</v>
      </c>
      <c r="N1132" s="84"/>
      <c r="O1132" s="84"/>
      <c r="P1132" s="162">
        <f>+EJECUTADO[[#This Row],[MONTO SOLICITADO]]-EJECUTADO[[#This Row],[RETENCION IVA]]-EJECUTADO[[#This Row],[RETENCION ISR]]</f>
        <v>3300</v>
      </c>
      <c r="Q1132" s="84" t="s">
        <v>2521</v>
      </c>
      <c r="R1132" s="84"/>
      <c r="S1132">
        <v>1</v>
      </c>
      <c r="T1132" s="168" t="str">
        <f t="shared" si="42"/>
        <v>SUELDOS ADMINISTRATIVOS - SUELDOS Y SALARIOS VICERRECTORÍA DE OPERACIONES Disponible $71800 Solicitado $3300 PRESUPUESTO: SI</v>
      </c>
    </row>
    <row r="1133" spans="1:20" ht="60" x14ac:dyDescent="0.25">
      <c r="A1133" s="6">
        <f t="shared" si="43"/>
        <v>1043</v>
      </c>
      <c r="B1133" s="21">
        <v>45366</v>
      </c>
      <c r="C1133" s="126" t="s">
        <v>1418</v>
      </c>
      <c r="D1133" s="65" t="s">
        <v>2679</v>
      </c>
      <c r="E1133" s="65"/>
      <c r="F1133" t="s">
        <v>1281</v>
      </c>
      <c r="G1133" s="161">
        <f>MONTH(EJECUTADO[[#This Row],[FECHA]])</f>
        <v>3</v>
      </c>
      <c r="H1133" s="163" t="str">
        <f>MID(EJECUTADO[[#This Row],[CUENTA]],1,4)</f>
        <v>E-03</v>
      </c>
      <c r="I1133" s="163" t="str">
        <f>INDEX(CATALOGO[Descripción],MATCH(EJECUTADO[[#This Row],[APLICACIÓN]]&amp;"-00-00-00",CATALOGO[Código],0))</f>
        <v>SUELDOS ADMINISTRATIVOS</v>
      </c>
      <c r="J11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133" s="161" t="str">
        <f>IF((EJECUTADO[[#This Row],[MONTO DISPONIBLE ]]-EJECUTADO[[#This Row],[MONTO SOLICITADO]])&gt;=0,"PRESUPUESTO: SI","PRESUPUESTO: NO")</f>
        <v>PRESUPUESTO: SI</v>
      </c>
      <c r="L1133" s="162">
        <f>SUMIF(PRESUPUESTO[CUENTA],EJECUTADO[[#This Row],[CUENTA]],PRESUPUESTO[MONTO])-SUMIF($F$1:F1132,EJECUTADO[[#This Row],[CUENTA]],$M$1:M1132)</f>
        <v>264897.49</v>
      </c>
      <c r="M1133" s="2">
        <v>10720.38</v>
      </c>
      <c r="N1133" s="84"/>
      <c r="O1133" s="84"/>
      <c r="P1133" s="162">
        <f>+EJECUTADO[[#This Row],[MONTO SOLICITADO]]-EJECUTADO[[#This Row],[RETENCION IVA]]-EJECUTADO[[#This Row],[RETENCION ISR]]</f>
        <v>10720.38</v>
      </c>
      <c r="Q1133" s="84" t="s">
        <v>2521</v>
      </c>
      <c r="R1133" s="84"/>
      <c r="S1133">
        <v>1</v>
      </c>
      <c r="T1133" s="168" t="str">
        <f t="shared" si="42"/>
        <v>SUELDOS ADMINISTRATIVOS - SUELDOS Y SALARIOS VICERRECTORÍA FINANCIERA  Disponible $264897.49 Solicitado $10720.38 PRESUPUESTO: SI</v>
      </c>
    </row>
    <row r="1134" spans="1:20" ht="45" x14ac:dyDescent="0.25">
      <c r="A1134" s="6">
        <f t="shared" si="43"/>
        <v>1044</v>
      </c>
      <c r="B1134" s="21">
        <v>45366</v>
      </c>
      <c r="C1134" s="126" t="s">
        <v>1418</v>
      </c>
      <c r="D1134" s="65" t="s">
        <v>157</v>
      </c>
      <c r="E1134" s="65"/>
      <c r="F1134" t="s">
        <v>1253</v>
      </c>
      <c r="G1134" s="161">
        <f>MONTH(EJECUTADO[[#This Row],[FECHA]])</f>
        <v>3</v>
      </c>
      <c r="H1134" s="163" t="str">
        <f>MID(EJECUTADO[[#This Row],[CUENTA]],1,4)</f>
        <v>E-04</v>
      </c>
      <c r="I1134" s="163" t="str">
        <f>INDEX(CATALOGO[Descripción],MATCH(EJECUTADO[[#This Row],[APLICACIÓN]]&amp;"-00-00-00",CATALOGO[Código],0))</f>
        <v>SUELDOS ACADÉMICOS</v>
      </c>
      <c r="J11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1134" s="161" t="str">
        <f>IF((EJECUTADO[[#This Row],[MONTO DISPONIBLE ]]-EJECUTADO[[#This Row],[MONTO SOLICITADO]])&gt;=0,"PRESUPUESTO: SI","PRESUPUESTO: NO")</f>
        <v>PRESUPUESTO: SI</v>
      </c>
      <c r="L1134" s="162">
        <f>SUMIF(PRESUPUESTO[CUENTA],EJECUTADO[[#This Row],[CUENTA]],PRESUPUESTO[MONTO])-SUMIF($F$1:F1133,EJECUTADO[[#This Row],[CUENTA]],$M$1:M1133)</f>
        <v>108200</v>
      </c>
      <c r="M1134" s="2">
        <v>5050</v>
      </c>
      <c r="N1134" s="84"/>
      <c r="O1134" s="84"/>
      <c r="P1134" s="162">
        <f>+EJECUTADO[[#This Row],[MONTO SOLICITADO]]-EJECUTADO[[#This Row],[RETENCION IVA]]-EJECUTADO[[#This Row],[RETENCION ISR]]</f>
        <v>5050</v>
      </c>
      <c r="Q1134" s="84" t="s">
        <v>2521</v>
      </c>
      <c r="R1134" s="84"/>
      <c r="S1134">
        <v>1</v>
      </c>
      <c r="T1134" s="168" t="str">
        <f t="shared" si="42"/>
        <v>SUELDOS ACADÉMICOS - SUELDOS Y SALARIOS VR ACADÉMICA Disponible $108200 Solicitado $5050 PRESUPUESTO: SI</v>
      </c>
    </row>
    <row r="1135" spans="1:20" ht="45" x14ac:dyDescent="0.25">
      <c r="A1135" s="6">
        <f t="shared" si="43"/>
        <v>1045</v>
      </c>
      <c r="B1135" s="21">
        <v>45366</v>
      </c>
      <c r="C1135" s="126" t="s">
        <v>1418</v>
      </c>
      <c r="D1135" s="65" t="s">
        <v>800</v>
      </c>
      <c r="E1135" s="65"/>
      <c r="F1135" t="s">
        <v>2680</v>
      </c>
      <c r="G1135" s="161">
        <f>MONTH(EJECUTADO[[#This Row],[FECHA]])</f>
        <v>3</v>
      </c>
      <c r="H1135" s="163" t="str">
        <f>MID(EJECUTADO[[#This Row],[CUENTA]],1,4)</f>
        <v>E-25</v>
      </c>
      <c r="I1135" s="163" t="str">
        <f>INDEX(CATALOGO[Descripción],MATCH(EJECUTADO[[#This Row],[APLICACIÓN]]&amp;"-00-00-00",CATALOGO[Código],0))</f>
        <v>DECANATO DE ESTUDIANTES</v>
      </c>
      <c r="J11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Colaborador $ 500</v>
      </c>
      <c r="K1135" s="161" t="str">
        <f>IF((EJECUTADO[[#This Row],[MONTO DISPONIBLE ]]-EJECUTADO[[#This Row],[MONTO SOLICITADO]])&gt;=0,"PRESUPUESTO: SI","PRESUPUESTO: NO")</f>
        <v>PRESUPUESTO: SI</v>
      </c>
      <c r="L1135" s="162">
        <f>SUMIF(PRESUPUESTO[CUENTA],EJECUTADO[[#This Row],[CUENTA]],PRESUPUESTO[MONTO])-SUMIF($F$1:F1134,EJECUTADO[[#This Row],[CUENTA]],$M$1:M1134)</f>
        <v>6500</v>
      </c>
      <c r="M1135" s="2">
        <v>250</v>
      </c>
      <c r="N1135" s="84"/>
      <c r="O1135" s="84"/>
      <c r="P1135" s="162">
        <f>+EJECUTADO[[#This Row],[MONTO SOLICITADO]]-EJECUTADO[[#This Row],[RETENCION IVA]]-EJECUTADO[[#This Row],[RETENCION ISR]]</f>
        <v>250</v>
      </c>
      <c r="Q1135" s="84" t="s">
        <v>2521</v>
      </c>
      <c r="R1135" s="84"/>
      <c r="S1135">
        <v>1</v>
      </c>
      <c r="T1135" s="168" t="str">
        <f t="shared" si="42"/>
        <v>DECANATO DE ESTUDIANTES - U. recreación y deportes - Colaborador $ 500 Disponible $6500 Solicitado $250 PRESUPUESTO: SI</v>
      </c>
    </row>
    <row r="1136" spans="1:20" ht="60" x14ac:dyDescent="0.25">
      <c r="A1136" s="6">
        <f t="shared" si="43"/>
        <v>1046</v>
      </c>
      <c r="B1136" s="21">
        <v>45366</v>
      </c>
      <c r="C1136" s="126" t="s">
        <v>1418</v>
      </c>
      <c r="D1136" s="65" t="s">
        <v>2681</v>
      </c>
      <c r="E1136" s="65"/>
      <c r="F1136" t="s">
        <v>1478</v>
      </c>
      <c r="G1136" s="161">
        <f>MONTH(EJECUTADO[[#This Row],[FECHA]])</f>
        <v>3</v>
      </c>
      <c r="H1136" s="163" t="str">
        <f>MID(EJECUTADO[[#This Row],[CUENTA]],1,4)</f>
        <v>E-25</v>
      </c>
      <c r="I1136" s="163" t="str">
        <f>INDEX(CATALOGO[Descripción],MATCH(EJECUTADO[[#This Row],[APLICACIÓN]]&amp;"-00-00-00",CATALOGO[Código],0))</f>
        <v>DECANATO DE ESTUDIANTES</v>
      </c>
      <c r="J11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U. recreación y deportes - Sueldo Encargado Unidad $ 750.00 </v>
      </c>
      <c r="K1136" s="161" t="str">
        <f>IF((EJECUTADO[[#This Row],[MONTO DISPONIBLE ]]-EJECUTADO[[#This Row],[MONTO SOLICITADO]])&gt;=0,"PRESUPUESTO: SI","PRESUPUESTO: NO")</f>
        <v>PRESUPUESTO: SI</v>
      </c>
      <c r="L1136" s="162">
        <f>SUMIF(PRESUPUESTO[CUENTA],EJECUTADO[[#This Row],[CUENTA]],PRESUPUESTO[MONTO])-SUMIF($F$1:F1135,EJECUTADO[[#This Row],[CUENTA]],$M$1:M1135)</f>
        <v>7250</v>
      </c>
      <c r="M1136" s="2">
        <v>375</v>
      </c>
      <c r="N1136" s="84"/>
      <c r="O1136" s="84"/>
      <c r="P1136" s="162">
        <f>+EJECUTADO[[#This Row],[MONTO SOLICITADO]]-EJECUTADO[[#This Row],[RETENCION IVA]]-EJECUTADO[[#This Row],[RETENCION ISR]]</f>
        <v>375</v>
      </c>
      <c r="Q1136" s="84" t="s">
        <v>2521</v>
      </c>
      <c r="R1136" s="84"/>
      <c r="S1136">
        <v>1</v>
      </c>
      <c r="T1136" s="168" t="str">
        <f t="shared" si="42"/>
        <v>DECANATO DE ESTUDIANTES - U. recreación y deportes - Sueldo Encargado Unidad $ 750.00  Disponible $7250 Solicitado $375 PRESUPUESTO: SI</v>
      </c>
    </row>
    <row r="1137" spans="1:20" ht="45" x14ac:dyDescent="0.25">
      <c r="A1137" s="6">
        <f t="shared" si="43"/>
        <v>1047</v>
      </c>
      <c r="B1137" s="21">
        <v>45366</v>
      </c>
      <c r="C1137" s="126" t="s">
        <v>1418</v>
      </c>
      <c r="D1137" s="65" t="s">
        <v>795</v>
      </c>
      <c r="E1137" s="65"/>
      <c r="F1137" t="s">
        <v>1476</v>
      </c>
      <c r="G1137" s="161">
        <f>MONTH(EJECUTADO[[#This Row],[FECHA]])</f>
        <v>3</v>
      </c>
      <c r="H1137" s="163" t="str">
        <f>MID(EJECUTADO[[#This Row],[CUENTA]],1,4)</f>
        <v>E-25</v>
      </c>
      <c r="I1137" s="163" t="str">
        <f>INDEX(CATALOGO[Descripción],MATCH(EJECUTADO[[#This Row],[APLICACIÓN]]&amp;"-00-00-00",CATALOGO[Código],0))</f>
        <v>DECANATO DE ESTUDIANTES</v>
      </c>
      <c r="J11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SERVICIO SOCIAL - SUELDOS Y SALARIOS</v>
      </c>
      <c r="K1137" s="161" t="str">
        <f>IF((EJECUTADO[[#This Row],[MONTO DISPONIBLE ]]-EJECUTADO[[#This Row],[MONTO SOLICITADO]])&gt;=0,"PRESUPUESTO: SI","PRESUPUESTO: NO")</f>
        <v>PRESUPUESTO: SI</v>
      </c>
      <c r="L1137" s="162">
        <f>SUMIF(PRESUPUESTO[CUENTA],EJECUTADO[[#This Row],[CUENTA]],PRESUPUESTO[MONTO])-SUMIF($F$1:F1136,EJECUTADO[[#This Row],[CUENTA]],$M$1:M1136)</f>
        <v>18900</v>
      </c>
      <c r="M1137" s="2">
        <v>750</v>
      </c>
      <c r="N1137" s="84"/>
      <c r="O1137" s="84"/>
      <c r="P1137" s="162">
        <f>+EJECUTADO[[#This Row],[MONTO SOLICITADO]]-EJECUTADO[[#This Row],[RETENCION IVA]]-EJECUTADO[[#This Row],[RETENCION ISR]]</f>
        <v>750</v>
      </c>
      <c r="Q1137" s="84" t="s">
        <v>2521</v>
      </c>
      <c r="R1137" s="84"/>
      <c r="S1137">
        <v>1</v>
      </c>
      <c r="T1137" s="168" t="str">
        <f t="shared" si="42"/>
        <v>DECANATO DE ESTUDIANTES - U. SERVICIO SOCIAL - SUELDOS Y SALARIOS Disponible $18900 Solicitado $750 PRESUPUESTO: SI</v>
      </c>
    </row>
    <row r="1138" spans="1:20" ht="45" x14ac:dyDescent="0.25">
      <c r="A1138" s="6">
        <f t="shared" si="43"/>
        <v>1048</v>
      </c>
      <c r="B1138" s="21">
        <v>45366</v>
      </c>
      <c r="C1138" s="126" t="s">
        <v>1418</v>
      </c>
      <c r="D1138" s="65" t="s">
        <v>788</v>
      </c>
      <c r="E1138" s="65"/>
      <c r="F1138" t="s">
        <v>1472</v>
      </c>
      <c r="G1138" s="161">
        <f>MONTH(EJECUTADO[[#This Row],[FECHA]])</f>
        <v>3</v>
      </c>
      <c r="H1138" s="163" t="str">
        <f>MID(EJECUTADO[[#This Row],[CUENTA]],1,4)</f>
        <v>E-25</v>
      </c>
      <c r="I1138" s="163" t="str">
        <f>INDEX(CATALOGO[Descripción],MATCH(EJECUTADO[[#This Row],[APLICACIÓN]]&amp;"-00-00-00",CATALOGO[Código],0))</f>
        <v>DECANATO DE ESTUDIANTES</v>
      </c>
      <c r="J11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UNIDAD DE TUTORES- SUELDOS Y SALARIOS</v>
      </c>
      <c r="K1138" s="161" t="str">
        <f>IF((EJECUTADO[[#This Row],[MONTO DISPONIBLE ]]-EJECUTADO[[#This Row],[MONTO SOLICITADO]])&gt;=0,"PRESUPUESTO: SI","PRESUPUESTO: NO")</f>
        <v>PRESUPUESTO: SI</v>
      </c>
      <c r="L1138" s="162">
        <f>SUMIF(PRESUPUESTO[CUENTA],EJECUTADO[[#This Row],[CUENTA]],PRESUPUESTO[MONTO])-SUMIF($F$1:F1137,EJECUTADO[[#This Row],[CUENTA]],$M$1:M1137)</f>
        <v>23100</v>
      </c>
      <c r="M1138" s="2">
        <v>1050</v>
      </c>
      <c r="N1138" s="84"/>
      <c r="O1138" s="84"/>
      <c r="P1138" s="162">
        <f>+EJECUTADO[[#This Row],[MONTO SOLICITADO]]-EJECUTADO[[#This Row],[RETENCION IVA]]-EJECUTADO[[#This Row],[RETENCION ISR]]</f>
        <v>1050</v>
      </c>
      <c r="Q1138" s="84" t="s">
        <v>2521</v>
      </c>
      <c r="R1138" s="84"/>
      <c r="S1138">
        <v>1</v>
      </c>
      <c r="T1138" s="168" t="str">
        <f t="shared" si="42"/>
        <v>DECANATO DE ESTUDIANTES - UNIDAD DE TUTORES- SUELDOS Y SALARIOS Disponible $23100 Solicitado $1050 PRESUPUESTO: SI</v>
      </c>
    </row>
    <row r="1139" spans="1:20" ht="90" x14ac:dyDescent="0.25">
      <c r="A1139" s="6">
        <f t="shared" si="43"/>
        <v>1049</v>
      </c>
      <c r="B1139" s="21">
        <v>45294</v>
      </c>
      <c r="C1139" s="158" t="s">
        <v>1185</v>
      </c>
      <c r="D1139" s="65" t="s">
        <v>2682</v>
      </c>
      <c r="E1139" s="65" t="s">
        <v>2683</v>
      </c>
      <c r="F1139" t="s">
        <v>2374</v>
      </c>
      <c r="G1139" s="161">
        <f>MONTH(EJECUTADO[[#This Row],[FECHA]])</f>
        <v>1</v>
      </c>
      <c r="H1139" s="163" t="str">
        <f>MID(EJECUTADO[[#This Row],[CUENTA]],1,4)</f>
        <v>E-01</v>
      </c>
      <c r="I1139" s="163" t="str">
        <f>INDEX(CATALOGO[Descripción],MATCH(EJECUTADO[[#This Row],[APLICACIÓN]]&amp;"-00-00-00",CATALOGO[Código],0))</f>
        <v>SERVICIOS PROFESIONALES</v>
      </c>
      <c r="J11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profesionales Lic. G de Duque</v>
      </c>
      <c r="K1139" s="161" t="str">
        <f>IF((EJECUTADO[[#This Row],[MONTO DISPONIBLE ]]-EJECUTADO[[#This Row],[MONTO SOLICITADO]])&gt;=0,"PRESUPUESTO: SI","PRESUPUESTO: NO")</f>
        <v>PRESUPUESTO: SI</v>
      </c>
      <c r="L1139" s="162">
        <f>SUMIF(PRESUPUESTO[CUENTA],EJECUTADO[[#This Row],[CUENTA]],PRESUPUESTO[MONTO])-SUMIF($F$1:F1138,EJECUTADO[[#This Row],[CUENTA]],$M$1:M1138)</f>
        <v>33000</v>
      </c>
      <c r="M1139" s="2">
        <v>3000</v>
      </c>
      <c r="N1139" s="84">
        <f>948.5+14.73</f>
        <v>963.23</v>
      </c>
      <c r="O1139" s="84">
        <v>300</v>
      </c>
      <c r="P1139" s="162">
        <f>+EJECUTADO[[#This Row],[MONTO SOLICITADO]]-EJECUTADO[[#This Row],[RETENCION IVA]]-EJECUTADO[[#This Row],[RETENCION ISR]]</f>
        <v>1736.77</v>
      </c>
      <c r="Q1139" s="84" t="s">
        <v>2521</v>
      </c>
      <c r="R1139" s="84"/>
      <c r="S1139">
        <v>1</v>
      </c>
      <c r="T1139" s="168" t="str">
        <f t="shared" si="42"/>
        <v>SERVICIOS PROFESIONALES - Servicios profesionales Lic. G de Duque Disponible $33000 Solicitado $3000 PRESUPUESTO: SI</v>
      </c>
    </row>
    <row r="1140" spans="1:20" ht="75" x14ac:dyDescent="0.25">
      <c r="A1140" s="6">
        <f t="shared" si="43"/>
        <v>1050</v>
      </c>
      <c r="B1140" s="21">
        <v>45324</v>
      </c>
      <c r="C1140" s="158" t="s">
        <v>1185</v>
      </c>
      <c r="D1140" s="65" t="s">
        <v>2684</v>
      </c>
      <c r="E1140" s="65" t="s">
        <v>2685</v>
      </c>
      <c r="F1140" t="s">
        <v>2374</v>
      </c>
      <c r="G1140" s="161">
        <f>MONTH(EJECUTADO[[#This Row],[FECHA]])</f>
        <v>2</v>
      </c>
      <c r="H1140" s="163" t="str">
        <f>MID(EJECUTADO[[#This Row],[CUENTA]],1,4)</f>
        <v>E-01</v>
      </c>
      <c r="I1140" s="163" t="str">
        <f>INDEX(CATALOGO[Descripción],MATCH(EJECUTADO[[#This Row],[APLICACIÓN]]&amp;"-00-00-00",CATALOGO[Código],0))</f>
        <v>SERVICIOS PROFESIONALES</v>
      </c>
      <c r="J11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profesionales Lic. G de Duque</v>
      </c>
      <c r="K1140" s="161" t="str">
        <f>IF((EJECUTADO[[#This Row],[MONTO DISPONIBLE ]]-EJECUTADO[[#This Row],[MONTO SOLICITADO]])&gt;=0,"PRESUPUESTO: SI","PRESUPUESTO: NO")</f>
        <v>PRESUPUESTO: SI</v>
      </c>
      <c r="L1140" s="162">
        <f>SUMIF(PRESUPUESTO[CUENTA],EJECUTADO[[#This Row],[CUENTA]],PRESUPUESTO[MONTO])-SUMIF($F$1:F1139,EJECUTADO[[#This Row],[CUENTA]],$M$1:M1139)</f>
        <v>30000</v>
      </c>
      <c r="M1140" s="2">
        <v>3000</v>
      </c>
      <c r="N1140" s="84"/>
      <c r="O1140" s="84"/>
      <c r="P1140" s="162">
        <f>+EJECUTADO[[#This Row],[MONTO SOLICITADO]]-EJECUTADO[[#This Row],[RETENCION IVA]]-EJECUTADO[[#This Row],[RETENCION ISR]]</f>
        <v>3000</v>
      </c>
      <c r="Q1140" s="84" t="s">
        <v>2521</v>
      </c>
      <c r="R1140" s="84"/>
      <c r="S1140">
        <v>1</v>
      </c>
      <c r="T1140" s="168" t="str">
        <f t="shared" si="42"/>
        <v>SERVICIOS PROFESIONALES - Servicios profesionales Lic. G de Duque Disponible $30000 Solicitado $3000 PRESUPUESTO: SI</v>
      </c>
    </row>
    <row r="1141" spans="1:20" ht="120" x14ac:dyDescent="0.25">
      <c r="A1141" s="6">
        <f t="shared" si="43"/>
        <v>1051</v>
      </c>
      <c r="B1141" s="21">
        <v>45301</v>
      </c>
      <c r="C1141" s="158" t="s">
        <v>2686</v>
      </c>
      <c r="D1141" s="65" t="s">
        <v>2686</v>
      </c>
      <c r="E1141" s="65" t="s">
        <v>2687</v>
      </c>
      <c r="F1141" t="s">
        <v>1183</v>
      </c>
      <c r="G1141" s="161">
        <f>MONTH(EJECUTADO[[#This Row],[FECHA]])</f>
        <v>1</v>
      </c>
      <c r="H1141" s="163" t="str">
        <f>MID(EJECUTADO[[#This Row],[CUENTA]],1,4)</f>
        <v>E-22</v>
      </c>
      <c r="I1141" s="163" t="str">
        <f>INDEX(CATALOGO[Descripción],MATCH(EJECUTADO[[#This Row],[APLICACIÓN]]&amp;"-00-00-00",CATALOGO[Código],0))</f>
        <v>CAPACITACIÓN AL PERSONAL</v>
      </c>
      <c r="J11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1141" s="161" t="str">
        <f>IF((EJECUTADO[[#This Row],[MONTO DISPONIBLE ]]-EJECUTADO[[#This Row],[MONTO SOLICITADO]])&gt;=0,"PRESUPUESTO: SI","PRESUPUESTO: NO")</f>
        <v>PRESUPUESTO: SI</v>
      </c>
      <c r="L1141" s="162">
        <f>SUMIF(PRESUPUESTO[CUENTA],EJECUTADO[[#This Row],[CUENTA]],PRESUPUESTO[MONTO])-SUMIF($F$1:F1140,EJECUTADO[[#This Row],[CUENTA]],$M$1:M1140)</f>
        <v>5577.6</v>
      </c>
      <c r="M1141" s="2"/>
      <c r="N1141" s="84"/>
      <c r="O1141" s="84"/>
      <c r="P1141" s="162">
        <f>+EJECUTADO[[#This Row],[MONTO SOLICITADO]]-EJECUTADO[[#This Row],[RETENCION IVA]]-EJECUTADO[[#This Row],[RETENCION ISR]]</f>
        <v>0</v>
      </c>
      <c r="Q1141" s="84" t="s">
        <v>2521</v>
      </c>
      <c r="R1141" s="84"/>
      <c r="S1141">
        <v>1</v>
      </c>
      <c r="T1141" s="168" t="str">
        <f t="shared" si="42"/>
        <v>CAPACITACIÓN AL PERSONAL - Otras capacitaciones Disponible $5577.6 Solicitado $ PRESUPUESTO: SI</v>
      </c>
    </row>
    <row r="1142" spans="1:20" ht="90" x14ac:dyDescent="0.25">
      <c r="A1142" s="6">
        <f t="shared" si="43"/>
        <v>1052</v>
      </c>
      <c r="B1142" s="21">
        <v>45301</v>
      </c>
      <c r="C1142" s="158" t="s">
        <v>2688</v>
      </c>
      <c r="D1142" s="65" t="s">
        <v>2689</v>
      </c>
      <c r="E1142" s="65" t="s">
        <v>2690</v>
      </c>
      <c r="F1142" t="s">
        <v>1183</v>
      </c>
      <c r="G1142" s="161">
        <f>MONTH(EJECUTADO[[#This Row],[FECHA]])</f>
        <v>1</v>
      </c>
      <c r="H1142" s="163" t="str">
        <f>MID(EJECUTADO[[#This Row],[CUENTA]],1,4)</f>
        <v>E-22</v>
      </c>
      <c r="I1142" s="163" t="str">
        <f>INDEX(CATALOGO[Descripción],MATCH(EJECUTADO[[#This Row],[APLICACIÓN]]&amp;"-00-00-00",CATALOGO[Código],0))</f>
        <v>CAPACITACIÓN AL PERSONAL</v>
      </c>
      <c r="J11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1142" s="161" t="str">
        <f>IF((EJECUTADO[[#This Row],[MONTO DISPONIBLE ]]-EJECUTADO[[#This Row],[MONTO SOLICITADO]])&gt;=0,"PRESUPUESTO: SI","PRESUPUESTO: NO")</f>
        <v>PRESUPUESTO: SI</v>
      </c>
      <c r="L1142" s="162">
        <f>SUMIF(PRESUPUESTO[CUENTA],EJECUTADO[[#This Row],[CUENTA]],PRESUPUESTO[MONTO])-SUMIF($F$1:F1141,EJECUTADO[[#This Row],[CUENTA]],$M$1:M1141)</f>
        <v>5577.6</v>
      </c>
      <c r="M1142" s="2">
        <v>632.79999999999995</v>
      </c>
      <c r="N1142" s="84">
        <v>72.8</v>
      </c>
      <c r="O1142" s="84">
        <v>112</v>
      </c>
      <c r="P1142" s="162">
        <f>+EJECUTADO[[#This Row],[MONTO SOLICITADO]]-EJECUTADO[[#This Row],[RETENCION IVA]]-EJECUTADO[[#This Row],[RETENCION ISR]]</f>
        <v>448</v>
      </c>
      <c r="Q1142" s="84" t="s">
        <v>2521</v>
      </c>
      <c r="R1142" s="84"/>
      <c r="S1142">
        <v>1</v>
      </c>
      <c r="T1142" s="168" t="str">
        <f t="shared" si="42"/>
        <v>CAPACITACIÓN AL PERSONAL - Otras capacitaciones Disponible $5577.6 Solicitado $632.8 PRESUPUESTO: SI</v>
      </c>
    </row>
    <row r="1143" spans="1:20" ht="90" x14ac:dyDescent="0.25">
      <c r="A1143" s="6">
        <f t="shared" si="43"/>
        <v>1053</v>
      </c>
      <c r="B1143" s="21">
        <v>45313</v>
      </c>
      <c r="C1143" s="158" t="s">
        <v>1717</v>
      </c>
      <c r="D1143" s="65" t="s">
        <v>2691</v>
      </c>
      <c r="E1143" s="65" t="s">
        <v>2692</v>
      </c>
      <c r="F1143" t="s">
        <v>2693</v>
      </c>
      <c r="G1143" s="161">
        <f>MONTH(EJECUTADO[[#This Row],[FECHA]])</f>
        <v>1</v>
      </c>
      <c r="H1143" s="163" t="str">
        <f>MID(EJECUTADO[[#This Row],[CUENTA]],1,4)</f>
        <v>E-08</v>
      </c>
      <c r="I1143" s="163" t="str">
        <f>INDEX(CATALOGO[Descripción],MATCH(EJECUTADO[[#This Row],[APLICACIÓN]]&amp;"-00-00-00",CATALOGO[Código],0))</f>
        <v>INVERSIONES Y PROYECTOS ESPECIALES</v>
      </c>
      <c r="J11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EGRESOS NO PRESUPUESTADOS</v>
      </c>
      <c r="K1143" s="161" t="str">
        <f>IF((EJECUTADO[[#This Row],[MONTO DISPONIBLE ]]-EJECUTADO[[#This Row],[MONTO SOLICITADO]])&gt;=0,"PRESUPUESTO: SI","PRESUPUESTO: NO")</f>
        <v>PRESUPUESTO: NO</v>
      </c>
      <c r="L1143" s="162">
        <f>SUMIF(PRESUPUESTO[CUENTA],EJECUTADO[[#This Row],[CUENTA]],PRESUPUESTO[MONTO])-SUMIF($F$1:F1142,EJECUTADO[[#This Row],[CUENTA]],$M$1:M1142)</f>
        <v>0</v>
      </c>
      <c r="M1143" s="2">
        <v>2260</v>
      </c>
      <c r="N1143" s="84">
        <v>20</v>
      </c>
      <c r="O1143" s="84">
        <v>200</v>
      </c>
      <c r="P1143" s="162">
        <f>+EJECUTADO[[#This Row],[MONTO SOLICITADO]]-EJECUTADO[[#This Row],[RETENCION IVA]]-EJECUTADO[[#This Row],[RETENCION ISR]]</f>
        <v>2040</v>
      </c>
      <c r="Q1143" s="84" t="s">
        <v>2521</v>
      </c>
      <c r="R1143" s="84"/>
      <c r="S1143">
        <v>1</v>
      </c>
      <c r="T1143" s="168" t="str">
        <f t="shared" si="42"/>
        <v>INVERSIONES Y PROYECTOS ESPECIALES - EGRESOS NO PRESUPUESTADOS Disponible $0 Solicitado $2260 PRESUPUESTO: NO</v>
      </c>
    </row>
    <row r="1144" spans="1:20" ht="150" x14ac:dyDescent="0.25">
      <c r="A1144" s="6">
        <f t="shared" si="43"/>
        <v>1054</v>
      </c>
      <c r="B1144" s="21">
        <v>45321</v>
      </c>
      <c r="C1144" s="158" t="s">
        <v>2694</v>
      </c>
      <c r="D1144" s="65" t="s">
        <v>2695</v>
      </c>
      <c r="E1144" s="65" t="s">
        <v>2696</v>
      </c>
      <c r="F1144" t="s">
        <v>2697</v>
      </c>
      <c r="G1144" s="161">
        <f>MONTH(EJECUTADO[[#This Row],[FECHA]])</f>
        <v>1</v>
      </c>
      <c r="H1144" s="163" t="str">
        <f>MID(EJECUTADO[[#This Row],[CUENTA]],1,4)</f>
        <v>E-21</v>
      </c>
      <c r="I1144" s="163" t="str">
        <f>INDEX(CATALOGO[Descripción],MATCH(EJECUTADO[[#This Row],[APLICACIÓN]]&amp;"-00-00-00",CATALOGO[Código],0))</f>
        <v>CENTRO DE FORMACION PROFESIONAL y EXT U</v>
      </c>
      <c r="J11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Diplomados FICA - POSTGRADO CAMPUS VIRTUAL</v>
      </c>
      <c r="K1144" s="161" t="str">
        <f>IF((EJECUTADO[[#This Row],[MONTO DISPONIBLE ]]-EJECUTADO[[#This Row],[MONTO SOLICITADO]])&gt;=0,"PRESUPUESTO: SI","PRESUPUESTO: NO")</f>
        <v>PRESUPUESTO: SI</v>
      </c>
      <c r="L1144" s="162">
        <f>SUMIF(PRESUPUESTO[CUENTA],EJECUTADO[[#This Row],[CUENTA]],PRESUPUESTO[MONTO])-SUMIF($F$1:F1143,EJECUTADO[[#This Row],[CUENTA]],$M$1:M1143)</f>
        <v>8700</v>
      </c>
      <c r="M1144" s="2">
        <v>360</v>
      </c>
      <c r="N1144" s="84"/>
      <c r="O1144" s="84">
        <v>36</v>
      </c>
      <c r="P1144" s="162">
        <f>+EJECUTADO[[#This Row],[MONTO SOLICITADO]]-EJECUTADO[[#This Row],[RETENCION IVA]]-EJECUTADO[[#This Row],[RETENCION ISR]]</f>
        <v>324</v>
      </c>
      <c r="Q1144" s="84" t="s">
        <v>2521</v>
      </c>
      <c r="R1144" s="84"/>
      <c r="S1144">
        <v>1</v>
      </c>
      <c r="T1144" s="168" t="str">
        <f t="shared" si="42"/>
        <v>CENTRO DE FORMACION PROFESIONAL y EXT U - Diplomados FICA - POSTGRADO CAMPUS VIRTUAL Disponible $8700 Solicitado $360 PRESUPUESTO: SI</v>
      </c>
    </row>
    <row r="1145" spans="1:20" ht="210" x14ac:dyDescent="0.25">
      <c r="A1145" s="6">
        <f t="shared" si="43"/>
        <v>1055</v>
      </c>
      <c r="B1145" s="21">
        <v>45321</v>
      </c>
      <c r="C1145" s="158" t="s">
        <v>2698</v>
      </c>
      <c r="D1145" s="65" t="s">
        <v>2699</v>
      </c>
      <c r="E1145" s="65" t="s">
        <v>2700</v>
      </c>
      <c r="F1145" t="s">
        <v>2701</v>
      </c>
      <c r="G1145" s="161">
        <f>MONTH(EJECUTADO[[#This Row],[FECHA]])</f>
        <v>1</v>
      </c>
      <c r="H1145" s="163" t="str">
        <f>MID(EJECUTADO[[#This Row],[CUENTA]],1,4)</f>
        <v>E-22</v>
      </c>
      <c r="I1145" s="163" t="str">
        <f>INDEX(CATALOGO[Descripción],MATCH(EJECUTADO[[#This Row],[APLICACIÓN]]&amp;"-00-00-00",CATALOGO[Código],0))</f>
        <v>CAPACITACIÓN AL PERSONAL</v>
      </c>
      <c r="J11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Capacitaciones varias</v>
      </c>
      <c r="K1145" s="161" t="str">
        <f>IF((EJECUTADO[[#This Row],[MONTO DISPONIBLE ]]-EJECUTADO[[#This Row],[MONTO SOLICITADO]])&gt;=0,"PRESUPUESTO: SI","PRESUPUESTO: NO")</f>
        <v>PRESUPUESTO: NO</v>
      </c>
      <c r="L1145" s="162">
        <f>SUMIF(PRESUPUESTO[CUENTA],EJECUTADO[[#This Row],[CUENTA]],PRESUPUESTO[MONTO])-SUMIF($F$1:F1144,EJECUTADO[[#This Row],[CUENTA]],$M$1:M1144)</f>
        <v>500</v>
      </c>
      <c r="M1145" s="2">
        <v>3955</v>
      </c>
      <c r="N1145" s="84">
        <v>455</v>
      </c>
      <c r="O1145" s="84">
        <v>700</v>
      </c>
      <c r="P1145" s="162">
        <f>+EJECUTADO[[#This Row],[MONTO SOLICITADO]]-EJECUTADO[[#This Row],[RETENCION IVA]]-EJECUTADO[[#This Row],[RETENCION ISR]]</f>
        <v>2800</v>
      </c>
      <c r="Q1145" s="84"/>
      <c r="R1145" s="84"/>
      <c r="S1145">
        <v>1</v>
      </c>
      <c r="T1145" s="168" t="str">
        <f t="shared" si="42"/>
        <v>CAPACITACIÓN AL PERSONAL - FCCS - Capacitaciones varias Disponible $500 Solicitado $3955 PRESUPUESTO: NO</v>
      </c>
    </row>
    <row r="1146" spans="1:20" ht="105" x14ac:dyDescent="0.25">
      <c r="A1146" s="6">
        <f t="shared" si="43"/>
        <v>1056</v>
      </c>
      <c r="B1146" s="21">
        <v>45321</v>
      </c>
      <c r="C1146" s="158" t="s">
        <v>2702</v>
      </c>
      <c r="D1146" s="65" t="s">
        <v>2703</v>
      </c>
      <c r="E1146" s="65" t="s">
        <v>2704</v>
      </c>
      <c r="F1146" t="s">
        <v>2701</v>
      </c>
      <c r="G1146" s="161">
        <f>MONTH(EJECUTADO[[#This Row],[FECHA]])</f>
        <v>1</v>
      </c>
      <c r="H1146" s="163" t="str">
        <f>MID(EJECUTADO[[#This Row],[CUENTA]],1,4)</f>
        <v>E-22</v>
      </c>
      <c r="I1146" s="163" t="str">
        <f>INDEX(CATALOGO[Descripción],MATCH(EJECUTADO[[#This Row],[APLICACIÓN]]&amp;"-00-00-00",CATALOGO[Código],0))</f>
        <v>CAPACITACIÓN AL PERSONAL</v>
      </c>
      <c r="J11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Capacitaciones varias</v>
      </c>
      <c r="K1146" s="161" t="str">
        <f>IF((EJECUTADO[[#This Row],[MONTO DISPONIBLE ]]-EJECUTADO[[#This Row],[MONTO SOLICITADO]])&gt;=0,"PRESUPUESTO: SI","PRESUPUESTO: NO")</f>
        <v>PRESUPUESTO: NO</v>
      </c>
      <c r="L1146" s="162">
        <f>SUMIF(PRESUPUESTO[CUENTA],EJECUTADO[[#This Row],[CUENTA]],PRESUPUESTO[MONTO])-SUMIF($F$1:F1145,EJECUTADO[[#This Row],[CUENTA]],$M$1:M1145)</f>
        <v>-3455</v>
      </c>
      <c r="M1146" s="2">
        <v>28.25</v>
      </c>
      <c r="N1146" s="84"/>
      <c r="O1146" s="84"/>
      <c r="P1146" s="162">
        <f>+EJECUTADO[[#This Row],[MONTO SOLICITADO]]-EJECUTADO[[#This Row],[RETENCION IVA]]-EJECUTADO[[#This Row],[RETENCION ISR]]</f>
        <v>28.25</v>
      </c>
      <c r="Q1146" s="84"/>
      <c r="R1146" s="84"/>
      <c r="S1146">
        <v>1</v>
      </c>
      <c r="T1146" s="168" t="str">
        <f t="shared" si="42"/>
        <v>CAPACITACIÓN AL PERSONAL - FCCS - Capacitaciones varias Disponible $-3455 Solicitado $28.25 PRESUPUESTO: NO</v>
      </c>
    </row>
    <row r="1147" spans="1:20" ht="180" x14ac:dyDescent="0.25">
      <c r="A1147" s="6">
        <f t="shared" si="43"/>
        <v>1057</v>
      </c>
      <c r="B1147" s="21">
        <v>45321</v>
      </c>
      <c r="C1147" s="158" t="s">
        <v>2705</v>
      </c>
      <c r="D1147" s="65" t="s">
        <v>2706</v>
      </c>
      <c r="E1147" s="65" t="s">
        <v>2707</v>
      </c>
      <c r="F1147" t="s">
        <v>2697</v>
      </c>
      <c r="G1147" s="161">
        <f>MONTH(EJECUTADO[[#This Row],[FECHA]])</f>
        <v>1</v>
      </c>
      <c r="H1147" s="163" t="str">
        <f>MID(EJECUTADO[[#This Row],[CUENTA]],1,4)</f>
        <v>E-21</v>
      </c>
      <c r="I1147" s="163" t="str">
        <f>INDEX(CATALOGO[Descripción],MATCH(EJECUTADO[[#This Row],[APLICACIÓN]]&amp;"-00-00-00",CATALOGO[Código],0))</f>
        <v>CENTRO DE FORMACION PROFESIONAL y EXT U</v>
      </c>
      <c r="J11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Diplomados FICA - POSTGRADO CAMPUS VIRTUAL</v>
      </c>
      <c r="K1147" s="161" t="str">
        <f>IF((EJECUTADO[[#This Row],[MONTO DISPONIBLE ]]-EJECUTADO[[#This Row],[MONTO SOLICITADO]])&gt;=0,"PRESUPUESTO: SI","PRESUPUESTO: NO")</f>
        <v>PRESUPUESTO: SI</v>
      </c>
      <c r="L1147" s="162">
        <f>SUMIF(PRESUPUESTO[CUENTA],EJECUTADO[[#This Row],[CUENTA]],PRESUPUESTO[MONTO])-SUMIF($F$1:F1146,EJECUTADO[[#This Row],[CUENTA]],$M$1:M1146)</f>
        <v>8340</v>
      </c>
      <c r="M1147" s="2">
        <v>360</v>
      </c>
      <c r="N1147" s="84"/>
      <c r="O1147" s="84">
        <v>36</v>
      </c>
      <c r="P1147" s="162">
        <f>+EJECUTADO[[#This Row],[MONTO SOLICITADO]]-EJECUTADO[[#This Row],[RETENCION IVA]]-EJECUTADO[[#This Row],[RETENCION ISR]]</f>
        <v>324</v>
      </c>
      <c r="Q1147" s="84"/>
      <c r="R1147" s="84"/>
      <c r="S1147">
        <v>1</v>
      </c>
      <c r="T1147" s="168" t="str">
        <f t="shared" si="42"/>
        <v>CENTRO DE FORMACION PROFESIONAL y EXT U - Diplomados FICA - POSTGRADO CAMPUS VIRTUAL Disponible $8340 Solicitado $360 PRESUPUESTO: SI</v>
      </c>
    </row>
    <row r="1148" spans="1:20" ht="150" x14ac:dyDescent="0.25">
      <c r="A1148" s="6">
        <f t="shared" si="43"/>
        <v>1058</v>
      </c>
      <c r="B1148" s="21">
        <v>45355</v>
      </c>
      <c r="C1148" s="158" t="s">
        <v>2708</v>
      </c>
      <c r="D1148" s="65" t="s">
        <v>2709</v>
      </c>
      <c r="E1148" s="65" t="s">
        <v>2710</v>
      </c>
      <c r="F1148" t="s">
        <v>1827</v>
      </c>
      <c r="G1148" s="161">
        <f>MONTH(EJECUTADO[[#This Row],[FECHA]])</f>
        <v>3</v>
      </c>
      <c r="H1148" s="163" t="str">
        <f>MID(EJECUTADO[[#This Row],[CUENTA]],1,4)</f>
        <v>E-07</v>
      </c>
      <c r="I1148" s="163" t="str">
        <f>INDEX(CATALOGO[Descripción],MATCH(EJECUTADO[[#This Row],[APLICACIÓN]]&amp;"-00-00-00",CATALOGO[Código],0))</f>
        <v>SERVICIOS TECNOLOGICOS</v>
      </c>
      <c r="J11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Campus Agreement - Microsoft- Open Value- incluye IT Academy, Microsoft - 1 PACK mos Microsof y MTA FICA- Autodesk FICA- GBM Ampliación A-3E-3 e inteligencia de negocios. Licencia Active Directory premium nube de Azure</v>
      </c>
      <c r="K1148" s="161" t="str">
        <f>IF((EJECUTADO[[#This Row],[MONTO DISPONIBLE ]]-EJECUTADO[[#This Row],[MONTO SOLICITADO]])&gt;=0,"PRESUPUESTO: SI","PRESUPUESTO: NO")</f>
        <v>PRESUPUESTO: SI</v>
      </c>
      <c r="L1148" s="162">
        <f>SUMIF(PRESUPUESTO[CUENTA],EJECUTADO[[#This Row],[CUENTA]],PRESUPUESTO[MONTO])-SUMIF($F$1:F1147,EJECUTADO[[#This Row],[CUENTA]],$M$1:M1147)</f>
        <v>100281.85</v>
      </c>
      <c r="M1148" s="2">
        <v>5689.9</v>
      </c>
      <c r="N1148" s="84"/>
      <c r="O1148" s="84"/>
      <c r="P1148" s="162">
        <f>+EJECUTADO[[#This Row],[MONTO SOLICITADO]]-EJECUTADO[[#This Row],[RETENCION IVA]]-EJECUTADO[[#This Row],[RETENCION ISR]]</f>
        <v>5689.9</v>
      </c>
      <c r="Q1148" s="84"/>
      <c r="R1148" s="84"/>
      <c r="S1148">
        <v>1</v>
      </c>
      <c r="T1148" s="168" t="str">
        <f t="shared" si="42"/>
        <v>SERVICIOS TECNOLOGICOS - Campus Agreement - Microsoft- Open Value- incluye IT Academy, Microsoft - 1 PACK mos Microsof y MTA FICA- Autodesk FICA- GBM Ampliación A-3E-3 e inteligencia de negocios. Licencia Active Directory premium nube de Azure Disponible $100281.85 Solicitado $5689.9 PRESUPUESTO: SI</v>
      </c>
    </row>
    <row r="1149" spans="1:20" ht="90" x14ac:dyDescent="0.25">
      <c r="A1149" s="6">
        <f t="shared" si="43"/>
        <v>1059</v>
      </c>
      <c r="B1149" s="21">
        <v>45355</v>
      </c>
      <c r="C1149" s="158" t="s">
        <v>2708</v>
      </c>
      <c r="D1149" s="65" t="s">
        <v>2711</v>
      </c>
      <c r="E1149" s="65" t="s">
        <v>2712</v>
      </c>
      <c r="F1149" t="s">
        <v>1827</v>
      </c>
      <c r="G1149" s="161">
        <f>MONTH(EJECUTADO[[#This Row],[FECHA]])</f>
        <v>3</v>
      </c>
      <c r="H1149" s="163" t="str">
        <f>MID(EJECUTADO[[#This Row],[CUENTA]],1,4)</f>
        <v>E-07</v>
      </c>
      <c r="I1149" s="163" t="str">
        <f>INDEX(CATALOGO[Descripción],MATCH(EJECUTADO[[#This Row],[APLICACIÓN]]&amp;"-00-00-00",CATALOGO[Código],0))</f>
        <v>SERVICIOS TECNOLOGICOS</v>
      </c>
      <c r="J11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Campus Agreement - Microsoft- Open Value- incluye IT Academy, Microsoft - 1 PACK mos Microsof y MTA FICA- Autodesk FICA- GBM Ampliación A-3E-3 e inteligencia de negocios. Licencia Active Directory premium nube de Azure</v>
      </c>
      <c r="K1149" s="161" t="str">
        <f>IF((EJECUTADO[[#This Row],[MONTO DISPONIBLE ]]-EJECUTADO[[#This Row],[MONTO SOLICITADO]])&gt;=0,"PRESUPUESTO: SI","PRESUPUESTO: NO")</f>
        <v>PRESUPUESTO: SI</v>
      </c>
      <c r="L1149" s="162">
        <f>SUMIF(PRESUPUESTO[CUENTA],EJECUTADO[[#This Row],[CUENTA]],PRESUPUESTO[MONTO])-SUMIF($F$1:F1148,EJECUTADO[[#This Row],[CUENTA]],$M$1:M1148)</f>
        <v>94591.95</v>
      </c>
      <c r="M1149" s="2">
        <v>28.25</v>
      </c>
      <c r="N1149" s="84"/>
      <c r="O1149" s="84"/>
      <c r="P1149" s="162">
        <f>+EJECUTADO[[#This Row],[MONTO SOLICITADO]]-EJECUTADO[[#This Row],[RETENCION IVA]]-EJECUTADO[[#This Row],[RETENCION ISR]]</f>
        <v>28.25</v>
      </c>
      <c r="Q1149" s="84"/>
      <c r="R1149" s="84"/>
      <c r="S1149">
        <v>1</v>
      </c>
      <c r="T1149" s="168" t="str">
        <f t="shared" si="42"/>
        <v>SERVICIOS TECNOLOGICOS - Campus Agreement - Microsoft- Open Value- incluye IT Academy, Microsoft - 1 PACK mos Microsof y MTA FICA- Autodesk FICA- GBM Ampliación A-3E-3 e inteligencia de negocios. Licencia Active Directory premium nube de Azure Disponible $94591.95 Solicitado $28.25 PRESUPUESTO: SI</v>
      </c>
    </row>
    <row r="1150" spans="1:20" ht="150" x14ac:dyDescent="0.25">
      <c r="A1150" s="6">
        <f t="shared" si="43"/>
        <v>1060</v>
      </c>
      <c r="B1150" s="21">
        <v>45321</v>
      </c>
      <c r="C1150" s="158" t="s">
        <v>2713</v>
      </c>
      <c r="D1150" s="65" t="s">
        <v>2713</v>
      </c>
      <c r="E1150" s="65" t="s">
        <v>2714</v>
      </c>
      <c r="F1150" t="s">
        <v>1638</v>
      </c>
      <c r="G1150" s="161">
        <f>MONTH(EJECUTADO[[#This Row],[FECHA]])</f>
        <v>1</v>
      </c>
      <c r="H1150" s="163" t="str">
        <f>MID(EJECUTADO[[#This Row],[CUENTA]],1,4)</f>
        <v>E-22</v>
      </c>
      <c r="I1150" s="163" t="str">
        <f>INDEX(CATALOGO[Descripción],MATCH(EJECUTADO[[#This Row],[APLICACIÓN]]&amp;"-00-00-00",CATALOGO[Código],0))</f>
        <v>CAPACITACIÓN AL PERSONAL</v>
      </c>
      <c r="J11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150" s="161" t="str">
        <f>IF((EJECUTADO[[#This Row],[MONTO DISPONIBLE ]]-EJECUTADO[[#This Row],[MONTO SOLICITADO]])&gt;=0,"PRESUPUESTO: SI","PRESUPUESTO: NO")</f>
        <v>PRESUPUESTO: SI</v>
      </c>
      <c r="L1150" s="162">
        <f>SUMIF(PRESUPUESTO[CUENTA],EJECUTADO[[#This Row],[CUENTA]],PRESUPUESTO[MONTO])-SUMIF($F$1:F1149,EJECUTADO[[#This Row],[CUENTA]],$M$1:M1149)</f>
        <v>19745.649999999998</v>
      </c>
      <c r="M1150" s="2">
        <v>507.54</v>
      </c>
      <c r="N1150" s="84"/>
      <c r="O1150" s="84"/>
      <c r="P1150" s="162">
        <f>+EJECUTADO[[#This Row],[MONTO SOLICITADO]]-EJECUTADO[[#This Row],[RETENCION IVA]]-EJECUTADO[[#This Row],[RETENCION ISR]]</f>
        <v>507.54</v>
      </c>
      <c r="Q1150" s="84"/>
      <c r="R1150" s="84"/>
      <c r="S1150">
        <v>1</v>
      </c>
      <c r="T1150" s="168" t="str">
        <f t="shared" si="42"/>
        <v>CAPACITACIÓN AL PERSONAL - Cohorte No. 2 (10 participantes) año 1 Disponible $19745.65 Solicitado $507.54 PRESUPUESTO: SI</v>
      </c>
    </row>
    <row r="1151" spans="1:20" ht="150" x14ac:dyDescent="0.25">
      <c r="A1151" s="6">
        <f t="shared" si="43"/>
        <v>1061</v>
      </c>
      <c r="B1151" s="21">
        <v>45321</v>
      </c>
      <c r="C1151" s="158" t="s">
        <v>2715</v>
      </c>
      <c r="D1151" s="65" t="s">
        <v>2715</v>
      </c>
      <c r="E1151" s="65" t="s">
        <v>2716</v>
      </c>
      <c r="F1151" t="s">
        <v>1638</v>
      </c>
      <c r="G1151" s="161">
        <f>MONTH(EJECUTADO[[#This Row],[FECHA]])</f>
        <v>1</v>
      </c>
      <c r="H1151" s="163" t="str">
        <f>MID(EJECUTADO[[#This Row],[CUENTA]],1,4)</f>
        <v>E-22</v>
      </c>
      <c r="I1151" s="163" t="str">
        <f>INDEX(CATALOGO[Descripción],MATCH(EJECUTADO[[#This Row],[APLICACIÓN]]&amp;"-00-00-00",CATALOGO[Código],0))</f>
        <v>CAPACITACIÓN AL PERSONAL</v>
      </c>
      <c r="J11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151" s="161" t="str">
        <f>IF((EJECUTADO[[#This Row],[MONTO DISPONIBLE ]]-EJECUTADO[[#This Row],[MONTO SOLICITADO]])&gt;=0,"PRESUPUESTO: SI","PRESUPUESTO: NO")</f>
        <v>PRESUPUESTO: SI</v>
      </c>
      <c r="L1151" s="162">
        <f>SUMIF(PRESUPUESTO[CUENTA],EJECUTADO[[#This Row],[CUENTA]],PRESUPUESTO[MONTO])-SUMIF($F$1:F1150,EJECUTADO[[#This Row],[CUENTA]],$M$1:M1150)</f>
        <v>19238.11</v>
      </c>
      <c r="M1151" s="2">
        <v>676.72</v>
      </c>
      <c r="N1151" s="84"/>
      <c r="O1151" s="84"/>
      <c r="P1151" s="162">
        <f>+EJECUTADO[[#This Row],[MONTO SOLICITADO]]-EJECUTADO[[#This Row],[RETENCION IVA]]-EJECUTADO[[#This Row],[RETENCION ISR]]</f>
        <v>676.72</v>
      </c>
      <c r="Q1151" s="84"/>
      <c r="R1151" s="84"/>
      <c r="S1151">
        <v>1</v>
      </c>
      <c r="T1151" s="168" t="str">
        <f t="shared" si="42"/>
        <v>CAPACITACIÓN AL PERSONAL - Cohorte No. 2 (10 participantes) año 1 Disponible $19238.11 Solicitado $676.72 PRESUPUESTO: SI</v>
      </c>
    </row>
    <row r="1152" spans="1:20" ht="104.25" customHeight="1" x14ac:dyDescent="0.25">
      <c r="A1152" s="115">
        <f t="shared" si="43"/>
        <v>1062</v>
      </c>
      <c r="B1152" s="118">
        <v>45371</v>
      </c>
      <c r="C1152" s="129" t="s">
        <v>2717</v>
      </c>
      <c r="D1152" s="65" t="s">
        <v>2718</v>
      </c>
      <c r="E1152" s="65" t="s">
        <v>2719</v>
      </c>
      <c r="F1152" t="s">
        <v>1374</v>
      </c>
      <c r="G1152" s="161">
        <f>MONTH(EJECUTADO[[#This Row],[FECHA]])</f>
        <v>3</v>
      </c>
      <c r="H1152" s="163" t="str">
        <f>MID(EJECUTADO[[#This Row],[CUENTA]],1,4)</f>
        <v>E-19</v>
      </c>
      <c r="I1152" s="163" t="str">
        <f>INDEX(CATALOGO[Descripción],MATCH(EJECUTADO[[#This Row],[APLICACIÓN]]&amp;"-00-00-00",CATALOGO[Código],0))</f>
        <v>MANTENIMIENTO</v>
      </c>
      <c r="J11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Materiales Mantenimiento A/A</v>
      </c>
      <c r="K1152" s="161" t="str">
        <f>IF((EJECUTADO[[#This Row],[MONTO DISPONIBLE ]]-EJECUTADO[[#This Row],[MONTO SOLICITADO]])&gt;=0,"PRESUPUESTO: SI","PRESUPUESTO: NO")</f>
        <v>PRESUPUESTO: SI</v>
      </c>
      <c r="L1152" s="162">
        <f>SUMIF(PRESUPUESTO[CUENTA],EJECUTADO[[#This Row],[CUENTA]],PRESUPUESTO[MONTO])-SUMIF($F$1:F1151,EJECUTADO[[#This Row],[CUENTA]],$M$1:M1151)</f>
        <v>7334.49</v>
      </c>
      <c r="M1152" s="119">
        <v>515.57000000000005</v>
      </c>
      <c r="N1152" s="120"/>
      <c r="O1152" s="120"/>
      <c r="P1152" s="165">
        <f>+EJECUTADO[[#This Row],[MONTO SOLICITADO]]-EJECUTADO[[#This Row],[RETENCION IVA]]-EJECUTADO[[#This Row],[RETENCION ISR]]</f>
        <v>515.57000000000005</v>
      </c>
      <c r="Q1152" s="120" t="s">
        <v>1971</v>
      </c>
      <c r="R1152" s="120" t="s">
        <v>2111</v>
      </c>
      <c r="T1152" s="168" t="str">
        <f t="shared" si="42"/>
        <v>MANTENIMIENTO - Dir. Mantenimiento - Materiales Mantenimiento A/A Disponible $7334.49 Solicitado $515.57 PRESUPUESTO: SI</v>
      </c>
    </row>
    <row r="1153" spans="1:20" ht="63" customHeight="1" x14ac:dyDescent="0.25">
      <c r="A1153" s="115" t="s">
        <v>2720</v>
      </c>
      <c r="B1153" s="118">
        <v>45371</v>
      </c>
      <c r="C1153" s="129" t="s">
        <v>2717</v>
      </c>
      <c r="D1153" s="65" t="s">
        <v>2721</v>
      </c>
      <c r="E1153" s="65" t="s">
        <v>2722</v>
      </c>
      <c r="F1153" t="s">
        <v>1374</v>
      </c>
      <c r="G1153" s="161">
        <f>MONTH(EJECUTADO[[#This Row],[FECHA]])</f>
        <v>3</v>
      </c>
      <c r="H1153" s="163" t="str">
        <f>MID(EJECUTADO[[#This Row],[CUENTA]],1,4)</f>
        <v>E-19</v>
      </c>
      <c r="I1153" s="163" t="str">
        <f>INDEX(CATALOGO[Descripción],MATCH(EJECUTADO[[#This Row],[APLICACIÓN]]&amp;"-00-00-00",CATALOGO[Código],0))</f>
        <v>MANTENIMIENTO</v>
      </c>
      <c r="J11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Materiales Mantenimiento A/A</v>
      </c>
      <c r="K1153" s="161" t="str">
        <f>IF((EJECUTADO[[#This Row],[MONTO DISPONIBLE ]]-EJECUTADO[[#This Row],[MONTO SOLICITADO]])&gt;=0,"PRESUPUESTO: SI","PRESUPUESTO: NO")</f>
        <v>PRESUPUESTO: SI</v>
      </c>
      <c r="L1153" s="162">
        <f>SUMIF(PRESUPUESTO[CUENTA],EJECUTADO[[#This Row],[CUENTA]],PRESUPUESTO[MONTO])-SUMIF($F$1:F1152,EJECUTADO[[#This Row],[CUENTA]],$M$1:M1152)</f>
        <v>6818.92</v>
      </c>
      <c r="M1153" s="119">
        <v>122.01</v>
      </c>
      <c r="N1153" s="119"/>
      <c r="O1153" s="119"/>
      <c r="P1153" s="165">
        <f>+EJECUTADO[[#This Row],[MONTO SOLICITADO]]-EJECUTADO[[#This Row],[RETENCION IVA]]-EJECUTADO[[#This Row],[RETENCION ISR]]</f>
        <v>122.01</v>
      </c>
      <c r="Q1153" s="119" t="s">
        <v>1971</v>
      </c>
      <c r="R1153" s="119" t="s">
        <v>2111</v>
      </c>
      <c r="T1153" s="168" t="str">
        <f t="shared" si="42"/>
        <v>MANTENIMIENTO - Dir. Mantenimiento - Materiales Mantenimiento A/A Disponible $6818.92 Solicitado $122.01 PRESUPUESTO: SI</v>
      </c>
    </row>
    <row r="1154" spans="1:20" ht="105" x14ac:dyDescent="0.25">
      <c r="A1154" s="115">
        <f>+A1152+1</f>
        <v>1063</v>
      </c>
      <c r="B1154" s="118">
        <v>45371</v>
      </c>
      <c r="C1154" s="129" t="s">
        <v>2068</v>
      </c>
      <c r="D1154" s="116" t="s">
        <v>2723</v>
      </c>
      <c r="E1154" s="65" t="s">
        <v>2724</v>
      </c>
      <c r="F1154" t="s">
        <v>1582</v>
      </c>
      <c r="G1154" s="161">
        <f>MONTH(EJECUTADO[[#This Row],[FECHA]])</f>
        <v>3</v>
      </c>
      <c r="H1154" s="163" t="str">
        <f>MID(EJECUTADO[[#This Row],[CUENTA]],1,4)</f>
        <v>E-19</v>
      </c>
      <c r="I1154" s="163" t="str">
        <f>INDEX(CATALOGO[Descripción],MATCH(EJECUTADO[[#This Row],[APLICACIÓN]]&amp;"-00-00-00",CATALOGO[Código],0))</f>
        <v>MANTENIMIENTO</v>
      </c>
      <c r="J11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54" s="161" t="str">
        <f>IF((EJECUTADO[[#This Row],[MONTO DISPONIBLE ]]-EJECUTADO[[#This Row],[MONTO SOLICITADO]])&gt;=0,"PRESUPUESTO: SI","PRESUPUESTO: NO")</f>
        <v>PRESUPUESTO: SI</v>
      </c>
      <c r="L1154" s="162">
        <f>SUMIF(PRESUPUESTO[CUENTA],EJECUTADO[[#This Row],[CUENTA]],PRESUPUESTO[MONTO])-SUMIF($F$1:F1153,EJECUTADO[[#This Row],[CUENTA]],$M$1:M1153)</f>
        <v>4907.17</v>
      </c>
      <c r="M1154" s="119">
        <v>589.16999999999996</v>
      </c>
      <c r="N1154" s="120"/>
      <c r="O1154" s="120"/>
      <c r="P1154" s="165">
        <f>+EJECUTADO[[#This Row],[MONTO SOLICITADO]]-EJECUTADO[[#This Row],[RETENCION IVA]]-EJECUTADO[[#This Row],[RETENCION ISR]]</f>
        <v>589.16999999999996</v>
      </c>
      <c r="Q1154" s="119" t="s">
        <v>1971</v>
      </c>
      <c r="R1154" s="119" t="s">
        <v>2111</v>
      </c>
      <c r="T1154" s="168" t="str">
        <f t="shared" si="42"/>
        <v>MANTENIMIENTO - Dir. Mantenimiento - Materiales Eléctricos  Disponible $4907.17 Solicitado $589.17 PRESUPUESTO: SI</v>
      </c>
    </row>
    <row r="1155" spans="1:20" ht="50.25" customHeight="1" x14ac:dyDescent="0.25">
      <c r="A1155" s="115">
        <f t="shared" si="43"/>
        <v>1064</v>
      </c>
      <c r="B1155" s="118">
        <v>45371</v>
      </c>
      <c r="C1155" s="129" t="s">
        <v>2725</v>
      </c>
      <c r="D1155" s="116" t="s">
        <v>2726</v>
      </c>
      <c r="E1155" s="65" t="s">
        <v>2727</v>
      </c>
      <c r="F1155" t="s">
        <v>1275</v>
      </c>
      <c r="G1155" s="161">
        <f>MONTH(EJECUTADO[[#This Row],[FECHA]])</f>
        <v>3</v>
      </c>
      <c r="H1155" s="163" t="str">
        <f>MID(EJECUTADO[[#This Row],[CUENTA]],1,4)</f>
        <v>E-27</v>
      </c>
      <c r="I1155" s="163" t="str">
        <f>INDEX(CATALOGO[Descripción],MATCH(EJECUTADO[[#This Row],[APLICACIÓN]]&amp;"-00-00-00",CATALOGO[Código],0))</f>
        <v>INSUMOS DE OFICINA</v>
      </c>
      <c r="J11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1155" s="161" t="str">
        <f>IF((EJECUTADO[[#This Row],[MONTO DISPONIBLE ]]-EJECUTADO[[#This Row],[MONTO SOLICITADO]])&gt;=0,"PRESUPUESTO: SI","PRESUPUESTO: NO")</f>
        <v>PRESUPUESTO: SI</v>
      </c>
      <c r="L1155" s="162">
        <f>SUMIF(PRESUPUESTO[CUENTA],EJECUTADO[[#This Row],[CUENTA]],PRESUPUESTO[MONTO])-SUMIF($F$1:F1154,EJECUTADO[[#This Row],[CUENTA]],$M$1:M1154)</f>
        <v>43427.81</v>
      </c>
      <c r="M1155" s="119">
        <v>1130</v>
      </c>
      <c r="N1155" s="120">
        <v>10</v>
      </c>
      <c r="O1155" s="120"/>
      <c r="P1155" s="165">
        <f>+EJECUTADO[[#This Row],[MONTO SOLICITADO]]-EJECUTADO[[#This Row],[RETENCION IVA]]-EJECUTADO[[#This Row],[RETENCION ISR]]</f>
        <v>1120</v>
      </c>
      <c r="Q1155" s="119" t="s">
        <v>1971</v>
      </c>
      <c r="R1155" s="119" t="s">
        <v>2111</v>
      </c>
      <c r="T1155" s="168" t="str">
        <f t="shared" si="42"/>
        <v>INSUMOS DE OFICINA - PAPELERIA Y UTILES Disponible $43427.81 Solicitado $1130 PRESUPUESTO: SI</v>
      </c>
    </row>
    <row r="1156" spans="1:20" ht="135" x14ac:dyDescent="0.25">
      <c r="A1156" s="115">
        <f t="shared" si="43"/>
        <v>1065</v>
      </c>
      <c r="B1156" s="118">
        <v>45371</v>
      </c>
      <c r="C1156" s="129" t="s">
        <v>2728</v>
      </c>
      <c r="D1156" s="116" t="s">
        <v>2729</v>
      </c>
      <c r="E1156" s="65" t="s">
        <v>2730</v>
      </c>
      <c r="F1156" t="s">
        <v>1275</v>
      </c>
      <c r="G1156" s="161">
        <f>MONTH(EJECUTADO[[#This Row],[FECHA]])</f>
        <v>3</v>
      </c>
      <c r="H1156" s="163" t="str">
        <f>MID(EJECUTADO[[#This Row],[CUENTA]],1,4)</f>
        <v>E-27</v>
      </c>
      <c r="I1156" s="163" t="str">
        <f>INDEX(CATALOGO[Descripción],MATCH(EJECUTADO[[#This Row],[APLICACIÓN]]&amp;"-00-00-00",CATALOGO[Código],0))</f>
        <v>INSUMOS DE OFICINA</v>
      </c>
      <c r="J11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1156" s="161" t="str">
        <f>IF((EJECUTADO[[#This Row],[MONTO DISPONIBLE ]]-EJECUTADO[[#This Row],[MONTO SOLICITADO]])&gt;=0,"PRESUPUESTO: SI","PRESUPUESTO: NO")</f>
        <v>PRESUPUESTO: SI</v>
      </c>
      <c r="L1156" s="162">
        <f>SUMIF(PRESUPUESTO[CUENTA],EJECUTADO[[#This Row],[CUENTA]],PRESUPUESTO[MONTO])-SUMIF($F$1:F1155,EJECUTADO[[#This Row],[CUENTA]],$M$1:M1155)</f>
        <v>42297.81</v>
      </c>
      <c r="M1156" s="119">
        <v>259.2</v>
      </c>
      <c r="N1156" s="120"/>
      <c r="O1156" s="120"/>
      <c r="P1156" s="165">
        <f>+EJECUTADO[[#This Row],[MONTO SOLICITADO]]-EJECUTADO[[#This Row],[RETENCION IVA]]-EJECUTADO[[#This Row],[RETENCION ISR]]</f>
        <v>259.2</v>
      </c>
      <c r="Q1156" s="119" t="s">
        <v>1971</v>
      </c>
      <c r="R1156" s="119" t="s">
        <v>2111</v>
      </c>
      <c r="T1156" s="168" t="str">
        <f t="shared" si="42"/>
        <v>INSUMOS DE OFICINA - PAPELERIA Y UTILES Disponible $42297.81 Solicitado $259.2 PRESUPUESTO: SI</v>
      </c>
    </row>
    <row r="1157" spans="1:20" ht="135" x14ac:dyDescent="0.25">
      <c r="A1157" s="115">
        <f t="shared" si="43"/>
        <v>1066</v>
      </c>
      <c r="B1157" s="118">
        <v>45371</v>
      </c>
      <c r="C1157" s="129" t="s">
        <v>2326</v>
      </c>
      <c r="D1157" s="116" t="s">
        <v>2731</v>
      </c>
      <c r="E1157" s="65" t="s">
        <v>2732</v>
      </c>
      <c r="F1157" t="s">
        <v>2185</v>
      </c>
      <c r="G1157" s="161">
        <f>MONTH(EJECUTADO[[#This Row],[FECHA]])</f>
        <v>3</v>
      </c>
      <c r="H1157" s="163" t="str">
        <f>MID(EJECUTADO[[#This Row],[CUENTA]],1,4)</f>
        <v>A-34</v>
      </c>
      <c r="I1157" s="163" t="str">
        <f>INDEX(CATALOGO[Descripción],MATCH(EJECUTADO[[#This Row],[APLICACIÓN]]&amp;"-00-00-00",CATALOGO[Código],0))</f>
        <v>FONDOS AJENOS</v>
      </c>
      <c r="J11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1157" s="161" t="str">
        <f>IF((EJECUTADO[[#This Row],[MONTO DISPONIBLE ]]-EJECUTADO[[#This Row],[MONTO SOLICITADO]])&gt;=0,"PRESUPUESTO: SI","PRESUPUESTO: NO")</f>
        <v>PRESUPUESTO: SI</v>
      </c>
      <c r="L1157" s="162">
        <f>SUMIF(PRESUPUESTO[CUENTA],EJECUTADO[[#This Row],[CUENTA]],PRESUPUESTO[MONTO])-SUMIF($F$1:F1156,EJECUTADO[[#This Row],[CUENTA]],$M$1:M1156)</f>
        <v>14071.95</v>
      </c>
      <c r="M1157" s="119">
        <v>114.12</v>
      </c>
      <c r="N1157" s="120">
        <v>1.01</v>
      </c>
      <c r="O1157" s="120"/>
      <c r="P1157" s="165">
        <f>+EJECUTADO[[#This Row],[MONTO SOLICITADO]]-EJECUTADO[[#This Row],[RETENCION IVA]]-EJECUTADO[[#This Row],[RETENCION ISR]]</f>
        <v>113.11</v>
      </c>
      <c r="Q1157" s="119" t="s">
        <v>1971</v>
      </c>
      <c r="R1157" s="119" t="s">
        <v>2111</v>
      </c>
      <c r="T1157" s="168" t="str">
        <f t="shared" si="42"/>
        <v>FONDOS AJENOS - INGLES PARA UN FUTURO MEJOR Disponible $14071.95 Solicitado $114.12 PRESUPUESTO: SI</v>
      </c>
    </row>
    <row r="1158" spans="1:20" ht="75" x14ac:dyDescent="0.25">
      <c r="A1158" s="115">
        <f t="shared" si="43"/>
        <v>1067</v>
      </c>
      <c r="B1158" s="118">
        <v>45371</v>
      </c>
      <c r="C1158" s="129" t="s">
        <v>2733</v>
      </c>
      <c r="D1158" s="116" t="s">
        <v>2734</v>
      </c>
      <c r="E1158" s="65" t="s">
        <v>2735</v>
      </c>
      <c r="F1158" t="s">
        <v>1582</v>
      </c>
      <c r="G1158" s="161">
        <f>MONTH(EJECUTADO[[#This Row],[FECHA]])</f>
        <v>3</v>
      </c>
      <c r="H1158" s="163" t="str">
        <f>MID(EJECUTADO[[#This Row],[CUENTA]],1,4)</f>
        <v>E-19</v>
      </c>
      <c r="I1158" s="163" t="str">
        <f>INDEX(CATALOGO[Descripción],MATCH(EJECUTADO[[#This Row],[APLICACIÓN]]&amp;"-00-00-00",CATALOGO[Código],0))</f>
        <v>MANTENIMIENTO</v>
      </c>
      <c r="J11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58" s="161" t="str">
        <f>IF((EJECUTADO[[#This Row],[MONTO DISPONIBLE ]]-EJECUTADO[[#This Row],[MONTO SOLICITADO]])&gt;=0,"PRESUPUESTO: SI","PRESUPUESTO: NO")</f>
        <v>PRESUPUESTO: SI</v>
      </c>
      <c r="L1158" s="162">
        <f>SUMIF(PRESUPUESTO[CUENTA],EJECUTADO[[#This Row],[CUENTA]],PRESUPUESTO[MONTO])-SUMIF($F$1:F1157,EJECUTADO[[#This Row],[CUENTA]],$M$1:M1157)</f>
        <v>4318</v>
      </c>
      <c r="M1158" s="119">
        <v>885</v>
      </c>
      <c r="N1158" s="120">
        <v>7.83</v>
      </c>
      <c r="O1158" s="120"/>
      <c r="P1158" s="165">
        <f>+EJECUTADO[[#This Row],[MONTO SOLICITADO]]-EJECUTADO[[#This Row],[RETENCION IVA]]-EJECUTADO[[#This Row],[RETENCION ISR]]</f>
        <v>877.17</v>
      </c>
      <c r="Q1158" s="119" t="s">
        <v>1971</v>
      </c>
      <c r="R1158" s="119" t="s">
        <v>2111</v>
      </c>
      <c r="T1158" s="168" t="str">
        <f t="shared" si="42"/>
        <v>MANTENIMIENTO - Dir. Mantenimiento - Materiales Eléctricos  Disponible $4318 Solicitado $885 PRESUPUESTO: SI</v>
      </c>
    </row>
    <row r="1159" spans="1:20" ht="60" x14ac:dyDescent="0.25">
      <c r="A1159" s="6">
        <f t="shared" si="43"/>
        <v>1068</v>
      </c>
      <c r="B1159" s="21">
        <v>45371</v>
      </c>
      <c r="C1159" s="126" t="s">
        <v>2736</v>
      </c>
      <c r="D1159" s="116" t="s">
        <v>2737</v>
      </c>
      <c r="E1159" t="s">
        <v>2738</v>
      </c>
      <c r="F1159" t="s">
        <v>1211</v>
      </c>
      <c r="G1159" s="161">
        <f>MONTH(EJECUTADO[[#This Row],[FECHA]])</f>
        <v>3</v>
      </c>
      <c r="H1159" s="163" t="str">
        <f>MID(EJECUTADO[[#This Row],[CUENTA]],1,4)</f>
        <v>E-24</v>
      </c>
      <c r="I1159" s="163" t="str">
        <f>INDEX(CATALOGO[Descripción],MATCH(EJECUTADO[[#This Row],[APLICACIÓN]]&amp;"-00-00-00",CATALOGO[Código],0))</f>
        <v>NUEVO INGRESO</v>
      </c>
      <c r="J11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Servicio Energia Eléctrica  $ 300 X 12</v>
      </c>
      <c r="K1159" s="161" t="str">
        <f>IF((EJECUTADO[[#This Row],[MONTO DISPONIBLE ]]-EJECUTADO[[#This Row],[MONTO SOLICITADO]])&gt;=0,"PRESUPUESTO: SI","PRESUPUESTO: NO")</f>
        <v>PRESUPUESTO: SI</v>
      </c>
      <c r="L1159" s="162">
        <f>SUMIF(PRESUPUESTO[CUENTA],EJECUTADO[[#This Row],[CUENTA]],PRESUPUESTO[MONTO])-SUMIF($F$1:F1158,EJECUTADO[[#This Row],[CUENTA]],$M$1:M1158)</f>
        <v>3295.61</v>
      </c>
      <c r="M1159" s="2">
        <v>300.69</v>
      </c>
      <c r="N1159" s="84">
        <v>2.66</v>
      </c>
      <c r="O1159" s="84"/>
      <c r="P1159" s="162">
        <f>+EJECUTADO[[#This Row],[MONTO SOLICITADO]]-EJECUTADO[[#This Row],[RETENCION IVA]]-EJECUTADO[[#This Row],[RETENCION ISR]]</f>
        <v>298.02999999999997</v>
      </c>
      <c r="Q1159" s="84" t="s">
        <v>1786</v>
      </c>
      <c r="R1159" s="84"/>
      <c r="S1159" s="112">
        <v>3349</v>
      </c>
      <c r="T1159" s="168" t="str">
        <f t="shared" si="42"/>
        <v>NUEVO INGRESO - Metrocentro - Servicio Energia Eléctrica  $ 300 X 12 Disponible $3295.61 Solicitado $300.69 PRESUPUESTO: SI</v>
      </c>
    </row>
    <row r="1160" spans="1:20" ht="45" x14ac:dyDescent="0.25">
      <c r="A1160" s="6">
        <f t="shared" si="43"/>
        <v>1069</v>
      </c>
      <c r="B1160" s="21">
        <v>45371</v>
      </c>
      <c r="C1160" s="126" t="s">
        <v>2739</v>
      </c>
      <c r="D1160" s="65" t="s">
        <v>2740</v>
      </c>
      <c r="E1160" s="65" t="s">
        <v>2741</v>
      </c>
      <c r="F1160" t="s">
        <v>1991</v>
      </c>
      <c r="G1160" s="161">
        <f>MONTH(EJECUTADO[[#This Row],[FECHA]])</f>
        <v>3</v>
      </c>
      <c r="H1160" s="163" t="str">
        <f>MID(EJECUTADO[[#This Row],[CUENTA]],1,4)</f>
        <v>E-12</v>
      </c>
      <c r="I1160" s="163" t="str">
        <f>INDEX(CATALOGO[Descripción],MATCH(EJECUTADO[[#This Row],[APLICACIÓN]]&amp;"-00-00-00",CATALOGO[Código],0))</f>
        <v>PROYECCION SOCIAL</v>
      </c>
      <c r="J11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y actividades de Facultad Ciencias Sociales</v>
      </c>
      <c r="K1160" s="161" t="str">
        <f>IF((EJECUTADO[[#This Row],[MONTO DISPONIBLE ]]-EJECUTADO[[#This Row],[MONTO SOLICITADO]])&gt;=0,"PRESUPUESTO: SI","PRESUPUESTO: NO")</f>
        <v>PRESUPUESTO: SI</v>
      </c>
      <c r="L1160" s="162">
        <f>SUMIF(PRESUPUESTO[CUENTA],EJECUTADO[[#This Row],[CUENTA]],PRESUPUESTO[MONTO])-SUMIF($F$1:F1159,EJECUTADO[[#This Row],[CUENTA]],$M$1:M1159)</f>
        <v>1002.75</v>
      </c>
      <c r="M1160" s="2">
        <v>105</v>
      </c>
      <c r="N1160" s="84">
        <v>10.5</v>
      </c>
      <c r="O1160" s="84">
        <v>20</v>
      </c>
      <c r="P1160" s="162">
        <f>+EJECUTADO[[#This Row],[MONTO SOLICITADO]]-EJECUTADO[[#This Row],[RETENCION IVA]]-EJECUTADO[[#This Row],[RETENCION ISR]]</f>
        <v>74.5</v>
      </c>
      <c r="Q1160" s="84" t="s">
        <v>1786</v>
      </c>
      <c r="R1160" s="84"/>
      <c r="S1160" s="112">
        <v>3370</v>
      </c>
      <c r="T1160" s="168" t="str">
        <f t="shared" si="42"/>
        <v>PROYECCION SOCIAL - Proyectos y actividades de Facultad Ciencias Sociales Disponible $1002.75 Solicitado $105 PRESUPUESTO: SI</v>
      </c>
    </row>
    <row r="1161" spans="1:20" ht="90" x14ac:dyDescent="0.25">
      <c r="A1161" s="6">
        <f t="shared" si="43"/>
        <v>1070</v>
      </c>
      <c r="B1161" s="21">
        <v>45371</v>
      </c>
      <c r="C1161" s="126" t="s">
        <v>2742</v>
      </c>
      <c r="D1161" s="65" t="s">
        <v>2743</v>
      </c>
      <c r="E1161" s="65" t="s">
        <v>2744</v>
      </c>
      <c r="F1161" t="s">
        <v>1552</v>
      </c>
      <c r="G1161" s="161">
        <f>MONTH(EJECUTADO[[#This Row],[FECHA]])</f>
        <v>3</v>
      </c>
      <c r="H1161" s="163" t="str">
        <f>MID(EJECUTADO[[#This Row],[CUENTA]],1,4)</f>
        <v>E-11</v>
      </c>
      <c r="I1161" s="163" t="str">
        <f>INDEX(CATALOGO[Descripción],MATCH(EJECUTADO[[#This Row],[APLICACIÓN]]&amp;"-00-00-00",CATALOGO[Código],0))</f>
        <v>INVESTIGACIONES</v>
      </c>
      <c r="J11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1161" s="161" t="str">
        <f>IF((EJECUTADO[[#This Row],[MONTO DISPONIBLE ]]-EJECUTADO[[#This Row],[MONTO SOLICITADO]])&gt;=0,"PRESUPUESTO: SI","PRESUPUESTO: NO")</f>
        <v>PRESUPUESTO: SI</v>
      </c>
      <c r="L1161" s="162">
        <f>SUMIF(PRESUPUESTO[CUENTA],EJECUTADO[[#This Row],[CUENTA]],PRESUPUESTO[MONTO])-SUMIF($F$1:F1160,EJECUTADO[[#This Row],[CUENTA]],$M$1:M1160)</f>
        <v>27346.510000000002</v>
      </c>
      <c r="M1161" s="2">
        <v>1342</v>
      </c>
      <c r="N1161" s="84"/>
      <c r="O1161" s="84"/>
      <c r="P1161" s="162">
        <f>+EJECUTADO[[#This Row],[MONTO SOLICITADO]]-EJECUTADO[[#This Row],[RETENCION IVA]]-EJECUTADO[[#This Row],[RETENCION ISR]]</f>
        <v>1342</v>
      </c>
      <c r="Q1161" s="84" t="s">
        <v>1554</v>
      </c>
      <c r="R1161" s="84"/>
      <c r="S1161" s="112">
        <v>3363</v>
      </c>
      <c r="T1161" s="168" t="str">
        <f t="shared" si="42"/>
        <v>INVESTIGACIONES - Proyectos de investigación Disponible $27346.51 Solicitado $1342 PRESUPUESTO: SI</v>
      </c>
    </row>
    <row r="1162" spans="1:20" ht="45" x14ac:dyDescent="0.25">
      <c r="A1162" s="6">
        <f t="shared" si="43"/>
        <v>1071</v>
      </c>
      <c r="B1162" s="21">
        <v>45371</v>
      </c>
      <c r="C1162" s="126" t="s">
        <v>2272</v>
      </c>
      <c r="D1162" s="65" t="s">
        <v>2745</v>
      </c>
      <c r="E1162" s="65"/>
      <c r="G1162" s="161">
        <f>MONTH(EJECUTADO[[#This Row],[FECHA]])</f>
        <v>3</v>
      </c>
      <c r="H1162" s="163" t="str">
        <f>MID(EJECUTADO[[#This Row],[CUENTA]],1,4)</f>
        <v/>
      </c>
      <c r="I1162" s="163" t="e">
        <f>INDEX(CATALOGO[Descripción],MATCH(EJECUTADO[[#This Row],[APLICACIÓN]]&amp;"-00-00-00",CATALOGO[Código],0))</f>
        <v>#N/A</v>
      </c>
      <c r="J116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162" s="161" t="str">
        <f>IF((EJECUTADO[[#This Row],[MONTO DISPONIBLE ]]-EJECUTADO[[#This Row],[MONTO SOLICITADO]])&gt;=0,"PRESUPUESTO: SI","PRESUPUESTO: NO")</f>
        <v>PRESUPUESTO: NO</v>
      </c>
      <c r="L1162" s="162">
        <f>SUMIF(PRESUPUESTO[CUENTA],EJECUTADO[[#This Row],[CUENTA]],PRESUPUESTO[MONTO])-SUMIF($F$1:F1161,EJECUTADO[[#This Row],[CUENTA]],$M$1:M1161)</f>
        <v>0</v>
      </c>
      <c r="M1162" s="2">
        <v>394.72</v>
      </c>
      <c r="N1162" s="84"/>
      <c r="O1162" s="84"/>
      <c r="P1162" s="162">
        <f>+EJECUTADO[[#This Row],[MONTO SOLICITADO]]-EJECUTADO[[#This Row],[RETENCION IVA]]-EJECUTADO[[#This Row],[RETENCION ISR]]</f>
        <v>394.72</v>
      </c>
      <c r="Q1162" s="84" t="s">
        <v>1786</v>
      </c>
      <c r="R1162" s="84"/>
      <c r="S1162" s="112">
        <v>3351</v>
      </c>
      <c r="T1162" s="168" t="e">
        <f t="shared" si="42"/>
        <v>#N/A</v>
      </c>
    </row>
    <row r="1163" spans="1:20" ht="60" x14ac:dyDescent="0.25">
      <c r="A1163" s="6">
        <f t="shared" si="43"/>
        <v>1072</v>
      </c>
      <c r="B1163" s="21">
        <v>45371</v>
      </c>
      <c r="C1163" s="126" t="s">
        <v>2746</v>
      </c>
      <c r="D1163" s="65" t="s">
        <v>2747</v>
      </c>
      <c r="E1163" s="65"/>
      <c r="F1163" t="s">
        <v>1638</v>
      </c>
      <c r="G1163" s="161">
        <f>MONTH(EJECUTADO[[#This Row],[FECHA]])</f>
        <v>3</v>
      </c>
      <c r="H1163" s="163" t="str">
        <f>MID(EJECUTADO[[#This Row],[CUENTA]],1,4)</f>
        <v>E-22</v>
      </c>
      <c r="I1163" s="163" t="str">
        <f>INDEX(CATALOGO[Descripción],MATCH(EJECUTADO[[#This Row],[APLICACIÓN]]&amp;"-00-00-00",CATALOGO[Código],0))</f>
        <v>CAPACITACIÓN AL PERSONAL</v>
      </c>
      <c r="J11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163" s="161" t="str">
        <f>IF((EJECUTADO[[#This Row],[MONTO DISPONIBLE ]]-EJECUTADO[[#This Row],[MONTO SOLICITADO]])&gt;=0,"PRESUPUESTO: SI","PRESUPUESTO: NO")</f>
        <v>PRESUPUESTO: SI</v>
      </c>
      <c r="L1163" s="162">
        <f>SUMIF(PRESUPUESTO[CUENTA],EJECUTADO[[#This Row],[CUENTA]],PRESUPUESTO[MONTO])-SUMIF($F$1:F1162,EJECUTADO[[#This Row],[CUENTA]],$M$1:M1162)</f>
        <v>18561.39</v>
      </c>
      <c r="M1163" s="2">
        <v>459.72</v>
      </c>
      <c r="N1163" s="84">
        <v>52.89</v>
      </c>
      <c r="O1163" s="84">
        <v>40.68</v>
      </c>
      <c r="P1163" s="162">
        <f>+EJECUTADO[[#This Row],[MONTO SOLICITADO]]-EJECUTADO[[#This Row],[RETENCION IVA]]-EJECUTADO[[#This Row],[RETENCION ISR]]</f>
        <v>366.15000000000003</v>
      </c>
      <c r="Q1163" s="84" t="s">
        <v>1786</v>
      </c>
      <c r="R1163" s="84"/>
      <c r="T1163" s="168" t="str">
        <f t="shared" si="42"/>
        <v>CAPACITACIÓN AL PERSONAL - Cohorte No. 2 (10 participantes) año 1 Disponible $18561.39 Solicitado $459.72 PRESUPUESTO: SI</v>
      </c>
    </row>
    <row r="1164" spans="1:20" ht="45" x14ac:dyDescent="0.25">
      <c r="A1164" s="6">
        <f t="shared" si="43"/>
        <v>1073</v>
      </c>
      <c r="B1164" s="21">
        <v>45371</v>
      </c>
      <c r="C1164" s="126" t="s">
        <v>2748</v>
      </c>
      <c r="D1164" s="65" t="s">
        <v>2749</v>
      </c>
      <c r="E1164" s="65" t="s">
        <v>2750</v>
      </c>
      <c r="F1164" t="s">
        <v>2751</v>
      </c>
      <c r="G1164" s="161">
        <f>MONTH(EJECUTADO[[#This Row],[FECHA]])</f>
        <v>3</v>
      </c>
      <c r="H1164" s="163" t="str">
        <f>MID(EJECUTADO[[#This Row],[CUENTA]],1,4)</f>
        <v>E-22</v>
      </c>
      <c r="I1164" s="163" t="str">
        <f>INDEX(CATALOGO[Descripción],MATCH(EJECUTADO[[#This Row],[APLICACIÓN]]&amp;"-00-00-00",CATALOGO[Código],0))</f>
        <v>CAPACITACIÓN AL PERSONAL</v>
      </c>
      <c r="J11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FCCJ - Otras capacitaciones Escuela de Derecho</v>
      </c>
      <c r="K1164" s="161" t="str">
        <f>IF((EJECUTADO[[#This Row],[MONTO DISPONIBLE ]]-EJECUTADO[[#This Row],[MONTO SOLICITADO]])&gt;=0,"PRESUPUESTO: SI","PRESUPUESTO: NO")</f>
        <v>PRESUPUESTO: SI</v>
      </c>
      <c r="L1164" s="162">
        <f>SUMIF(PRESUPUESTO[CUENTA],EJECUTADO[[#This Row],[CUENTA]],PRESUPUESTO[MONTO])-SUMIF($F$1:F1163,EJECUTADO[[#This Row],[CUENTA]],$M$1:M1163)</f>
        <v>3500</v>
      </c>
      <c r="M1164" s="2">
        <v>100</v>
      </c>
      <c r="N1164" s="84"/>
      <c r="O1164" s="84"/>
      <c r="P1164" s="162">
        <f>+EJECUTADO[[#This Row],[MONTO SOLICITADO]]-EJECUTADO[[#This Row],[RETENCION IVA]]-EJECUTADO[[#This Row],[RETENCION ISR]]</f>
        <v>100</v>
      </c>
      <c r="Q1164" s="84" t="s">
        <v>1786</v>
      </c>
      <c r="R1164" s="84"/>
      <c r="S1164" s="112">
        <v>3375</v>
      </c>
      <c r="T1164" s="168" t="str">
        <f t="shared" si="42"/>
        <v>CAPACITACIÓN AL PERSONAL - FCCJ - Otras capacitaciones Escuela de Derecho Disponible $3500 Solicitado $100 PRESUPUESTO: SI</v>
      </c>
    </row>
    <row r="1165" spans="1:20" ht="45" x14ac:dyDescent="0.25">
      <c r="A1165" s="6">
        <f t="shared" si="43"/>
        <v>1074</v>
      </c>
      <c r="B1165" s="21">
        <v>45371</v>
      </c>
      <c r="C1165" s="126" t="s">
        <v>1227</v>
      </c>
      <c r="D1165" s="65" t="s">
        <v>2752</v>
      </c>
      <c r="E1165" s="65" t="s">
        <v>2753</v>
      </c>
      <c r="F1165" t="s">
        <v>1229</v>
      </c>
      <c r="G1165" s="161">
        <f>MONTH(EJECUTADO[[#This Row],[FECHA]])</f>
        <v>3</v>
      </c>
      <c r="H1165" s="163" t="str">
        <f>MID(EJECUTADO[[#This Row],[CUENTA]],1,4)</f>
        <v>E-03</v>
      </c>
      <c r="I1165" s="163" t="str">
        <f>INDEX(CATALOGO[Descripción],MATCH(EJECUTADO[[#This Row],[APLICACIÓN]]&amp;"-00-00-00",CATALOGO[Código],0))</f>
        <v>SUELDOS ADMINISTRATIVOS</v>
      </c>
      <c r="J11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1165" s="161" t="str">
        <f>IF((EJECUTADO[[#This Row],[MONTO DISPONIBLE ]]-EJECUTADO[[#This Row],[MONTO SOLICITADO]])&gt;=0,"PRESUPUESTO: SI","PRESUPUESTO: NO")</f>
        <v>PRESUPUESTO: SI</v>
      </c>
      <c r="L1165" s="162">
        <f>SUMIF(PRESUPUESTO[CUENTA],EJECUTADO[[#This Row],[CUENTA]],PRESUPUESTO[MONTO])-SUMIF($F$1:F1164,EJECUTADO[[#This Row],[CUENTA]],$M$1:M1164)</f>
        <v>109200</v>
      </c>
      <c r="M1165" s="2">
        <v>350</v>
      </c>
      <c r="N1165" s="84"/>
      <c r="O1165" s="84">
        <v>35</v>
      </c>
      <c r="P1165" s="162">
        <f>+EJECUTADO[[#This Row],[MONTO SOLICITADO]]-EJECUTADO[[#This Row],[RETENCION IVA]]-EJECUTADO[[#This Row],[RETENCION ISR]]</f>
        <v>315</v>
      </c>
      <c r="Q1165" s="84" t="s">
        <v>1786</v>
      </c>
      <c r="R1165" s="84"/>
      <c r="S1165" s="112">
        <v>3348</v>
      </c>
      <c r="T1165" s="168" t="str">
        <f t="shared" si="42"/>
        <v>SUELDOS ADMINISTRATIVOS - SUELDOS Y SALARIOS DIRECCIÓN DE COMUNICACIONES Disponible $109200 Solicitado $350 PRESUPUESTO: SI</v>
      </c>
    </row>
    <row r="1166" spans="1:20" s="7" customFormat="1" ht="30" x14ac:dyDescent="0.25">
      <c r="A1166" s="169" t="s">
        <v>2754</v>
      </c>
      <c r="B1166" s="170">
        <v>45371</v>
      </c>
      <c r="C1166" s="171" t="s">
        <v>1079</v>
      </c>
      <c r="D1166" s="172" t="s">
        <v>2755</v>
      </c>
      <c r="E1166" s="172"/>
      <c r="F1166" s="173" t="s">
        <v>1081</v>
      </c>
      <c r="G1166" s="161">
        <f>MONTH(EJECUTADO[[#This Row],[FECHA]])</f>
        <v>3</v>
      </c>
      <c r="H1166" s="163" t="str">
        <f>MID(EJECUTADO[[#This Row],[CUENTA]],1,4)</f>
        <v>E-10</v>
      </c>
      <c r="I1166" s="163" t="str">
        <f>INDEX(CATALOGO[Descripción],MATCH(EJECUTADO[[#This Row],[APLICACIÓN]]&amp;"-00-00-00",CATALOGO[Código],0))</f>
        <v>SERVICIOS PUBLICOS</v>
      </c>
      <c r="J11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166" s="161" t="str">
        <f>IF((EJECUTADO[[#This Row],[MONTO DISPONIBLE ]]-EJECUTADO[[#This Row],[MONTO SOLICITADO]])&gt;=0,"PRESUPUESTO: SI","PRESUPUESTO: NO")</f>
        <v>PRESUPUESTO: SI</v>
      </c>
      <c r="L1166" s="162">
        <f>SUMIF(PRESUPUESTO[CUENTA],EJECUTADO[[#This Row],[CUENTA]],PRESUPUESTO[MONTO])-SUMIF($F$1:F1165,EJECUTADO[[#This Row],[CUENTA]],$M$1:M1165)</f>
        <v>309594.48</v>
      </c>
      <c r="M1166" s="30">
        <v>12851.59</v>
      </c>
      <c r="N1166" s="30"/>
      <c r="O1166" s="30"/>
      <c r="P1166" s="162">
        <v>13840.95</v>
      </c>
      <c r="Q1166" s="30" t="s">
        <v>1786</v>
      </c>
      <c r="R1166" s="30"/>
      <c r="S1166" s="159">
        <v>3350</v>
      </c>
      <c r="T1166" s="168" t="str">
        <f t="shared" ref="T1166:T1248" si="44">_xlfn.CONCAT(I1166," - ",J1166," Disponible $",L1166," Solicitado $",M1166," ",K1166,)</f>
        <v>SERVICIOS PUBLICOS - ENERGÍA ELÉCTRICA Disponible $309594.48 Solicitado $12851.59 PRESUPUESTO: SI</v>
      </c>
    </row>
    <row r="1167" spans="1:20" s="7" customFormat="1" ht="45" x14ac:dyDescent="0.25">
      <c r="A1167" s="169">
        <v>1075</v>
      </c>
      <c r="B1167" s="170">
        <v>45371</v>
      </c>
      <c r="C1167" s="171" t="s">
        <v>1079</v>
      </c>
      <c r="D1167" s="172" t="s">
        <v>2756</v>
      </c>
      <c r="E1167" s="172"/>
      <c r="F1167" s="173" t="s">
        <v>1081</v>
      </c>
      <c r="G1167" s="161">
        <f>MONTH(EJECUTADO[[#This Row],[FECHA]])</f>
        <v>3</v>
      </c>
      <c r="H1167" s="163" t="str">
        <f>MID(EJECUTADO[[#This Row],[CUENTA]],1,4)</f>
        <v>E-10</v>
      </c>
      <c r="I1167" s="163" t="str">
        <f>INDEX(CATALOGO[Descripción],MATCH(EJECUTADO[[#This Row],[APLICACIÓN]]&amp;"-00-00-00",CATALOGO[Código],0))</f>
        <v>SERVICIOS PUBLICOS</v>
      </c>
      <c r="J11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167" s="161" t="str">
        <f>IF((EJECUTADO[[#This Row],[MONTO DISPONIBLE ]]-EJECUTADO[[#This Row],[MONTO SOLICITADO]])&gt;=0,"PRESUPUESTO: SI","PRESUPUESTO: NO")</f>
        <v>PRESUPUESTO: SI</v>
      </c>
      <c r="L1167" s="162">
        <f>SUMIF(PRESUPUESTO[CUENTA],EJECUTADO[[#This Row],[CUENTA]],PRESUPUESTO[MONTO])-SUMIF($F$1:F1166,EJECUTADO[[#This Row],[CUENTA]],$M$1:M1166)</f>
        <v>296742.89</v>
      </c>
      <c r="M1167" s="30">
        <v>312</v>
      </c>
      <c r="N1167" s="30"/>
      <c r="O1167" s="30"/>
      <c r="P1167" s="162">
        <f>+EJECUTADO[[#This Row],[MONTO SOLICITADO]]-EJECUTADO[[#This Row],[RETENCION IVA]]-EJECUTADO[[#This Row],[RETENCION ISR]]</f>
        <v>312</v>
      </c>
      <c r="Q1167" s="30" t="s">
        <v>1786</v>
      </c>
      <c r="R1167" s="30"/>
      <c r="S1167" s="159">
        <v>3350</v>
      </c>
      <c r="T1167" s="168" t="str">
        <f t="shared" si="44"/>
        <v>SERVICIOS PUBLICOS - ENERGÍA ELÉCTRICA Disponible $296742.89 Solicitado $312 PRESUPUESTO: SI</v>
      </c>
    </row>
    <row r="1168" spans="1:20" s="7" customFormat="1" ht="30" x14ac:dyDescent="0.25">
      <c r="A1168" s="169">
        <v>1076</v>
      </c>
      <c r="B1168" s="170">
        <v>45371</v>
      </c>
      <c r="C1168" s="171" t="s">
        <v>1079</v>
      </c>
      <c r="D1168" s="172" t="s">
        <v>2757</v>
      </c>
      <c r="E1168" s="172"/>
      <c r="F1168" s="173" t="s">
        <v>1347</v>
      </c>
      <c r="G1168" s="161">
        <f>MONTH(EJECUTADO[[#This Row],[FECHA]])</f>
        <v>3</v>
      </c>
      <c r="H1168" s="163" t="str">
        <f>MID(EJECUTADO[[#This Row],[CUENTA]],1,4)</f>
        <v>E-13</v>
      </c>
      <c r="I1168" s="163" t="str">
        <f>INDEX(CATALOGO[Descripción],MATCH(EJECUTADO[[#This Row],[APLICACIÓN]]&amp;"-00-00-00",CATALOGO[Código],0))</f>
        <v>MAESTRIAS Y POSTGRADOS</v>
      </c>
      <c r="J11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ENERGIA ELECTRICA </v>
      </c>
      <c r="K1168" s="161" t="str">
        <f>IF((EJECUTADO[[#This Row],[MONTO DISPONIBLE ]]-EJECUTADO[[#This Row],[MONTO SOLICITADO]])&gt;=0,"PRESUPUESTO: SI","PRESUPUESTO: NO")</f>
        <v>PRESUPUESTO: NO</v>
      </c>
      <c r="L1168" s="162"/>
      <c r="M1168" s="30">
        <v>1865.25</v>
      </c>
      <c r="N1168" s="30"/>
      <c r="O1168" s="30"/>
      <c r="P1168" s="162">
        <f>+EJECUTADO[[#This Row],[MONTO SOLICITADO]]-EJECUTADO[[#This Row],[RETENCION IVA]]-EJECUTADO[[#This Row],[RETENCION ISR]]</f>
        <v>1865.25</v>
      </c>
      <c r="Q1168" s="30" t="s">
        <v>1786</v>
      </c>
      <c r="R1168" s="30"/>
      <c r="S1168" s="159">
        <v>3350</v>
      </c>
      <c r="T1168" s="168" t="str">
        <f t="shared" si="44"/>
        <v>MAESTRIAS Y POSTGRADOS - ENERGIA ELECTRICA  Disponible $ Solicitado $1865.25 PRESUPUESTO: NO</v>
      </c>
    </row>
    <row r="1169" spans="1:20" s="7" customFormat="1" ht="45" x14ac:dyDescent="0.25">
      <c r="A1169" s="169">
        <f t="shared" si="43"/>
        <v>1077</v>
      </c>
      <c r="B1169" s="170">
        <v>45363</v>
      </c>
      <c r="C1169" s="171" t="s">
        <v>1641</v>
      </c>
      <c r="D1169" s="172" t="s">
        <v>2758</v>
      </c>
      <c r="E1169" s="172"/>
      <c r="F1169" s="173" t="s">
        <v>1617</v>
      </c>
      <c r="G1169" s="161">
        <f>MONTH(EJECUTADO[[#This Row],[FECHA]])</f>
        <v>3</v>
      </c>
      <c r="H1169" s="163" t="str">
        <f>MID(EJECUTADO[[#This Row],[CUENTA]],1,4)</f>
        <v>E-10</v>
      </c>
      <c r="I1169" s="163" t="str">
        <f>INDEX(CATALOGO[Descripción],MATCH(EJECUTADO[[#This Row],[APLICACIÓN]]&amp;"-00-00-00",CATALOGO[Código],0))</f>
        <v>SERVICIOS PUBLICOS</v>
      </c>
      <c r="J11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TELEFÓNICO</v>
      </c>
      <c r="K1169" s="161" t="str">
        <f>IF((EJECUTADO[[#This Row],[MONTO DISPONIBLE ]]-EJECUTADO[[#This Row],[MONTO SOLICITADO]])&gt;=0,"PRESUPUESTO: SI","PRESUPUESTO: NO")</f>
        <v>PRESUPUESTO: SI</v>
      </c>
      <c r="L1169" s="162">
        <f>SUMIF(PRESUPUESTO[CUENTA],EJECUTADO[[#This Row],[CUENTA]],PRESUPUESTO[MONTO])-SUMIF($F$1:F1168,EJECUTADO[[#This Row],[CUENTA]],$M$1:M1168)</f>
        <v>44703.81</v>
      </c>
      <c r="M1169" s="30">
        <v>337.64</v>
      </c>
      <c r="N1169" s="30"/>
      <c r="O1169" s="30"/>
      <c r="P1169" s="162">
        <f>+EJECUTADO[[#This Row],[MONTO SOLICITADO]]-EJECUTADO[[#This Row],[RETENCION IVA]]-EJECUTADO[[#This Row],[RETENCION ISR]]</f>
        <v>337.64</v>
      </c>
      <c r="Q1169" s="30"/>
      <c r="R1169" s="30"/>
      <c r="T1169" s="168" t="str">
        <f t="shared" si="44"/>
        <v>SERVICIOS PUBLICOS - SERVICIO TELEFÓNICO Disponible $44703.81 Solicitado $337.64 PRESUPUESTO: SI</v>
      </c>
    </row>
    <row r="1170" spans="1:20" ht="30" x14ac:dyDescent="0.25">
      <c r="A1170" s="6">
        <v>1078</v>
      </c>
      <c r="B1170" s="21">
        <v>45363</v>
      </c>
      <c r="C1170" s="126" t="s">
        <v>1641</v>
      </c>
      <c r="D1170" s="65" t="s">
        <v>2759</v>
      </c>
      <c r="E1170" s="65"/>
      <c r="F1170" t="s">
        <v>1084</v>
      </c>
      <c r="G1170" s="161">
        <f>MONTH(EJECUTADO[[#This Row],[FECHA]])</f>
        <v>3</v>
      </c>
      <c r="H1170" s="163" t="str">
        <f>MID(EJECUTADO[[#This Row],[CUENTA]],1,4)</f>
        <v>E-10</v>
      </c>
      <c r="I1170" s="163" t="str">
        <f>INDEX(CATALOGO[Descripción],MATCH(EJECUTADO[[#This Row],[APLICACIÓN]]&amp;"-00-00-00",CATALOGO[Código],0))</f>
        <v>SERVICIOS PUBLICOS</v>
      </c>
      <c r="J11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DE AGUA</v>
      </c>
      <c r="K1170" s="161" t="str">
        <f>IF((EJECUTADO[[#This Row],[MONTO DISPONIBLE ]]-EJECUTADO[[#This Row],[MONTO SOLICITADO]])&gt;=0,"PRESUPUESTO: SI","PRESUPUESTO: NO")</f>
        <v>PRESUPUESTO: SI</v>
      </c>
      <c r="L1170" s="162">
        <f>SUMIF(PRESUPUESTO[CUENTA],EJECUTADO[[#This Row],[CUENTA]],PRESUPUESTO[MONTO])-SUMIF($F$1:F1169,EJECUTADO[[#This Row],[CUENTA]],$M$1:M1169)</f>
        <v>67701.78</v>
      </c>
      <c r="M1170" s="2">
        <v>335.87</v>
      </c>
      <c r="N1170" s="84"/>
      <c r="O1170" s="84"/>
      <c r="P1170" s="162">
        <f>+EJECUTADO[[#This Row],[MONTO SOLICITADO]]-EJECUTADO[[#This Row],[RETENCION IVA]]-EJECUTADO[[#This Row],[RETENCION ISR]]</f>
        <v>335.87</v>
      </c>
      <c r="Q1170" s="84"/>
      <c r="R1170" s="84"/>
      <c r="T1170" s="168" t="str">
        <f t="shared" si="44"/>
        <v>SERVICIOS PUBLICOS - SERVICIO DE AGUA Disponible $67701.78 Solicitado $335.87 PRESUPUESTO: SI</v>
      </c>
    </row>
    <row r="1171" spans="1:20" ht="45" x14ac:dyDescent="0.25">
      <c r="A1171" s="6">
        <v>1079</v>
      </c>
      <c r="B1171" s="21">
        <v>45363</v>
      </c>
      <c r="C1171" s="126" t="s">
        <v>1641</v>
      </c>
      <c r="D1171" s="65" t="s">
        <v>2760</v>
      </c>
      <c r="E1171" s="65"/>
      <c r="F1171" t="s">
        <v>1081</v>
      </c>
      <c r="G1171" s="161">
        <f>MONTH(EJECUTADO[[#This Row],[FECHA]])</f>
        <v>3</v>
      </c>
      <c r="H1171" s="163" t="str">
        <f>MID(EJECUTADO[[#This Row],[CUENTA]],1,4)</f>
        <v>E-10</v>
      </c>
      <c r="I1171" s="163" t="str">
        <f>INDEX(CATALOGO[Descripción],MATCH(EJECUTADO[[#This Row],[APLICACIÓN]]&amp;"-00-00-00",CATALOGO[Código],0))</f>
        <v>SERVICIOS PUBLICOS</v>
      </c>
      <c r="J11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171" s="161" t="str">
        <f>IF((EJECUTADO[[#This Row],[MONTO DISPONIBLE ]]-EJECUTADO[[#This Row],[MONTO SOLICITADO]])&gt;=0,"PRESUPUESTO: SI","PRESUPUESTO: NO")</f>
        <v>PRESUPUESTO: SI</v>
      </c>
      <c r="L1171" s="162">
        <f>SUMIF(PRESUPUESTO[CUENTA],EJECUTADO[[#This Row],[CUENTA]],PRESUPUESTO[MONTO])-SUMIF($F$1:F1170,EJECUTADO[[#This Row],[CUENTA]],$M$1:M1170)</f>
        <v>296430.89</v>
      </c>
      <c r="M1171" s="2">
        <v>554.11</v>
      </c>
      <c r="N1171" s="84"/>
      <c r="O1171" s="84"/>
      <c r="P1171" s="162">
        <f>+EJECUTADO[[#This Row],[MONTO SOLICITADO]]-EJECUTADO[[#This Row],[RETENCION IVA]]-EJECUTADO[[#This Row],[RETENCION ISR]]</f>
        <v>554.11</v>
      </c>
      <c r="Q1171" s="84"/>
      <c r="R1171" s="84"/>
      <c r="S1171" s="112">
        <v>3354</v>
      </c>
      <c r="T1171" s="168" t="str">
        <f t="shared" si="44"/>
        <v>SERVICIOS PUBLICOS - ENERGÍA ELÉCTRICA Disponible $296430.89 Solicitado $554.11 PRESUPUESTO: SI</v>
      </c>
    </row>
    <row r="1172" spans="1:20" ht="60" x14ac:dyDescent="0.25">
      <c r="A1172" s="6">
        <v>1080</v>
      </c>
      <c r="B1172" s="21">
        <v>45372</v>
      </c>
      <c r="C1172" s="126" t="s">
        <v>1738</v>
      </c>
      <c r="D1172" s="65" t="s">
        <v>2761</v>
      </c>
      <c r="E1172" s="65" t="s">
        <v>1915</v>
      </c>
      <c r="F1172" t="s">
        <v>2237</v>
      </c>
      <c r="G1172" s="161">
        <f>MONTH(EJECUTADO[[#This Row],[FECHA]])</f>
        <v>3</v>
      </c>
      <c r="H1172" s="163" t="str">
        <f>MID(EJECUTADO[[#This Row],[CUENTA]],1,4)</f>
        <v>E-26</v>
      </c>
      <c r="I1172" s="163" t="str">
        <f>INDEX(CATALOGO[Descripción],MATCH(EJECUTADO[[#This Row],[APLICACIÓN]]&amp;"-00-00-00",CATALOGO[Código],0))</f>
        <v>EVENTOS ACADEMICOS, CULTURALES  E INSTITUCIONALES</v>
      </c>
      <c r="J11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SESIONES Y CONFERENCIAS  </v>
      </c>
      <c r="K1172" s="161" t="str">
        <f>IF((EJECUTADO[[#This Row],[MONTO DISPONIBLE ]]-EJECUTADO[[#This Row],[MONTO SOLICITADO]])&gt;=0,"PRESUPUESTO: SI","PRESUPUESTO: NO")</f>
        <v>PRESUPUESTO: SI</v>
      </c>
      <c r="L1172" s="162">
        <f>SUMIF(PRESUPUESTO[CUENTA],EJECUTADO[[#This Row],[CUENTA]],PRESUPUESTO[MONTO])-SUMIF($F$1:F1171,EJECUTADO[[#This Row],[CUENTA]],$M$1:M1171)</f>
        <v>3849.3099999999995</v>
      </c>
      <c r="M1172" s="2">
        <v>82.07</v>
      </c>
      <c r="N1172" s="84"/>
      <c r="O1172" s="84"/>
      <c r="P1172" s="162">
        <f>+EJECUTADO[[#This Row],[MONTO SOLICITADO]]-EJECUTADO[[#This Row],[RETENCION IVA]]-EJECUTADO[[#This Row],[RETENCION ISR]]</f>
        <v>82.07</v>
      </c>
      <c r="Q1172" s="84"/>
      <c r="R1172" s="84"/>
      <c r="S1172" s="112">
        <v>3362</v>
      </c>
      <c r="T1172" s="168" t="str">
        <f t="shared" si="44"/>
        <v>EVENTOS ACADEMICOS, CULTURALES  E INSTITUCIONALES - SESIONES Y CONFERENCIAS   Disponible $3849.31 Solicitado $82.07 PRESUPUESTO: SI</v>
      </c>
    </row>
    <row r="1173" spans="1:20" ht="45" x14ac:dyDescent="0.25">
      <c r="A1173" s="6">
        <v>1081</v>
      </c>
      <c r="B1173" s="21">
        <v>45372</v>
      </c>
      <c r="C1173" s="126" t="s">
        <v>2762</v>
      </c>
      <c r="D1173" s="65" t="s">
        <v>2763</v>
      </c>
      <c r="E1173" s="65"/>
      <c r="F1173" t="s">
        <v>2764</v>
      </c>
      <c r="G1173" s="161">
        <f>MONTH(EJECUTADO[[#This Row],[FECHA]])</f>
        <v>3</v>
      </c>
      <c r="H1173" s="163" t="str">
        <f>MID(EJECUTADO[[#This Row],[CUENTA]],1,4)</f>
        <v>E-25</v>
      </c>
      <c r="I1173" s="163" t="str">
        <f>INDEX(CATALOGO[Descripción],MATCH(EJECUTADO[[#This Row],[APLICACIÓN]]&amp;"-00-00-00",CATALOGO[Código],0))</f>
        <v>DECANATO DE ESTUDIANTES</v>
      </c>
      <c r="J11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Entrenadores Morataya $ 450, Panameño $ 600. - SON $ 500 + 600.00</v>
      </c>
      <c r="K1173" s="161" t="str">
        <f>IF((EJECUTADO[[#This Row],[MONTO DISPONIBLE ]]-EJECUTADO[[#This Row],[MONTO SOLICITADO]])&gt;=0,"PRESUPUESTO: SI","PRESUPUESTO: NO")</f>
        <v>PRESUPUESTO: SI</v>
      </c>
      <c r="L1173" s="162">
        <f>SUMIF(PRESUPUESTO[CUENTA],EJECUTADO[[#This Row],[CUENTA]],PRESUPUESTO[MONTO])-SUMIF($F$1:F1172,EJECUTADO[[#This Row],[CUENTA]],$M$1:M1172)</f>
        <v>13200</v>
      </c>
      <c r="M1173" s="2">
        <v>1500</v>
      </c>
      <c r="N1173" s="84"/>
      <c r="O1173" s="84">
        <v>150</v>
      </c>
      <c r="P1173" s="162">
        <f>+EJECUTADO[[#This Row],[MONTO SOLICITADO]]-EJECUTADO[[#This Row],[RETENCION IVA]]-EJECUTADO[[#This Row],[RETENCION ISR]]</f>
        <v>1350</v>
      </c>
      <c r="Q1173" s="84" t="s">
        <v>1786</v>
      </c>
      <c r="R1173" s="84"/>
      <c r="S1173" s="112">
        <v>3357</v>
      </c>
      <c r="T1173" s="168" t="str">
        <f t="shared" si="44"/>
        <v>DECANATO DE ESTUDIANTES - U. recreación y deportes - Entrenadores Morataya $ 450, Panameño $ 600. - SON $ 500 + 600.00 Disponible $13200 Solicitado $1500 PRESUPUESTO: SI</v>
      </c>
    </row>
    <row r="1174" spans="1:20" ht="45" x14ac:dyDescent="0.25">
      <c r="A1174" s="6">
        <v>1082</v>
      </c>
      <c r="B1174" s="21">
        <v>45372</v>
      </c>
      <c r="C1174" s="126" t="s">
        <v>2765</v>
      </c>
      <c r="D1174" s="65" t="s">
        <v>2763</v>
      </c>
      <c r="E1174" s="65"/>
      <c r="F1174" t="s">
        <v>2764</v>
      </c>
      <c r="G1174" s="161">
        <f>MONTH(EJECUTADO[[#This Row],[FECHA]])</f>
        <v>3</v>
      </c>
      <c r="H1174" s="163" t="str">
        <f>MID(EJECUTADO[[#This Row],[CUENTA]],1,4)</f>
        <v>E-25</v>
      </c>
      <c r="I1174" s="163" t="str">
        <f>INDEX(CATALOGO[Descripción],MATCH(EJECUTADO[[#This Row],[APLICACIÓN]]&amp;"-00-00-00",CATALOGO[Código],0))</f>
        <v>DECANATO DE ESTUDIANTES</v>
      </c>
      <c r="J11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Entrenadores Morataya $ 450, Panameño $ 600. - SON $ 500 + 600.00</v>
      </c>
      <c r="K1174" s="161" t="str">
        <f>IF((EJECUTADO[[#This Row],[MONTO DISPONIBLE ]]-EJECUTADO[[#This Row],[MONTO SOLICITADO]])&gt;=0,"PRESUPUESTO: SI","PRESUPUESTO: NO")</f>
        <v>PRESUPUESTO: SI</v>
      </c>
      <c r="L1174" s="162">
        <f>SUMIF(PRESUPUESTO[CUENTA],EJECUTADO[[#This Row],[CUENTA]],PRESUPUESTO[MONTO])-SUMIF($F$1:F1173,EJECUTADO[[#This Row],[CUENTA]],$M$1:M1173)</f>
        <v>11700</v>
      </c>
      <c r="M1174" s="2">
        <v>1800</v>
      </c>
      <c r="N1174" s="84"/>
      <c r="O1174" s="84">
        <v>180</v>
      </c>
      <c r="P1174" s="162">
        <f>+EJECUTADO[[#This Row],[MONTO SOLICITADO]]-EJECUTADO[[#This Row],[RETENCION IVA]]-EJECUTADO[[#This Row],[RETENCION ISR]]</f>
        <v>1620</v>
      </c>
      <c r="Q1174" s="84" t="s">
        <v>1786</v>
      </c>
      <c r="R1174" s="84"/>
      <c r="S1174" s="112">
        <v>3356</v>
      </c>
      <c r="T1174" s="168" t="str">
        <f t="shared" si="44"/>
        <v>DECANATO DE ESTUDIANTES - U. recreación y deportes - Entrenadores Morataya $ 450, Panameño $ 600. - SON $ 500 + 600.00 Disponible $11700 Solicitado $1800 PRESUPUESTO: SI</v>
      </c>
    </row>
    <row r="1175" spans="1:20" x14ac:dyDescent="0.25">
      <c r="A1175" s="6">
        <v>1083</v>
      </c>
      <c r="B1175" s="21">
        <v>45372</v>
      </c>
      <c r="C1175" s="126" t="s">
        <v>2766</v>
      </c>
      <c r="E1175" s="65"/>
      <c r="G1175" s="161">
        <f>MONTH(EJECUTADO[[#This Row],[FECHA]])</f>
        <v>3</v>
      </c>
      <c r="H1175" s="163" t="str">
        <f>MID(EJECUTADO[[#This Row],[CUENTA]],1,4)</f>
        <v/>
      </c>
      <c r="I1175" s="163" t="e">
        <f>INDEX(CATALOGO[Descripción],MATCH(EJECUTADO[[#This Row],[APLICACIÓN]]&amp;"-00-00-00",CATALOGO[Código],0))</f>
        <v>#N/A</v>
      </c>
      <c r="J117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175" s="161" t="str">
        <f>IF((EJECUTADO[[#This Row],[MONTO DISPONIBLE ]]-EJECUTADO[[#This Row],[MONTO SOLICITADO]])&gt;=0,"PRESUPUESTO: SI","PRESUPUESTO: NO")</f>
        <v>PRESUPUESTO: SI</v>
      </c>
      <c r="L1175" s="162">
        <f>SUMIF(PRESUPUESTO[CUENTA],EJECUTADO[[#This Row],[CUENTA]],PRESUPUESTO[MONTO])-SUMIF($F$1:F1174,EJECUTADO[[#This Row],[CUENTA]],$M$1:M1174)</f>
        <v>0</v>
      </c>
      <c r="M1175" s="2"/>
      <c r="N1175" s="84"/>
      <c r="O1175" s="84"/>
      <c r="P1175" s="162">
        <f>+EJECUTADO[[#This Row],[MONTO SOLICITADO]]-EJECUTADO[[#This Row],[RETENCION IVA]]-EJECUTADO[[#This Row],[RETENCION ISR]]</f>
        <v>0</v>
      </c>
      <c r="Q1175" s="84"/>
      <c r="R1175" s="84"/>
      <c r="S1175">
        <v>3355</v>
      </c>
      <c r="T1175" s="168" t="e">
        <f t="shared" si="44"/>
        <v>#N/A</v>
      </c>
    </row>
    <row r="1176" spans="1:20" ht="45" x14ac:dyDescent="0.25">
      <c r="A1176" s="6">
        <f t="shared" ref="A1176:A1253" si="45">+A1175+1</f>
        <v>1084</v>
      </c>
      <c r="B1176" s="21">
        <v>45373</v>
      </c>
      <c r="C1176" s="126" t="s">
        <v>1346</v>
      </c>
      <c r="D1176" s="65" t="s">
        <v>2767</v>
      </c>
      <c r="E1176" s="65" t="s">
        <v>2768</v>
      </c>
      <c r="F1176" t="s">
        <v>1081</v>
      </c>
      <c r="G1176" s="161">
        <f>MONTH(EJECUTADO[[#This Row],[FECHA]])</f>
        <v>3</v>
      </c>
      <c r="H1176" s="163" t="str">
        <f>MID(EJECUTADO[[#This Row],[CUENTA]],1,4)</f>
        <v>E-10</v>
      </c>
      <c r="I1176" s="163" t="str">
        <f>INDEX(CATALOGO[Descripción],MATCH(EJECUTADO[[#This Row],[APLICACIÓN]]&amp;"-00-00-00",CATALOGO[Código],0))</f>
        <v>SERVICIOS PUBLICOS</v>
      </c>
      <c r="J11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176" s="161" t="str">
        <f>IF((EJECUTADO[[#This Row],[MONTO DISPONIBLE ]]-EJECUTADO[[#This Row],[MONTO SOLICITADO]])&gt;=0,"PRESUPUESTO: SI","PRESUPUESTO: NO")</f>
        <v>PRESUPUESTO: SI</v>
      </c>
      <c r="L1176" s="162">
        <f>SUMIF(PRESUPUESTO[CUENTA],EJECUTADO[[#This Row],[CUENTA]],PRESUPUESTO[MONTO])-SUMIF($F$1:F1175,EJECUTADO[[#This Row],[CUENTA]],$M$1:M1175)</f>
        <v>295876.78000000003</v>
      </c>
      <c r="M1176" s="2">
        <v>102.22</v>
      </c>
      <c r="N1176" s="84"/>
      <c r="O1176" s="134">
        <v>3358</v>
      </c>
      <c r="P1176" s="162">
        <f>+EJECUTADO[[#This Row],[MONTO SOLICITADO]]-EJECUTADO[[#This Row],[RETENCION IVA]]-EJECUTADO[[#This Row],[RETENCION ISR]]</f>
        <v>-3255.78</v>
      </c>
      <c r="Q1176" s="84" t="s">
        <v>1786</v>
      </c>
      <c r="R1176" s="84"/>
      <c r="T1176" s="168" t="str">
        <f t="shared" si="44"/>
        <v>SERVICIOS PUBLICOS - ENERGÍA ELÉCTRICA Disponible $295876.78 Solicitado $102.22 PRESUPUESTO: SI</v>
      </c>
    </row>
    <row r="1177" spans="1:20" ht="60" x14ac:dyDescent="0.25">
      <c r="A1177" s="6">
        <f t="shared" si="45"/>
        <v>1085</v>
      </c>
      <c r="B1177" s="21">
        <v>45373</v>
      </c>
      <c r="C1177" s="126" t="s">
        <v>1560</v>
      </c>
      <c r="D1177" s="65" t="s">
        <v>2769</v>
      </c>
      <c r="E1177" s="65" t="s">
        <v>1915</v>
      </c>
      <c r="F1177" t="s">
        <v>1552</v>
      </c>
      <c r="G1177" s="161">
        <f>MONTH(EJECUTADO[[#This Row],[FECHA]])</f>
        <v>3</v>
      </c>
      <c r="H1177" s="163" t="str">
        <f>MID(EJECUTADO[[#This Row],[CUENTA]],1,4)</f>
        <v>E-11</v>
      </c>
      <c r="I1177" s="163" t="str">
        <f>INDEX(CATALOGO[Descripción],MATCH(EJECUTADO[[#This Row],[APLICACIÓN]]&amp;"-00-00-00",CATALOGO[Código],0))</f>
        <v>INVESTIGACIONES</v>
      </c>
      <c r="J11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1177" s="161" t="str">
        <f>IF((EJECUTADO[[#This Row],[MONTO DISPONIBLE ]]-EJECUTADO[[#This Row],[MONTO SOLICITADO]])&gt;=0,"PRESUPUESTO: SI","PRESUPUESTO: NO")</f>
        <v>PRESUPUESTO: SI</v>
      </c>
      <c r="L1177" s="162">
        <f>SUMIF(PRESUPUESTO[CUENTA],EJECUTADO[[#This Row],[CUENTA]],PRESUPUESTO[MONTO])-SUMIF($F$1:F1176,EJECUTADO[[#This Row],[CUENTA]],$M$1:M1176)</f>
        <v>26004.510000000002</v>
      </c>
      <c r="M1177" s="2">
        <v>1875</v>
      </c>
      <c r="N1177" s="84"/>
      <c r="O1177" s="84"/>
      <c r="P1177" s="162">
        <f>+EJECUTADO[[#This Row],[MONTO SOLICITADO]]-EJECUTADO[[#This Row],[RETENCION IVA]]-EJECUTADO[[#This Row],[RETENCION ISR]]</f>
        <v>1875</v>
      </c>
      <c r="Q1177" s="84" t="s">
        <v>1554</v>
      </c>
      <c r="R1177" s="84"/>
      <c r="S1177" s="112">
        <v>3364</v>
      </c>
      <c r="T1177" s="168" t="str">
        <f t="shared" si="44"/>
        <v>INVESTIGACIONES - Proyectos de investigación Disponible $26004.51 Solicitado $1875 PRESUPUESTO: SI</v>
      </c>
    </row>
    <row r="1178" spans="1:20" ht="45" x14ac:dyDescent="0.25">
      <c r="A1178" s="6">
        <f t="shared" si="45"/>
        <v>1086</v>
      </c>
      <c r="B1178" s="21">
        <v>45373</v>
      </c>
      <c r="C1178" s="126" t="s">
        <v>2770</v>
      </c>
      <c r="D1178" s="65" t="s">
        <v>2771</v>
      </c>
      <c r="E1178" s="65" t="s">
        <v>1915</v>
      </c>
      <c r="F1178" t="s">
        <v>2772</v>
      </c>
      <c r="G1178" s="161">
        <f>MONTH(EJECUTADO[[#This Row],[FECHA]])</f>
        <v>3</v>
      </c>
      <c r="H1178" s="163" t="str">
        <f>MID(EJECUTADO[[#This Row],[CUENTA]],1,4)</f>
        <v>E-11</v>
      </c>
      <c r="I1178" s="163" t="str">
        <f>INDEX(CATALOGO[Descripción],MATCH(EJECUTADO[[#This Row],[APLICACIÓN]]&amp;"-00-00-00",CATALOGO[Código],0))</f>
        <v>INVESTIGACIONES</v>
      </c>
      <c r="J11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 de investigación MINED-DNES y UTEC</v>
      </c>
      <c r="K1178" s="161" t="str">
        <f>IF((EJECUTADO[[#This Row],[MONTO DISPONIBLE ]]-EJECUTADO[[#This Row],[MONTO SOLICITADO]])&gt;=0,"PRESUPUESTO: SI","PRESUPUESTO: NO")</f>
        <v>PRESUPUESTO: SI</v>
      </c>
      <c r="L1178" s="162">
        <f>SUMIF(PRESUPUESTO[CUENTA],EJECUTADO[[#This Row],[CUENTA]],PRESUPUESTO[MONTO])-SUMIF($F$1:F1177,EJECUTADO[[#This Row],[CUENTA]],$M$1:M1177)</f>
        <v>20000</v>
      </c>
      <c r="M1178" s="2">
        <v>1000</v>
      </c>
      <c r="N1178" s="84"/>
      <c r="O1178" s="84">
        <v>100</v>
      </c>
      <c r="P1178" s="162">
        <f>+EJECUTADO[[#This Row],[MONTO SOLICITADO]]-EJECUTADO[[#This Row],[RETENCION IVA]]-EJECUTADO[[#This Row],[RETENCION ISR]]</f>
        <v>900</v>
      </c>
      <c r="Q1178" s="84" t="s">
        <v>1554</v>
      </c>
      <c r="R1178" s="84"/>
      <c r="S1178" s="112">
        <v>3361</v>
      </c>
      <c r="T1178" s="168" t="str">
        <f t="shared" si="44"/>
        <v>INVESTIGACIONES - Proyecto de investigación MINED-DNES y UTEC Disponible $20000 Solicitado $1000 PRESUPUESTO: SI</v>
      </c>
    </row>
    <row r="1179" spans="1:20" ht="30" x14ac:dyDescent="0.25">
      <c r="A1179" s="6">
        <f t="shared" si="45"/>
        <v>1087</v>
      </c>
      <c r="B1179" s="21">
        <v>45373</v>
      </c>
      <c r="C1179" s="126" t="s">
        <v>2773</v>
      </c>
      <c r="D1179" s="65" t="s">
        <v>2774</v>
      </c>
      <c r="E1179" s="65" t="s">
        <v>2775</v>
      </c>
      <c r="F1179" t="s">
        <v>1151</v>
      </c>
      <c r="G1179" s="161">
        <f>MONTH(EJECUTADO[[#This Row],[FECHA]])</f>
        <v>3</v>
      </c>
      <c r="H1179" s="163" t="str">
        <f>MID(EJECUTADO[[#This Row],[CUENTA]],1,4)</f>
        <v>E-20</v>
      </c>
      <c r="I1179" s="163" t="str">
        <f>INDEX(CATALOGO[Descripción],MATCH(EJECUTADO[[#This Row],[APLICACIÓN]]&amp;"-00-00-00",CATALOGO[Código],0))</f>
        <v>SEGUROS</v>
      </c>
      <c r="J11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de Incendio- ACSA Aseguradora Agri 8 cuo</v>
      </c>
      <c r="K1179" s="161" t="str">
        <f>IF((EJECUTADO[[#This Row],[MONTO DISPONIBLE ]]-EJECUTADO[[#This Row],[MONTO SOLICITADO]])&gt;=0,"PRESUPUESTO: SI","PRESUPUESTO: NO")</f>
        <v>PRESUPUESTO: SI</v>
      </c>
      <c r="L1179" s="162">
        <f>SUMIF(PRESUPUESTO[CUENTA],EJECUTADO[[#This Row],[CUENTA]],PRESUPUESTO[MONTO])-SUMIF($F$1:F1178,EJECUTADO[[#This Row],[CUENTA]],$M$1:M1178)</f>
        <v>149062.93</v>
      </c>
      <c r="M1179" s="2">
        <v>28692.78</v>
      </c>
      <c r="N1179" s="84"/>
      <c r="O1179" s="84"/>
      <c r="P1179" s="162">
        <f>+EJECUTADO[[#This Row],[MONTO SOLICITADO]]-EJECUTADO[[#This Row],[RETENCION IVA]]-EJECUTADO[[#This Row],[RETENCION ISR]]</f>
        <v>28692.78</v>
      </c>
      <c r="Q1179" s="84"/>
      <c r="R1179" s="84"/>
      <c r="S1179" s="134">
        <v>3359</v>
      </c>
      <c r="T1179" s="168" t="str">
        <f t="shared" si="44"/>
        <v>SEGUROS - Seguro de Incendio- ACSA Aseguradora Agri 8 cuo Disponible $149062.93 Solicitado $28692.78 PRESUPUESTO: SI</v>
      </c>
    </row>
    <row r="1180" spans="1:20" ht="30" x14ac:dyDescent="0.25">
      <c r="A1180" s="6">
        <f t="shared" si="45"/>
        <v>1088</v>
      </c>
      <c r="B1180" s="21">
        <v>45373</v>
      </c>
      <c r="C1180" s="126" t="s">
        <v>2773</v>
      </c>
      <c r="D1180" s="65" t="s">
        <v>2774</v>
      </c>
      <c r="E1180" s="65" t="s">
        <v>2775</v>
      </c>
      <c r="F1180" t="s">
        <v>1402</v>
      </c>
      <c r="G1180" s="161">
        <f>MONTH(EJECUTADO[[#This Row],[FECHA]])</f>
        <v>3</v>
      </c>
      <c r="H1180" s="163" t="str">
        <f>MID(EJECUTADO[[#This Row],[CUENTA]],1,4)</f>
        <v>E-20</v>
      </c>
      <c r="I1180" s="163" t="str">
        <f>INDEX(CATALOGO[Descripción],MATCH(EJECUTADO[[#This Row],[APLICACIÓN]]&amp;"-00-00-00",CATALOGO[Código],0))</f>
        <v>SEGUROS</v>
      </c>
      <c r="J11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Valores ACSA 8 cuotas</v>
      </c>
      <c r="K1180" s="161" t="str">
        <f>IF((EJECUTADO[[#This Row],[MONTO DISPONIBLE ]]-EJECUTADO[[#This Row],[MONTO SOLICITADO]])&gt;=0,"PRESUPUESTO: SI","PRESUPUESTO: NO")</f>
        <v>PRESUPUESTO: NO</v>
      </c>
      <c r="L1180" s="162">
        <f>SUMIF(PRESUPUESTO[CUENTA],EJECUTADO[[#This Row],[CUENTA]],PRESUPUESTO[MONTO])-SUMIF($F$1:F1179,EJECUTADO[[#This Row],[CUENTA]],$M$1:M1179)</f>
        <v>-15663.330000000002</v>
      </c>
      <c r="M1180" s="2">
        <v>361.95</v>
      </c>
      <c r="N1180" s="84"/>
      <c r="O1180" s="84"/>
      <c r="P1180" s="162">
        <f>+EJECUTADO[[#This Row],[MONTO SOLICITADO]]-EJECUTADO[[#This Row],[RETENCION IVA]]-EJECUTADO[[#This Row],[RETENCION ISR]]</f>
        <v>361.95</v>
      </c>
      <c r="Q1180" s="84"/>
      <c r="R1180" s="84"/>
      <c r="S1180" s="134">
        <v>3359</v>
      </c>
      <c r="T1180" s="168" t="str">
        <f t="shared" si="44"/>
        <v>SEGUROS - Seguro Valores ACSA 8 cuotas Disponible $-15663.33 Solicitado $361.95 PRESUPUESTO: NO</v>
      </c>
    </row>
    <row r="1181" spans="1:20" ht="30" x14ac:dyDescent="0.25">
      <c r="A1181" s="6">
        <f t="shared" si="45"/>
        <v>1089</v>
      </c>
      <c r="B1181" s="21">
        <v>45373</v>
      </c>
      <c r="C1181" s="126" t="s">
        <v>2773</v>
      </c>
      <c r="D1181" s="65" t="s">
        <v>2774</v>
      </c>
      <c r="E1181" s="65" t="s">
        <v>2775</v>
      </c>
      <c r="F1181" t="s">
        <v>1403</v>
      </c>
      <c r="G1181" s="161">
        <f>MONTH(EJECUTADO[[#This Row],[FECHA]])</f>
        <v>3</v>
      </c>
      <c r="H1181" s="163" t="str">
        <f>MID(EJECUTADO[[#This Row],[CUENTA]],1,4)</f>
        <v>E-20</v>
      </c>
      <c r="I1181" s="163" t="str">
        <f>INDEX(CATALOGO[Descripción],MATCH(EJECUTADO[[#This Row],[APLICACIÓN]]&amp;"-00-00-00",CATALOGO[Código],0))</f>
        <v>SEGUROS</v>
      </c>
      <c r="J11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VehÍculos ACSA 8 cuotas</v>
      </c>
      <c r="K1181" s="161" t="str">
        <f>IF((EJECUTADO[[#This Row],[MONTO DISPONIBLE ]]-EJECUTADO[[#This Row],[MONTO SOLICITADO]])&gt;=0,"PRESUPUESTO: SI","PRESUPUESTO: NO")</f>
        <v>PRESUPUESTO: NO</v>
      </c>
      <c r="L1181" s="162">
        <f>SUMIF(PRESUPUESTO[CUENTA],EJECUTADO[[#This Row],[CUENTA]],PRESUPUESTO[MONTO])-SUMIF($F$1:F1180,EJECUTADO[[#This Row],[CUENTA]],$M$1:M1180)</f>
        <v>-20649.159999999996</v>
      </c>
      <c r="M1181" s="2">
        <v>3957.73</v>
      </c>
      <c r="N1181" s="84"/>
      <c r="O1181" s="84"/>
      <c r="P1181" s="162">
        <f>+EJECUTADO[[#This Row],[MONTO SOLICITADO]]-EJECUTADO[[#This Row],[RETENCION IVA]]-EJECUTADO[[#This Row],[RETENCION ISR]]</f>
        <v>3957.73</v>
      </c>
      <c r="Q1181" s="84"/>
      <c r="R1181" s="84"/>
      <c r="S1181" s="134">
        <v>3359</v>
      </c>
      <c r="T1181" s="168" t="str">
        <f t="shared" si="44"/>
        <v>SEGUROS - Seguro VehÍculos ACSA 8 cuotas Disponible $-20649.16 Solicitado $3957.73 PRESUPUESTO: NO</v>
      </c>
    </row>
    <row r="1182" spans="1:20" ht="30" x14ac:dyDescent="0.25">
      <c r="A1182" s="6">
        <f t="shared" si="45"/>
        <v>1090</v>
      </c>
      <c r="B1182" s="21">
        <v>45373</v>
      </c>
      <c r="C1182" s="126" t="s">
        <v>2773</v>
      </c>
      <c r="D1182" s="65" t="s">
        <v>2774</v>
      </c>
      <c r="E1182" s="65" t="s">
        <v>2775</v>
      </c>
      <c r="F1182" t="s">
        <v>1399</v>
      </c>
      <c r="G1182" s="161">
        <f>MONTH(EJECUTADO[[#This Row],[FECHA]])</f>
        <v>3</v>
      </c>
      <c r="H1182" s="163" t="str">
        <f>MID(EJECUTADO[[#This Row],[CUENTA]],1,4)</f>
        <v>E-20</v>
      </c>
      <c r="I1182" s="163" t="str">
        <f>INDEX(CATALOGO[Descripción],MATCH(EJECUTADO[[#This Row],[APLICACIÓN]]&amp;"-00-00-00",CATALOGO[Código],0))</f>
        <v>SEGUROS</v>
      </c>
      <c r="J11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Lucro Cesante</v>
      </c>
      <c r="K1182" s="161" t="str">
        <f>IF((EJECUTADO[[#This Row],[MONTO DISPONIBLE ]]-EJECUTADO[[#This Row],[MONTO SOLICITADO]])&gt;=0,"PRESUPUESTO: SI","PRESUPUESTO: NO")</f>
        <v>PRESUPUESTO: SI</v>
      </c>
      <c r="L1182" s="162">
        <f>SUMIF(PRESUPUESTO[CUENTA],EJECUTADO[[#This Row],[CUENTA]],PRESUPUESTO[MONTO])-SUMIF($F$1:F1181,EJECUTADO[[#This Row],[CUENTA]],$M$1:M1181)</f>
        <v>934.2199999999998</v>
      </c>
      <c r="M1182" s="2">
        <v>435.54</v>
      </c>
      <c r="N1182" s="84"/>
      <c r="O1182" s="84"/>
      <c r="P1182" s="162">
        <f>+EJECUTADO[[#This Row],[MONTO SOLICITADO]]-EJECUTADO[[#This Row],[RETENCION IVA]]-EJECUTADO[[#This Row],[RETENCION ISR]]</f>
        <v>435.54</v>
      </c>
      <c r="Q1182" s="84"/>
      <c r="R1182" s="84"/>
      <c r="S1182" s="134">
        <v>3359</v>
      </c>
      <c r="T1182" s="168" t="str">
        <f t="shared" si="44"/>
        <v>SEGUROS - Lucro Cesante Disponible $934.22 Solicitado $435.54 PRESUPUESTO: SI</v>
      </c>
    </row>
    <row r="1183" spans="1:20" ht="30" x14ac:dyDescent="0.25">
      <c r="A1183" s="6">
        <f t="shared" si="45"/>
        <v>1091</v>
      </c>
      <c r="B1183" s="21">
        <v>45373</v>
      </c>
      <c r="C1183" s="126" t="s">
        <v>2776</v>
      </c>
      <c r="D1183" s="65" t="s">
        <v>2774</v>
      </c>
      <c r="E1183" s="65" t="s">
        <v>2775</v>
      </c>
      <c r="F1183" t="s">
        <v>1400</v>
      </c>
      <c r="G1183" s="161">
        <f>MONTH(EJECUTADO[[#This Row],[FECHA]])</f>
        <v>3</v>
      </c>
      <c r="H1183" s="163" t="str">
        <f>MID(EJECUTADO[[#This Row],[CUENTA]],1,4)</f>
        <v>E-20</v>
      </c>
      <c r="I1183" s="163" t="str">
        <f>INDEX(CATALOGO[Descripción],MATCH(EJECUTADO[[#This Row],[APLICACIÓN]]&amp;"-00-00-00",CATALOGO[Código],0))</f>
        <v>SEGUROS</v>
      </c>
      <c r="J11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Vida Colectivo-  SISA 6 cuotas</v>
      </c>
      <c r="K1183" s="161" t="str">
        <f>IF((EJECUTADO[[#This Row],[MONTO DISPONIBLE ]]-EJECUTADO[[#This Row],[MONTO SOLICITADO]])&gt;=0,"PRESUPUESTO: SI","PRESUPUESTO: NO")</f>
        <v>PRESUPUESTO: SI</v>
      </c>
      <c r="L1183" s="162">
        <f>SUMIF(PRESUPUESTO[CUENTA],EJECUTADO[[#This Row],[CUENTA]],PRESUPUESTO[MONTO])-SUMIF($F$1:F1182,EJECUTADO[[#This Row],[CUENTA]],$M$1:M1182)</f>
        <v>46677.49</v>
      </c>
      <c r="M1183" s="2">
        <v>7024.21</v>
      </c>
      <c r="N1183" s="84"/>
      <c r="O1183" s="84"/>
      <c r="P1183" s="162">
        <f>+EJECUTADO[[#This Row],[MONTO SOLICITADO]]-EJECUTADO[[#This Row],[RETENCION IVA]]-EJECUTADO[[#This Row],[RETENCION ISR]]</f>
        <v>7024.21</v>
      </c>
      <c r="Q1183" s="84"/>
      <c r="R1183" s="84"/>
      <c r="S1183" s="134">
        <v>3360</v>
      </c>
      <c r="T1183" s="168" t="str">
        <f t="shared" si="44"/>
        <v>SEGUROS - Seguro Vida Colectivo-  SISA 6 cuotas Disponible $46677.49 Solicitado $7024.21 PRESUPUESTO: SI</v>
      </c>
    </row>
    <row r="1184" spans="1:20" ht="30" x14ac:dyDescent="0.25">
      <c r="A1184" s="6">
        <f t="shared" si="45"/>
        <v>1092</v>
      </c>
      <c r="B1184" s="21">
        <v>45373</v>
      </c>
      <c r="C1184" s="126" t="s">
        <v>2776</v>
      </c>
      <c r="D1184" s="65" t="s">
        <v>2774</v>
      </c>
      <c r="E1184" s="65" t="s">
        <v>2775</v>
      </c>
      <c r="F1184" t="s">
        <v>2777</v>
      </c>
      <c r="G1184" s="161">
        <f>MONTH(EJECUTADO[[#This Row],[FECHA]])</f>
        <v>3</v>
      </c>
      <c r="H1184" s="163" t="str">
        <f>MID(EJECUTADO[[#This Row],[CUENTA]],1,4)</f>
        <v>E-20</v>
      </c>
      <c r="I1184" s="163" t="str">
        <f>INDEX(CATALOGO[Descripción],MATCH(EJECUTADO[[#This Row],[APLICACIÓN]]&amp;"-00-00-00",CATALOGO[Código],0))</f>
        <v>SEGUROS</v>
      </c>
      <c r="J11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Seguro Médico Hospitalario SISA 6 cuotas</v>
      </c>
      <c r="K1184" s="161" t="str">
        <f>IF((EJECUTADO[[#This Row],[MONTO DISPONIBLE ]]-EJECUTADO[[#This Row],[MONTO SOLICITADO]])&gt;=0,"PRESUPUESTO: SI","PRESUPUESTO: NO")</f>
        <v>PRESUPUESTO: SI</v>
      </c>
      <c r="L1184" s="162">
        <f>SUMIF(PRESUPUESTO[CUENTA],EJECUTADO[[#This Row],[CUENTA]],PRESUPUESTO[MONTO])-SUMIF($F$1:F1183,EJECUTADO[[#This Row],[CUENTA]],$M$1:M1183)</f>
        <v>178665</v>
      </c>
      <c r="M1184" s="2">
        <v>8266.82</v>
      </c>
      <c r="N1184" s="84"/>
      <c r="O1184" s="84"/>
      <c r="P1184" s="162">
        <f>+EJECUTADO[[#This Row],[MONTO SOLICITADO]]-EJECUTADO[[#This Row],[RETENCION IVA]]-EJECUTADO[[#This Row],[RETENCION ISR]]</f>
        <v>8266.82</v>
      </c>
      <c r="Q1184" s="84"/>
      <c r="R1184" s="84"/>
      <c r="S1184" s="134">
        <v>3360</v>
      </c>
      <c r="T1184" s="168" t="str">
        <f t="shared" si="44"/>
        <v>SEGUROS - Seguro Médico Hospitalario SISA 6 cuotas Disponible $178665 Solicitado $8266.82 PRESUPUESTO: SI</v>
      </c>
    </row>
    <row r="1185" spans="1:20" ht="75" x14ac:dyDescent="0.25">
      <c r="A1185" s="115">
        <f t="shared" si="45"/>
        <v>1093</v>
      </c>
      <c r="B1185" s="118">
        <v>45373</v>
      </c>
      <c r="C1185" s="129" t="s">
        <v>2305</v>
      </c>
      <c r="D1185" s="116" t="s">
        <v>2778</v>
      </c>
      <c r="E1185" s="65" t="s">
        <v>2779</v>
      </c>
      <c r="F1185" t="s">
        <v>2780</v>
      </c>
      <c r="G1185" s="161">
        <f>MONTH(EJECUTADO[[#This Row],[FECHA]])</f>
        <v>3</v>
      </c>
      <c r="H1185" s="163" t="str">
        <f>MID(EJECUTADO[[#This Row],[CUENTA]],1,4)</f>
        <v>E-19</v>
      </c>
      <c r="I1185" s="163" t="str">
        <f>INDEX(CATALOGO[Descripción],MATCH(EJECUTADO[[#This Row],[APLICACIÓN]]&amp;"-00-00-00",CATALOGO[Código],0))</f>
        <v>MANTENIMIENTO</v>
      </c>
      <c r="J11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Imprevistos</v>
      </c>
      <c r="K1185" s="161" t="str">
        <f>IF((EJECUTADO[[#This Row],[MONTO DISPONIBLE ]]-EJECUTADO[[#This Row],[MONTO SOLICITADO]])&gt;=0,"PRESUPUESTO: SI","PRESUPUESTO: NO")</f>
        <v>PRESUPUESTO: SI</v>
      </c>
      <c r="L1185" s="162">
        <f>SUMIF(PRESUPUESTO[CUENTA],EJECUTADO[[#This Row],[CUENTA]],PRESUPUESTO[MONTO])-SUMIF($F$1:F1184,EJECUTADO[[#This Row],[CUENTA]],$M$1:M1184)</f>
        <v>3000</v>
      </c>
      <c r="M1185" s="2">
        <v>140</v>
      </c>
      <c r="N1185" s="84"/>
      <c r="O1185" s="84"/>
      <c r="P1185" s="162">
        <f>+EJECUTADO[[#This Row],[MONTO SOLICITADO]]-EJECUTADO[[#This Row],[RETENCION IVA]]-EJECUTADO[[#This Row],[RETENCION ISR]]</f>
        <v>140</v>
      </c>
      <c r="Q1185" s="84" t="s">
        <v>1971</v>
      </c>
      <c r="R1185" s="84" t="s">
        <v>2111</v>
      </c>
      <c r="T1185" s="168" t="str">
        <f t="shared" si="44"/>
        <v>MANTENIMIENTO - Imprevistos Disponible $3000 Solicitado $140 PRESUPUESTO: SI</v>
      </c>
    </row>
    <row r="1186" spans="1:20" ht="135" x14ac:dyDescent="0.25">
      <c r="A1186" s="115" t="s">
        <v>2781</v>
      </c>
      <c r="B1186" s="118">
        <v>45373</v>
      </c>
      <c r="C1186" s="129" t="s">
        <v>2305</v>
      </c>
      <c r="D1186" s="116" t="s">
        <v>2782</v>
      </c>
      <c r="E1186" s="65" t="s">
        <v>2783</v>
      </c>
      <c r="F1186" t="s">
        <v>1582</v>
      </c>
      <c r="G1186" s="161">
        <f>MONTH(EJECUTADO[[#This Row],[FECHA]])</f>
        <v>3</v>
      </c>
      <c r="H1186" s="163" t="str">
        <f>MID(EJECUTADO[[#This Row],[CUENTA]],1,4)</f>
        <v>E-19</v>
      </c>
      <c r="I1186" s="163" t="str">
        <f>INDEX(CATALOGO[Descripción],MATCH(EJECUTADO[[#This Row],[APLICACIÓN]]&amp;"-00-00-00",CATALOGO[Código],0))</f>
        <v>MANTENIMIENTO</v>
      </c>
      <c r="J11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86" s="161" t="str">
        <f>IF((EJECUTADO[[#This Row],[MONTO DISPONIBLE ]]-EJECUTADO[[#This Row],[MONTO SOLICITADO]])&gt;=0,"PRESUPUESTO: SI","PRESUPUESTO: NO")</f>
        <v>PRESUPUESTO: SI</v>
      </c>
      <c r="L1186" s="162">
        <f>SUMIF(PRESUPUESTO[CUENTA],EJECUTADO[[#This Row],[CUENTA]],PRESUPUESTO[MONTO])-SUMIF($F$1:F1185,EJECUTADO[[#This Row],[CUENTA]],$M$1:M1185)</f>
        <v>3433</v>
      </c>
      <c r="M1186" s="2">
        <v>34</v>
      </c>
      <c r="N1186" s="84"/>
      <c r="O1186" s="84"/>
      <c r="P1186" s="162">
        <f>+EJECUTADO[[#This Row],[MONTO SOLICITADO]]-EJECUTADO[[#This Row],[RETENCION IVA]]-EJECUTADO[[#This Row],[RETENCION ISR]]</f>
        <v>34</v>
      </c>
      <c r="Q1186" s="84" t="s">
        <v>1971</v>
      </c>
      <c r="R1186" s="84" t="s">
        <v>2111</v>
      </c>
      <c r="T1186" s="168" t="str">
        <f t="shared" ref="T1186:T1195" si="46">_xlfn.CONCAT(I1186," - ",J1186," Disponible $",L1186," Solicitado $",M1186," ",K1186,)</f>
        <v>MANTENIMIENTO - Dir. Mantenimiento - Materiales Eléctricos  Disponible $3433 Solicitado $34 PRESUPUESTO: SI</v>
      </c>
    </row>
    <row r="1187" spans="1:20" ht="120" x14ac:dyDescent="0.25">
      <c r="A1187" s="115" t="s">
        <v>2784</v>
      </c>
      <c r="B1187" s="118">
        <v>45373</v>
      </c>
      <c r="C1187" s="129" t="s">
        <v>2305</v>
      </c>
      <c r="D1187" s="116" t="s">
        <v>2785</v>
      </c>
      <c r="E1187" s="65" t="s">
        <v>2786</v>
      </c>
      <c r="F1187" t="s">
        <v>1582</v>
      </c>
      <c r="G1187" s="161">
        <f>MONTH(EJECUTADO[[#This Row],[FECHA]])</f>
        <v>3</v>
      </c>
      <c r="H1187" s="163" t="str">
        <f>MID(EJECUTADO[[#This Row],[CUENTA]],1,4)</f>
        <v>E-19</v>
      </c>
      <c r="I1187" s="163" t="str">
        <f>INDEX(CATALOGO[Descripción],MATCH(EJECUTADO[[#This Row],[APLICACIÓN]]&amp;"-00-00-00",CATALOGO[Código],0))</f>
        <v>MANTENIMIENTO</v>
      </c>
      <c r="J11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87" s="161" t="str">
        <f>IF((EJECUTADO[[#This Row],[MONTO DISPONIBLE ]]-EJECUTADO[[#This Row],[MONTO SOLICITADO]])&gt;=0,"PRESUPUESTO: SI","PRESUPUESTO: NO")</f>
        <v>PRESUPUESTO: SI</v>
      </c>
      <c r="L1187" s="162">
        <f>SUMIF(PRESUPUESTO[CUENTA],EJECUTADO[[#This Row],[CUENTA]],PRESUPUESTO[MONTO])-SUMIF($F$1:F1186,EJECUTADO[[#This Row],[CUENTA]],$M$1:M1186)</f>
        <v>3399</v>
      </c>
      <c r="M1187" s="2">
        <v>49.77</v>
      </c>
      <c r="N1187" s="84"/>
      <c r="O1187" s="84"/>
      <c r="P1187" s="162">
        <f>+EJECUTADO[[#This Row],[MONTO SOLICITADO]]-EJECUTADO[[#This Row],[RETENCION IVA]]-EJECUTADO[[#This Row],[RETENCION ISR]]</f>
        <v>49.77</v>
      </c>
      <c r="Q1187" s="84" t="s">
        <v>1971</v>
      </c>
      <c r="R1187" s="84" t="s">
        <v>2111</v>
      </c>
      <c r="T1187" s="168" t="str">
        <f t="shared" si="46"/>
        <v>MANTENIMIENTO - Dir. Mantenimiento - Materiales Eléctricos  Disponible $3399 Solicitado $49.77 PRESUPUESTO: SI</v>
      </c>
    </row>
    <row r="1188" spans="1:20" ht="105" x14ac:dyDescent="0.25">
      <c r="A1188" s="115" t="s">
        <v>2787</v>
      </c>
      <c r="B1188" s="118">
        <v>45373</v>
      </c>
      <c r="C1188" s="129" t="s">
        <v>2305</v>
      </c>
      <c r="D1188" s="116" t="s">
        <v>2788</v>
      </c>
      <c r="E1188" s="65" t="s">
        <v>2789</v>
      </c>
      <c r="F1188" t="s">
        <v>1357</v>
      </c>
      <c r="G1188" s="161">
        <f>MONTH(EJECUTADO[[#This Row],[FECHA]])</f>
        <v>3</v>
      </c>
      <c r="H1188" s="163" t="str">
        <f>MID(EJECUTADO[[#This Row],[CUENTA]],1,4)</f>
        <v>E-19</v>
      </c>
      <c r="I1188" s="163" t="str">
        <f>INDEX(CATALOGO[Descripción],MATCH(EJECUTADO[[#This Row],[APLICACIÓN]]&amp;"-00-00-00",CATALOGO[Código],0))</f>
        <v>MANTENIMIENTO</v>
      </c>
      <c r="J11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Pintura </v>
      </c>
      <c r="K1188" s="161" t="str">
        <f>IF((EJECUTADO[[#This Row],[MONTO DISPONIBLE ]]-EJECUTADO[[#This Row],[MONTO SOLICITADO]])&gt;=0,"PRESUPUESTO: SI","PRESUPUESTO: NO")</f>
        <v>PRESUPUESTO: SI</v>
      </c>
      <c r="L1188" s="162">
        <f>SUMIF(PRESUPUESTO[CUENTA],EJECUTADO[[#This Row],[CUENTA]],PRESUPUESTO[MONTO])-SUMIF($F$1:F1187,EJECUTADO[[#This Row],[CUENTA]],$M$1:M1187)</f>
        <v>19259.95</v>
      </c>
      <c r="M1188" s="2">
        <v>178</v>
      </c>
      <c r="N1188" s="84"/>
      <c r="O1188" s="84"/>
      <c r="P1188" s="162">
        <f>+EJECUTADO[[#This Row],[MONTO SOLICITADO]]-EJECUTADO[[#This Row],[RETENCION IVA]]-EJECUTADO[[#This Row],[RETENCION ISR]]</f>
        <v>178</v>
      </c>
      <c r="Q1188" s="84" t="s">
        <v>1971</v>
      </c>
      <c r="R1188" s="84" t="s">
        <v>2111</v>
      </c>
      <c r="T1188" s="168" t="str">
        <f t="shared" si="46"/>
        <v>MANTENIMIENTO - Dir. Mantenimiento - Mantenimiento Pintura  Disponible $19259.95 Solicitado $178 PRESUPUESTO: SI</v>
      </c>
    </row>
    <row r="1189" spans="1:20" ht="135" x14ac:dyDescent="0.25">
      <c r="A1189" s="115" t="s">
        <v>2790</v>
      </c>
      <c r="B1189" s="118">
        <v>45373</v>
      </c>
      <c r="C1189" s="129" t="s">
        <v>2305</v>
      </c>
      <c r="D1189" s="116" t="s">
        <v>2791</v>
      </c>
      <c r="E1189" s="65" t="s">
        <v>2792</v>
      </c>
      <c r="F1189" t="s">
        <v>1582</v>
      </c>
      <c r="G1189" s="161">
        <f>MONTH(EJECUTADO[[#This Row],[FECHA]])</f>
        <v>3</v>
      </c>
      <c r="H1189" s="163" t="str">
        <f>MID(EJECUTADO[[#This Row],[CUENTA]],1,4)</f>
        <v>E-19</v>
      </c>
      <c r="I1189" s="163" t="str">
        <f>INDEX(CATALOGO[Descripción],MATCH(EJECUTADO[[#This Row],[APLICACIÓN]]&amp;"-00-00-00",CATALOGO[Código],0))</f>
        <v>MANTENIMIENTO</v>
      </c>
      <c r="J11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89" s="161" t="str">
        <f>IF((EJECUTADO[[#This Row],[MONTO DISPONIBLE ]]-EJECUTADO[[#This Row],[MONTO SOLICITADO]])&gt;=0,"PRESUPUESTO: SI","PRESUPUESTO: NO")</f>
        <v>PRESUPUESTO: SI</v>
      </c>
      <c r="L1189" s="162">
        <f>SUMIF(PRESUPUESTO[CUENTA],EJECUTADO[[#This Row],[CUENTA]],PRESUPUESTO[MONTO])-SUMIF($F$1:F1188,EJECUTADO[[#This Row],[CUENTA]],$M$1:M1188)</f>
        <v>3349.2299999999996</v>
      </c>
      <c r="M1189" s="2">
        <v>2.2999999999999998</v>
      </c>
      <c r="N1189" s="84"/>
      <c r="O1189" s="84"/>
      <c r="P1189" s="162">
        <f>+EJECUTADO[[#This Row],[MONTO SOLICITADO]]-EJECUTADO[[#This Row],[RETENCION IVA]]-EJECUTADO[[#This Row],[RETENCION ISR]]</f>
        <v>2.2999999999999998</v>
      </c>
      <c r="Q1189" s="84" t="s">
        <v>1971</v>
      </c>
      <c r="R1189" s="84" t="s">
        <v>2111</v>
      </c>
      <c r="T1189" s="168" t="str">
        <f t="shared" si="46"/>
        <v>MANTENIMIENTO - Dir. Mantenimiento - Materiales Eléctricos  Disponible $3349.23 Solicitado $2.3 PRESUPUESTO: SI</v>
      </c>
    </row>
    <row r="1190" spans="1:20" ht="105" x14ac:dyDescent="0.25">
      <c r="A1190" s="115" t="s">
        <v>2793</v>
      </c>
      <c r="B1190" s="118">
        <v>45373</v>
      </c>
      <c r="C1190" s="129" t="s">
        <v>2305</v>
      </c>
      <c r="D1190" s="116" t="s">
        <v>2794</v>
      </c>
      <c r="E1190" s="65" t="s">
        <v>2795</v>
      </c>
      <c r="F1190" t="s">
        <v>1582</v>
      </c>
      <c r="G1190" s="161">
        <f>MONTH(EJECUTADO[[#This Row],[FECHA]])</f>
        <v>3</v>
      </c>
      <c r="H1190" s="163" t="str">
        <f>MID(EJECUTADO[[#This Row],[CUENTA]],1,4)</f>
        <v>E-19</v>
      </c>
      <c r="I1190" s="163" t="str">
        <f>INDEX(CATALOGO[Descripción],MATCH(EJECUTADO[[#This Row],[APLICACIÓN]]&amp;"-00-00-00",CATALOGO[Código],0))</f>
        <v>MANTENIMIENTO</v>
      </c>
      <c r="J11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90" s="161" t="str">
        <f>IF((EJECUTADO[[#This Row],[MONTO DISPONIBLE ]]-EJECUTADO[[#This Row],[MONTO SOLICITADO]])&gt;=0,"PRESUPUESTO: SI","PRESUPUESTO: NO")</f>
        <v>PRESUPUESTO: SI</v>
      </c>
      <c r="L1190" s="162">
        <f>SUMIF(PRESUPUESTO[CUENTA],EJECUTADO[[#This Row],[CUENTA]],PRESUPUESTO[MONTO])-SUMIF($F$1:F1189,EJECUTADO[[#This Row],[CUENTA]],$M$1:M1189)</f>
        <v>3346.9299999999994</v>
      </c>
      <c r="M1190" s="2">
        <v>51</v>
      </c>
      <c r="N1190" s="84"/>
      <c r="O1190" s="84"/>
      <c r="P1190" s="162">
        <f>+EJECUTADO[[#This Row],[MONTO SOLICITADO]]-EJECUTADO[[#This Row],[RETENCION IVA]]-EJECUTADO[[#This Row],[RETENCION ISR]]</f>
        <v>51</v>
      </c>
      <c r="Q1190" s="84" t="s">
        <v>1971</v>
      </c>
      <c r="R1190" s="84" t="s">
        <v>2111</v>
      </c>
      <c r="T1190" s="168" t="str">
        <f t="shared" si="46"/>
        <v>MANTENIMIENTO - Dir. Mantenimiento - Materiales Eléctricos  Disponible $3346.93 Solicitado $51 PRESUPUESTO: SI</v>
      </c>
    </row>
    <row r="1191" spans="1:20" ht="90" x14ac:dyDescent="0.25">
      <c r="A1191" s="115" t="s">
        <v>2796</v>
      </c>
      <c r="B1191" s="118">
        <v>45373</v>
      </c>
      <c r="C1191" s="129" t="s">
        <v>2305</v>
      </c>
      <c r="D1191" s="116" t="s">
        <v>2797</v>
      </c>
      <c r="E1191" s="65" t="s">
        <v>2798</v>
      </c>
      <c r="F1191" t="s">
        <v>1582</v>
      </c>
      <c r="G1191" s="161">
        <f>MONTH(EJECUTADO[[#This Row],[FECHA]])</f>
        <v>3</v>
      </c>
      <c r="H1191" s="163" t="str">
        <f>MID(EJECUTADO[[#This Row],[CUENTA]],1,4)</f>
        <v>E-19</v>
      </c>
      <c r="I1191" s="163" t="str">
        <f>INDEX(CATALOGO[Descripción],MATCH(EJECUTADO[[#This Row],[APLICACIÓN]]&amp;"-00-00-00",CATALOGO[Código],0))</f>
        <v>MANTENIMIENTO</v>
      </c>
      <c r="J11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91" s="161" t="str">
        <f>IF((EJECUTADO[[#This Row],[MONTO DISPONIBLE ]]-EJECUTADO[[#This Row],[MONTO SOLICITADO]])&gt;=0,"PRESUPUESTO: SI","PRESUPUESTO: NO")</f>
        <v>PRESUPUESTO: SI</v>
      </c>
      <c r="L1191" s="162">
        <f>SUMIF(PRESUPUESTO[CUENTA],EJECUTADO[[#This Row],[CUENTA]],PRESUPUESTO[MONTO])-SUMIF($F$1:F1190,EJECUTADO[[#This Row],[CUENTA]],$M$1:M1190)</f>
        <v>3295.9299999999994</v>
      </c>
      <c r="M1191" s="2">
        <v>72</v>
      </c>
      <c r="N1191" s="84"/>
      <c r="O1191" s="84"/>
      <c r="P1191" s="162">
        <f>+EJECUTADO[[#This Row],[MONTO SOLICITADO]]-EJECUTADO[[#This Row],[RETENCION IVA]]-EJECUTADO[[#This Row],[RETENCION ISR]]</f>
        <v>72</v>
      </c>
      <c r="Q1191" s="84" t="s">
        <v>1971</v>
      </c>
      <c r="R1191" s="84" t="s">
        <v>2111</v>
      </c>
      <c r="T1191" s="168" t="str">
        <f t="shared" si="46"/>
        <v>MANTENIMIENTO - Dir. Mantenimiento - Materiales Eléctricos  Disponible $3295.93 Solicitado $72 PRESUPUESTO: SI</v>
      </c>
    </row>
    <row r="1192" spans="1:20" ht="105" x14ac:dyDescent="0.25">
      <c r="A1192" s="115" t="s">
        <v>2799</v>
      </c>
      <c r="B1192" s="118">
        <v>45373</v>
      </c>
      <c r="C1192" s="129" t="s">
        <v>2305</v>
      </c>
      <c r="D1192" s="116" t="s">
        <v>2800</v>
      </c>
      <c r="E1192" s="65" t="s">
        <v>2801</v>
      </c>
      <c r="F1192" t="s">
        <v>1582</v>
      </c>
      <c r="G1192" s="161">
        <f>MONTH(EJECUTADO[[#This Row],[FECHA]])</f>
        <v>3</v>
      </c>
      <c r="H1192" s="163" t="str">
        <f>MID(EJECUTADO[[#This Row],[CUENTA]],1,4)</f>
        <v>E-19</v>
      </c>
      <c r="I1192" s="163" t="str">
        <f>INDEX(CATALOGO[Descripción],MATCH(EJECUTADO[[#This Row],[APLICACIÓN]]&amp;"-00-00-00",CATALOGO[Código],0))</f>
        <v>MANTENIMIENTO</v>
      </c>
      <c r="J119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92" s="161" t="str">
        <f>IF((EJECUTADO[[#This Row],[MONTO DISPONIBLE ]]-EJECUTADO[[#This Row],[MONTO SOLICITADO]])&gt;=0,"PRESUPUESTO: SI","PRESUPUESTO: NO")</f>
        <v>PRESUPUESTO: SI</v>
      </c>
      <c r="L1192" s="162">
        <f>SUMIF(PRESUPUESTO[CUENTA],EJECUTADO[[#This Row],[CUENTA]],PRESUPUESTO[MONTO])-SUMIF($F$1:F1191,EJECUTADO[[#This Row],[CUENTA]],$M$1:M1191)</f>
        <v>3223.9299999999994</v>
      </c>
      <c r="M1192" s="2">
        <v>230</v>
      </c>
      <c r="N1192" s="84"/>
      <c r="O1192" s="84"/>
      <c r="P1192" s="162">
        <f>+EJECUTADO[[#This Row],[MONTO SOLICITADO]]-EJECUTADO[[#This Row],[RETENCION IVA]]-EJECUTADO[[#This Row],[RETENCION ISR]]</f>
        <v>230</v>
      </c>
      <c r="Q1192" s="84" t="s">
        <v>1971</v>
      </c>
      <c r="R1192" s="84" t="s">
        <v>2111</v>
      </c>
      <c r="T1192" s="168" t="str">
        <f t="shared" si="46"/>
        <v>MANTENIMIENTO - Dir. Mantenimiento - Materiales Eléctricos  Disponible $3223.93 Solicitado $230 PRESUPUESTO: SI</v>
      </c>
    </row>
    <row r="1193" spans="1:20" ht="135" x14ac:dyDescent="0.25">
      <c r="A1193" s="115" t="s">
        <v>2802</v>
      </c>
      <c r="B1193" s="118">
        <v>45373</v>
      </c>
      <c r="C1193" s="129" t="s">
        <v>2305</v>
      </c>
      <c r="D1193" s="116" t="s">
        <v>2803</v>
      </c>
      <c r="E1193" s="65" t="s">
        <v>2804</v>
      </c>
      <c r="F1193" t="s">
        <v>1582</v>
      </c>
      <c r="G1193" s="161">
        <f>MONTH(EJECUTADO[[#This Row],[FECHA]])</f>
        <v>3</v>
      </c>
      <c r="H1193" s="163" t="str">
        <f>MID(EJECUTADO[[#This Row],[CUENTA]],1,4)</f>
        <v>E-19</v>
      </c>
      <c r="I1193" s="163" t="str">
        <f>INDEX(CATALOGO[Descripción],MATCH(EJECUTADO[[#This Row],[APLICACIÓN]]&amp;"-00-00-00",CATALOGO[Código],0))</f>
        <v>MANTENIMIENTO</v>
      </c>
      <c r="J11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93" s="161" t="str">
        <f>IF((EJECUTADO[[#This Row],[MONTO DISPONIBLE ]]-EJECUTADO[[#This Row],[MONTO SOLICITADO]])&gt;=0,"PRESUPUESTO: SI","PRESUPUESTO: NO")</f>
        <v>PRESUPUESTO: SI</v>
      </c>
      <c r="L1193" s="162">
        <f>SUMIF(PRESUPUESTO[CUENTA],EJECUTADO[[#This Row],[CUENTA]],PRESUPUESTO[MONTO])-SUMIF($F$1:F1192,EJECUTADO[[#This Row],[CUENTA]],$M$1:M1192)</f>
        <v>2993.9299999999994</v>
      </c>
      <c r="M1193" s="2">
        <v>234.35</v>
      </c>
      <c r="N1193" s="84"/>
      <c r="O1193" s="84"/>
      <c r="P1193" s="162">
        <f>+EJECUTADO[[#This Row],[MONTO SOLICITADO]]-EJECUTADO[[#This Row],[RETENCION IVA]]-EJECUTADO[[#This Row],[RETENCION ISR]]</f>
        <v>234.35</v>
      </c>
      <c r="Q1193" s="84" t="s">
        <v>1971</v>
      </c>
      <c r="R1193" s="84" t="s">
        <v>2111</v>
      </c>
      <c r="T1193" s="168" t="str">
        <f t="shared" si="46"/>
        <v>MANTENIMIENTO - Dir. Mantenimiento - Materiales Eléctricos  Disponible $2993.93 Solicitado $234.35 PRESUPUESTO: SI</v>
      </c>
    </row>
    <row r="1194" spans="1:20" ht="150" x14ac:dyDescent="0.25">
      <c r="A1194" s="115" t="s">
        <v>2805</v>
      </c>
      <c r="B1194" s="118">
        <v>45373</v>
      </c>
      <c r="C1194" s="129" t="s">
        <v>2305</v>
      </c>
      <c r="D1194" s="116" t="s">
        <v>2806</v>
      </c>
      <c r="E1194" s="65" t="s">
        <v>2807</v>
      </c>
      <c r="F1194" t="s">
        <v>1582</v>
      </c>
      <c r="G1194" s="161">
        <f>MONTH(EJECUTADO[[#This Row],[FECHA]])</f>
        <v>3</v>
      </c>
      <c r="H1194" s="163" t="str">
        <f>MID(EJECUTADO[[#This Row],[CUENTA]],1,4)</f>
        <v>E-19</v>
      </c>
      <c r="I1194" s="163" t="str">
        <f>INDEX(CATALOGO[Descripción],MATCH(EJECUTADO[[#This Row],[APLICACIÓN]]&amp;"-00-00-00",CATALOGO[Código],0))</f>
        <v>MANTENIMIENTO</v>
      </c>
      <c r="J11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194" s="161" t="str">
        <f>IF((EJECUTADO[[#This Row],[MONTO DISPONIBLE ]]-EJECUTADO[[#This Row],[MONTO SOLICITADO]])&gt;=0,"PRESUPUESTO: SI","PRESUPUESTO: NO")</f>
        <v>PRESUPUESTO: SI</v>
      </c>
      <c r="L1194" s="162">
        <f>SUMIF(PRESUPUESTO[CUENTA],EJECUTADO[[#This Row],[CUENTA]],PRESUPUESTO[MONTO])-SUMIF($F$1:F1193,EJECUTADO[[#This Row],[CUENTA]],$M$1:M1193)</f>
        <v>2759.579999999999</v>
      </c>
      <c r="M1194" s="2">
        <v>69</v>
      </c>
      <c r="N1194" s="84"/>
      <c r="O1194" s="84"/>
      <c r="P1194" s="162">
        <f>+EJECUTADO[[#This Row],[MONTO SOLICITADO]]-EJECUTADO[[#This Row],[RETENCION IVA]]-EJECUTADO[[#This Row],[RETENCION ISR]]</f>
        <v>69</v>
      </c>
      <c r="Q1194" s="84" t="s">
        <v>1971</v>
      </c>
      <c r="R1194" s="84" t="s">
        <v>2111</v>
      </c>
      <c r="T1194" s="168" t="str">
        <f t="shared" si="46"/>
        <v>MANTENIMIENTO - Dir. Mantenimiento - Materiales Eléctricos  Disponible $2759.58 Solicitado $69 PRESUPUESTO: SI</v>
      </c>
    </row>
    <row r="1195" spans="1:20" ht="90" x14ac:dyDescent="0.25">
      <c r="A1195" s="115" t="s">
        <v>2808</v>
      </c>
      <c r="B1195" s="118">
        <v>45373</v>
      </c>
      <c r="C1195" s="129" t="s">
        <v>2305</v>
      </c>
      <c r="D1195" s="116" t="s">
        <v>2809</v>
      </c>
      <c r="E1195" s="65" t="s">
        <v>2810</v>
      </c>
      <c r="F1195" t="s">
        <v>1768</v>
      </c>
      <c r="G1195" s="161">
        <f>MONTH(EJECUTADO[[#This Row],[FECHA]])</f>
        <v>3</v>
      </c>
      <c r="H1195" s="163" t="str">
        <f>MID(EJECUTADO[[#This Row],[CUENTA]],1,4)</f>
        <v>E-19</v>
      </c>
      <c r="I1195" s="163" t="str">
        <f>INDEX(CATALOGO[Descripción],MATCH(EJECUTADO[[#This Row],[APLICACIÓN]]&amp;"-00-00-00",CATALOGO[Código],0))</f>
        <v>MANTENIMIENTO</v>
      </c>
      <c r="J11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para Construcción </v>
      </c>
      <c r="K1195" s="161" t="str">
        <f>IF((EJECUTADO[[#This Row],[MONTO DISPONIBLE ]]-EJECUTADO[[#This Row],[MONTO SOLICITADO]])&gt;=0,"PRESUPUESTO: SI","PRESUPUESTO: NO")</f>
        <v>PRESUPUESTO: SI</v>
      </c>
      <c r="L1195" s="162">
        <f>SUMIF(PRESUPUESTO[CUENTA],EJECUTADO[[#This Row],[CUENTA]],PRESUPUESTO[MONTO])-SUMIF($F$1:F1194,EJECUTADO[[#This Row],[CUENTA]],$M$1:M1194)</f>
        <v>5834.25</v>
      </c>
      <c r="M1195" s="2">
        <v>142.5</v>
      </c>
      <c r="N1195" s="84"/>
      <c r="O1195" s="84"/>
      <c r="P1195" s="162">
        <f>+EJECUTADO[[#This Row],[MONTO SOLICITADO]]-EJECUTADO[[#This Row],[RETENCION IVA]]-EJECUTADO[[#This Row],[RETENCION ISR]]</f>
        <v>142.5</v>
      </c>
      <c r="Q1195" s="84" t="s">
        <v>1971</v>
      </c>
      <c r="R1195" s="84" t="s">
        <v>2111</v>
      </c>
      <c r="T1195" s="168" t="str">
        <f t="shared" si="46"/>
        <v>MANTENIMIENTO - Dir. Mantenimiento - Materiales para Construcción  Disponible $5834.25 Solicitado $142.5 PRESUPUESTO: SI</v>
      </c>
    </row>
    <row r="1196" spans="1:20" ht="105" x14ac:dyDescent="0.25">
      <c r="A1196" s="115">
        <f>+A1185+1</f>
        <v>1094</v>
      </c>
      <c r="B1196" s="118">
        <v>45373</v>
      </c>
      <c r="C1196" s="129" t="s">
        <v>2811</v>
      </c>
      <c r="D1196" s="116" t="s">
        <v>2812</v>
      </c>
      <c r="E1196" s="65" t="s">
        <v>2813</v>
      </c>
      <c r="F1196" t="s">
        <v>2814</v>
      </c>
      <c r="G1196" s="161">
        <f>MONTH(EJECUTADO[[#This Row],[FECHA]])</f>
        <v>3</v>
      </c>
      <c r="H1196" s="163" t="str">
        <f>MID(EJECUTADO[[#This Row],[CUENTA]],1,4)</f>
        <v>E-17</v>
      </c>
      <c r="I1196" s="163" t="str">
        <f>INDEX(CATALOGO[Descripción],MATCH(EJECUTADO[[#This Row],[APLICACIÓN]]&amp;"-00-00-00",CATALOGO[Código],0))</f>
        <v>MEDIOS DE COMUNICACIÓN</v>
      </c>
      <c r="J11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Material estudio (cables, conectores y accesorios) - Estudio de TV</v>
      </c>
      <c r="K1196" s="161" t="str">
        <f>IF((EJECUTADO[[#This Row],[MONTO DISPONIBLE ]]-EJECUTADO[[#This Row],[MONTO SOLICITADO]])&gt;=0,"PRESUPUESTO: SI","PRESUPUESTO: NO")</f>
        <v>PRESUPUESTO: SI</v>
      </c>
      <c r="L1196" s="162">
        <f>SUMIF(PRESUPUESTO[CUENTA],EJECUTADO[[#This Row],[CUENTA]],PRESUPUESTO[MONTO])-SUMIF($F$1:F1185,EJECUTADO[[#This Row],[CUENTA]],$M$1:M1185)</f>
        <v>500</v>
      </c>
      <c r="M1196" s="2">
        <v>67.959999999999994</v>
      </c>
      <c r="N1196" s="84"/>
      <c r="O1196" s="84"/>
      <c r="P1196" s="162">
        <f>+EJECUTADO[[#This Row],[MONTO SOLICITADO]]-EJECUTADO[[#This Row],[RETENCION IVA]]-EJECUTADO[[#This Row],[RETENCION ISR]]</f>
        <v>67.959999999999994</v>
      </c>
      <c r="Q1196" s="84" t="s">
        <v>1971</v>
      </c>
      <c r="R1196" s="84" t="s">
        <v>2111</v>
      </c>
      <c r="T1196" s="168" t="str">
        <f t="shared" si="44"/>
        <v>MEDIOS DE COMUNICACIÓN - Estudio de TV - Material estudio (cables, conectores y accesorios) - Estudio de TV Disponible $500 Solicitado $67.96 PRESUPUESTO: SI</v>
      </c>
    </row>
    <row r="1197" spans="1:20" ht="120" x14ac:dyDescent="0.25">
      <c r="A1197" s="115">
        <f t="shared" si="45"/>
        <v>1095</v>
      </c>
      <c r="B1197" s="118">
        <v>45373</v>
      </c>
      <c r="C1197" s="129" t="s">
        <v>1021</v>
      </c>
      <c r="D1197" s="65" t="s">
        <v>2815</v>
      </c>
      <c r="E1197" s="65" t="s">
        <v>2816</v>
      </c>
      <c r="F1197" t="s">
        <v>1183</v>
      </c>
      <c r="G1197" s="161">
        <f>MONTH(EJECUTADO[[#This Row],[FECHA]])</f>
        <v>3</v>
      </c>
      <c r="H1197" s="163" t="str">
        <f>MID(EJECUTADO[[#This Row],[CUENTA]],1,4)</f>
        <v>E-22</v>
      </c>
      <c r="I1197" s="163" t="str">
        <f>INDEX(CATALOGO[Descripción],MATCH(EJECUTADO[[#This Row],[APLICACIÓN]]&amp;"-00-00-00",CATALOGO[Código],0))</f>
        <v>CAPACITACIÓN AL PERSONAL</v>
      </c>
      <c r="J11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1197" s="161" t="str">
        <f>IF((EJECUTADO[[#This Row],[MONTO DISPONIBLE ]]-EJECUTADO[[#This Row],[MONTO SOLICITADO]])&gt;=0,"PRESUPUESTO: SI","PRESUPUESTO: NO")</f>
        <v>PRESUPUESTO: SI</v>
      </c>
      <c r="L1197" s="162">
        <f>SUMIF(PRESUPUESTO[CUENTA],EJECUTADO[[#This Row],[CUENTA]],PRESUPUESTO[MONTO])-SUMIF($F$1:F1196,EJECUTADO[[#This Row],[CUENTA]],$M$1:M1196)</f>
        <v>4944.8</v>
      </c>
      <c r="M1197" s="2">
        <v>52.5</v>
      </c>
      <c r="N1197" s="84"/>
      <c r="O1197" s="84"/>
      <c r="P1197" s="162">
        <f>+EJECUTADO[[#This Row],[MONTO SOLICITADO]]-EJECUTADO[[#This Row],[RETENCION IVA]]-EJECUTADO[[#This Row],[RETENCION ISR]]</f>
        <v>52.5</v>
      </c>
      <c r="Q1197" s="84" t="s">
        <v>1971</v>
      </c>
      <c r="R1197" s="84" t="s">
        <v>2111</v>
      </c>
      <c r="T1197" s="168" t="str">
        <f t="shared" si="44"/>
        <v>CAPACITACIÓN AL PERSONAL - Otras capacitaciones Disponible $4944.8 Solicitado $52.5 PRESUPUESTO: SI</v>
      </c>
    </row>
    <row r="1198" spans="1:20" ht="120" x14ac:dyDescent="0.25">
      <c r="A1198" s="115" t="s">
        <v>2817</v>
      </c>
      <c r="B1198" s="118">
        <v>45373</v>
      </c>
      <c r="C1198" s="129" t="s">
        <v>1021</v>
      </c>
      <c r="D1198" s="65" t="s">
        <v>2818</v>
      </c>
      <c r="E1198" s="65" t="s">
        <v>2819</v>
      </c>
      <c r="F1198" t="s">
        <v>1183</v>
      </c>
      <c r="G1198" s="161">
        <f>MONTH(EJECUTADO[[#This Row],[FECHA]])</f>
        <v>3</v>
      </c>
      <c r="H1198" s="163" t="str">
        <f>MID(EJECUTADO[[#This Row],[CUENTA]],1,4)</f>
        <v>E-22</v>
      </c>
      <c r="I1198" s="163" t="str">
        <f>INDEX(CATALOGO[Descripción],MATCH(EJECUTADO[[#This Row],[APLICACIÓN]]&amp;"-00-00-00",CATALOGO[Código],0))</f>
        <v>CAPACITACIÓN AL PERSONAL</v>
      </c>
      <c r="J119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Otras capacitaciones</v>
      </c>
      <c r="K1198" s="161" t="str">
        <f>IF((EJECUTADO[[#This Row],[MONTO DISPONIBLE ]]-EJECUTADO[[#This Row],[MONTO SOLICITADO]])&gt;=0,"PRESUPUESTO: SI","PRESUPUESTO: NO")</f>
        <v>PRESUPUESTO: SI</v>
      </c>
      <c r="L1198" s="162">
        <f>SUMIF(PRESUPUESTO[CUENTA],EJECUTADO[[#This Row],[CUENTA]],PRESUPUESTO[MONTO])-SUMIF($F$1:F1197,EJECUTADO[[#This Row],[CUENTA]],$M$1:M1197)</f>
        <v>4892.3</v>
      </c>
      <c r="M1198" s="2">
        <v>57</v>
      </c>
      <c r="N1198" s="84"/>
      <c r="O1198" s="84"/>
      <c r="P1198" s="162">
        <f>+EJECUTADO[[#This Row],[MONTO SOLICITADO]]-EJECUTADO[[#This Row],[RETENCION IVA]]-EJECUTADO[[#This Row],[RETENCION ISR]]</f>
        <v>57</v>
      </c>
      <c r="Q1198" s="84" t="s">
        <v>1971</v>
      </c>
      <c r="R1198" s="84" t="s">
        <v>2111</v>
      </c>
      <c r="T1198" s="168" t="str">
        <f t="shared" ref="T1198:T1199" si="47">_xlfn.CONCAT(I1198," - ",J1198," Disponible $",L1198," Solicitado $",M1198," ",K1198,)</f>
        <v>CAPACITACIÓN AL PERSONAL - Otras capacitaciones Disponible $4892.3 Solicitado $57 PRESUPUESTO: SI</v>
      </c>
    </row>
    <row r="1199" spans="1:20" ht="150" x14ac:dyDescent="0.25">
      <c r="A1199" s="115" t="s">
        <v>2820</v>
      </c>
      <c r="B1199" s="118">
        <v>45373</v>
      </c>
      <c r="C1199" s="129" t="s">
        <v>1021</v>
      </c>
      <c r="D1199" s="65" t="s">
        <v>2821</v>
      </c>
      <c r="E1199" s="65" t="s">
        <v>2822</v>
      </c>
      <c r="F1199" t="s">
        <v>2823</v>
      </c>
      <c r="G1199" s="161">
        <f>MONTH(EJECUTADO[[#This Row],[FECHA]])</f>
        <v>3</v>
      </c>
      <c r="H1199" s="163" t="str">
        <f>MID(EJECUTADO[[#This Row],[CUENTA]],1,4)</f>
        <v>E-22</v>
      </c>
      <c r="I1199" s="163" t="str">
        <f>INDEX(CATALOGO[Descripción],MATCH(EJECUTADO[[#This Row],[APLICACIÓN]]&amp;"-00-00-00",CATALOGO[Código],0))</f>
        <v>CAPACITACIÓN AL PERSONAL</v>
      </c>
      <c r="J119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Seguridad y Salud Ocupacional</v>
      </c>
      <c r="K1199" s="161" t="str">
        <f>IF((EJECUTADO[[#This Row],[MONTO DISPONIBLE ]]-EJECUTADO[[#This Row],[MONTO SOLICITADO]])&gt;=0,"PRESUPUESTO: SI","PRESUPUESTO: NO")</f>
        <v>PRESUPUESTO: SI</v>
      </c>
      <c r="L1199" s="162">
        <f>SUMIF(PRESUPUESTO[CUENTA],EJECUTADO[[#This Row],[CUENTA]],PRESUPUESTO[MONTO])-SUMIF($F$1:F1198,EJECUTADO[[#This Row],[CUENTA]],$M$1:M1198)</f>
        <v>1500</v>
      </c>
      <c r="M1199" s="2">
        <v>60</v>
      </c>
      <c r="N1199" s="84"/>
      <c r="O1199" s="84"/>
      <c r="P1199" s="162">
        <f>+EJECUTADO[[#This Row],[MONTO SOLICITADO]]-EJECUTADO[[#This Row],[RETENCION IVA]]-EJECUTADO[[#This Row],[RETENCION ISR]]</f>
        <v>60</v>
      </c>
      <c r="Q1199" s="84" t="s">
        <v>1971</v>
      </c>
      <c r="R1199" s="84" t="s">
        <v>2111</v>
      </c>
      <c r="T1199" s="168" t="str">
        <f t="shared" si="47"/>
        <v>CAPACITACIÓN AL PERSONAL - Seguridad y Salud Ocupacional Disponible $1500 Solicitado $60 PRESUPUESTO: SI</v>
      </c>
    </row>
    <row r="1200" spans="1:20" ht="105" x14ac:dyDescent="0.25">
      <c r="A1200" s="6">
        <f>+A1197+1</f>
        <v>1096</v>
      </c>
      <c r="B1200" s="21">
        <v>45373</v>
      </c>
      <c r="C1200" s="126" t="s">
        <v>2824</v>
      </c>
      <c r="D1200" s="65" t="s">
        <v>2825</v>
      </c>
      <c r="E1200" s="65" t="s">
        <v>2826</v>
      </c>
      <c r="F1200" t="s">
        <v>1029</v>
      </c>
      <c r="G1200" s="161">
        <f>MONTH(EJECUTADO[[#This Row],[FECHA]])</f>
        <v>3</v>
      </c>
      <c r="H1200" s="163" t="str">
        <f>MID(EJECUTADO[[#This Row],[CUENTA]],1,4)</f>
        <v>E-18</v>
      </c>
      <c r="I1200" s="163" t="str">
        <f>INDEX(CATALOGO[Descripción],MATCH(EJECUTADO[[#This Row],[APLICACIÓN]]&amp;"-00-00-00",CATALOGO[Código],0))</f>
        <v>COMUNICACIÓN INSTITUCIONAL</v>
      </c>
      <c r="J12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Com. Interna - Arrendamiento de 5 mupis digitales: SB, BJ, FM, GL Y GM ($2,200 mens)</v>
      </c>
      <c r="K1200" s="161" t="str">
        <f>IF((EJECUTADO[[#This Row],[MONTO DISPONIBLE ]]-EJECUTADO[[#This Row],[MONTO SOLICITADO]])&gt;=0,"PRESUPUESTO: SI","PRESUPUESTO: NO")</f>
        <v>PRESUPUESTO: SI</v>
      </c>
      <c r="L1200" s="162">
        <f>SUMIF(PRESUPUESTO[CUENTA],EJECUTADO[[#This Row],[CUENTA]],PRESUPUESTO[MONTO])-SUMIF($F$1:F1197,EJECUTADO[[#This Row],[CUENTA]],$M$1:M1197)</f>
        <v>14088.65</v>
      </c>
      <c r="M1200" s="2">
        <v>2486</v>
      </c>
      <c r="N1200" s="84"/>
      <c r="O1200" s="84"/>
      <c r="P1200" s="162">
        <f>+EJECUTADO[[#This Row],[MONTO SOLICITADO]]-EJECUTADO[[#This Row],[RETENCION IVA]]-EJECUTADO[[#This Row],[RETENCION ISR]]</f>
        <v>2486</v>
      </c>
      <c r="Q1200" s="84" t="s">
        <v>1971</v>
      </c>
      <c r="R1200" s="84" t="s">
        <v>2111</v>
      </c>
      <c r="T1200" s="168" t="str">
        <f t="shared" si="44"/>
        <v>COMUNICACIÓN INSTITUCIONAL - Com. Interna - Arrendamiento de 5 mupis digitales: SB, BJ, FM, GL Y GM ($2,200 mens) Disponible $14088.65 Solicitado $2486 PRESUPUESTO: SI</v>
      </c>
    </row>
    <row r="1201" spans="1:20" ht="105" x14ac:dyDescent="0.25">
      <c r="A1201" s="115">
        <f t="shared" si="45"/>
        <v>1097</v>
      </c>
      <c r="B1201" s="118">
        <v>45373</v>
      </c>
      <c r="C1201" s="129" t="s">
        <v>2827</v>
      </c>
      <c r="D1201" s="116" t="s">
        <v>2828</v>
      </c>
      <c r="E1201" s="65" t="s">
        <v>2829</v>
      </c>
      <c r="F1201" t="s">
        <v>1275</v>
      </c>
      <c r="G1201" s="161">
        <f>MONTH(EJECUTADO[[#This Row],[FECHA]])</f>
        <v>3</v>
      </c>
      <c r="H1201" s="163" t="str">
        <f>MID(EJECUTADO[[#This Row],[CUENTA]],1,4)</f>
        <v>E-27</v>
      </c>
      <c r="I1201" s="163" t="str">
        <f>INDEX(CATALOGO[Descripción],MATCH(EJECUTADO[[#This Row],[APLICACIÓN]]&amp;"-00-00-00",CATALOGO[Código],0))</f>
        <v>INSUMOS DE OFICINA</v>
      </c>
      <c r="J12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</v>
      </c>
      <c r="K1201" s="161" t="str">
        <f>IF((EJECUTADO[[#This Row],[MONTO DISPONIBLE ]]-EJECUTADO[[#This Row],[MONTO SOLICITADO]])&gt;=0,"PRESUPUESTO: SI","PRESUPUESTO: NO")</f>
        <v>PRESUPUESTO: SI</v>
      </c>
      <c r="L1201" s="162">
        <f>SUMIF(PRESUPUESTO[CUENTA],EJECUTADO[[#This Row],[CUENTA]],PRESUPUESTO[MONTO])-SUMIF($F$1:F1200,EJECUTADO[[#This Row],[CUENTA]],$M$1:M1200)</f>
        <v>42038.61</v>
      </c>
      <c r="M1201" s="2">
        <v>1172.5</v>
      </c>
      <c r="N1201" s="84">
        <v>10.38</v>
      </c>
      <c r="O1201" s="84"/>
      <c r="P1201" s="162">
        <f>+EJECUTADO[[#This Row],[MONTO SOLICITADO]]-EJECUTADO[[#This Row],[RETENCION IVA]]-EJECUTADO[[#This Row],[RETENCION ISR]]</f>
        <v>1162.1199999999999</v>
      </c>
      <c r="Q1201" s="84" t="s">
        <v>1971</v>
      </c>
      <c r="R1201" s="84" t="s">
        <v>2111</v>
      </c>
      <c r="T1201" s="168" t="str">
        <f t="shared" si="44"/>
        <v>INSUMOS DE OFICINA - PAPELERIA Y UTILES Disponible $42038.61 Solicitado $1172.5 PRESUPUESTO: SI</v>
      </c>
    </row>
    <row r="1202" spans="1:20" ht="90" x14ac:dyDescent="0.25">
      <c r="A1202" s="115">
        <f t="shared" si="45"/>
        <v>1098</v>
      </c>
      <c r="B1202" s="118">
        <v>45373</v>
      </c>
      <c r="C1202" s="129" t="s">
        <v>2305</v>
      </c>
      <c r="D1202" s="116" t="s">
        <v>2830</v>
      </c>
      <c r="E1202" s="65" t="s">
        <v>2831</v>
      </c>
      <c r="F1202" t="s">
        <v>2832</v>
      </c>
      <c r="G1202" s="161">
        <f>MONTH(EJECUTADO[[#This Row],[FECHA]])</f>
        <v>3</v>
      </c>
      <c r="H1202" s="163" t="str">
        <f>MID(EJECUTADO[[#This Row],[CUENTA]],1,4)</f>
        <v>E-19</v>
      </c>
      <c r="I1202" s="163" t="str">
        <f>INDEX(CATALOGO[Descripción],MATCH(EJECUTADO[[#This Row],[APLICACIÓN]]&amp;"-00-00-00",CATALOGO[Código],0))</f>
        <v>MANTENIMIENTO</v>
      </c>
      <c r="J12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Cambio de techos en Casa 116, 118 y Tecnoimpresos</v>
      </c>
      <c r="K1202" s="161" t="str">
        <f>IF((EJECUTADO[[#This Row],[MONTO DISPONIBLE ]]-EJECUTADO[[#This Row],[MONTO SOLICITADO]])&gt;=0,"PRESUPUESTO: SI","PRESUPUESTO: NO")</f>
        <v>PRESUPUESTO: SI</v>
      </c>
      <c r="L1202" s="162">
        <f>SUMIF(PRESUPUESTO[CUENTA],EJECUTADO[[#This Row],[CUENTA]],PRESUPUESTO[MONTO])-SUMIF($F$1:F1201,EJECUTADO[[#This Row],[CUENTA]],$M$1:M1201)</f>
        <v>24636</v>
      </c>
      <c r="M1202" s="2">
        <v>3879.5</v>
      </c>
      <c r="N1202" s="84"/>
      <c r="O1202" s="84"/>
      <c r="P1202" s="162">
        <f>+EJECUTADO[[#This Row],[MONTO SOLICITADO]]-EJECUTADO[[#This Row],[RETENCION IVA]]-EJECUTADO[[#This Row],[RETENCION ISR]]</f>
        <v>3879.5</v>
      </c>
      <c r="Q1202" s="84" t="s">
        <v>1971</v>
      </c>
      <c r="R1202" s="84" t="s">
        <v>2111</v>
      </c>
      <c r="T1202" s="168" t="str">
        <f t="shared" si="44"/>
        <v>MANTENIMIENTO - Cambio de techos en Casa 116, 118 y Tecnoimpresos Disponible $24636 Solicitado $3879.5 PRESUPUESTO: SI</v>
      </c>
    </row>
    <row r="1203" spans="1:20" ht="90" x14ac:dyDescent="0.25">
      <c r="A1203" s="115" t="s">
        <v>2833</v>
      </c>
      <c r="B1203" s="118">
        <v>45373</v>
      </c>
      <c r="C1203" s="129" t="s">
        <v>2305</v>
      </c>
      <c r="D1203" s="116" t="s">
        <v>2834</v>
      </c>
      <c r="E1203" s="65" t="s">
        <v>2835</v>
      </c>
      <c r="F1203" t="s">
        <v>1047</v>
      </c>
      <c r="G1203" s="161">
        <f>MONTH(EJECUTADO[[#This Row],[FECHA]])</f>
        <v>3</v>
      </c>
      <c r="H1203" s="163" t="str">
        <f>MID(EJECUTADO[[#This Row],[CUENTA]],1,4)</f>
        <v>E-19</v>
      </c>
      <c r="I1203" s="163" t="str">
        <f>INDEX(CATALOGO[Descripción],MATCH(EJECUTADO[[#This Row],[APLICACIÓN]]&amp;"-00-00-00",CATALOGO[Código],0))</f>
        <v>MANTENIMIENTO</v>
      </c>
      <c r="J12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1203" s="161" t="str">
        <f>IF((EJECUTADO[[#This Row],[MONTO DISPONIBLE ]]-EJECUTADO[[#This Row],[MONTO SOLICITADO]])&gt;=0,"PRESUPUESTO: SI","PRESUPUESTO: NO")</f>
        <v>PRESUPUESTO: SI</v>
      </c>
      <c r="L1203" s="162">
        <f>SUMIF(PRESUPUESTO[CUENTA],EJECUTADO[[#This Row],[CUENTA]],PRESUPUESTO[MONTO])-SUMIF($F$1:F1202,EJECUTADO[[#This Row],[CUENTA]],$M$1:M1202)</f>
        <v>35497.5</v>
      </c>
      <c r="M1203" s="2">
        <v>19</v>
      </c>
      <c r="N1203" s="2"/>
      <c r="O1203" s="2"/>
      <c r="P1203" s="162">
        <f>+EJECUTADO[[#This Row],[MONTO SOLICITADO]]-EJECUTADO[[#This Row],[RETENCION IVA]]-EJECUTADO[[#This Row],[RETENCION ISR]]</f>
        <v>19</v>
      </c>
      <c r="Q1203" s="2" t="s">
        <v>1971</v>
      </c>
      <c r="R1203" s="2" t="s">
        <v>2111</v>
      </c>
      <c r="T1203" s="168" t="str">
        <f>_xlfn.CONCAT(I1203," - ",J1203," Disponible $",L1203," Solicitado $",M1203," ",K1203,)</f>
        <v>MANTENIMIENTO - Casos eventuales- mantenimiento imprevistos Disponible $35497.5 Solicitado $19 PRESUPUESTO: SI</v>
      </c>
    </row>
    <row r="1204" spans="1:20" ht="135" x14ac:dyDescent="0.25">
      <c r="A1204" s="115" t="s">
        <v>2836</v>
      </c>
      <c r="B1204" s="118">
        <v>45373</v>
      </c>
      <c r="C1204" s="129" t="s">
        <v>2305</v>
      </c>
      <c r="D1204" s="116" t="s">
        <v>2837</v>
      </c>
      <c r="E1204" s="65" t="s">
        <v>2838</v>
      </c>
      <c r="F1204" t="s">
        <v>1047</v>
      </c>
      <c r="G1204" s="161">
        <f>MONTH(EJECUTADO[[#This Row],[FECHA]])</f>
        <v>3</v>
      </c>
      <c r="H1204" s="163" t="str">
        <f>MID(EJECUTADO[[#This Row],[CUENTA]],1,4)</f>
        <v>E-19</v>
      </c>
      <c r="I1204" s="163" t="str">
        <f>INDEX(CATALOGO[Descripción],MATCH(EJECUTADO[[#This Row],[APLICACIÓN]]&amp;"-00-00-00",CATALOGO[Código],0))</f>
        <v>MANTENIMIENTO</v>
      </c>
      <c r="J12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Casos eventuales- mantenimiento imprevistos</v>
      </c>
      <c r="K1204" s="161" t="str">
        <f>IF((EJECUTADO[[#This Row],[MONTO DISPONIBLE ]]-EJECUTADO[[#This Row],[MONTO SOLICITADO]])&gt;=0,"PRESUPUESTO: SI","PRESUPUESTO: NO")</f>
        <v>PRESUPUESTO: SI</v>
      </c>
      <c r="L1204" s="162">
        <f>SUMIF(PRESUPUESTO[CUENTA],EJECUTADO[[#This Row],[CUENTA]],PRESUPUESTO[MONTO])-SUMIF($F$1:F1203,EJECUTADO[[#This Row],[CUENTA]],$M$1:M1203)</f>
        <v>35478.5</v>
      </c>
      <c r="M1204" s="2">
        <v>68.989999999999995</v>
      </c>
      <c r="N1204" s="2"/>
      <c r="O1204" s="2"/>
      <c r="P1204" s="162">
        <f>+EJECUTADO[[#This Row],[MONTO SOLICITADO]]-EJECUTADO[[#This Row],[RETENCION IVA]]-EJECUTADO[[#This Row],[RETENCION ISR]]</f>
        <v>68.989999999999995</v>
      </c>
      <c r="Q1204" s="2" t="s">
        <v>1971</v>
      </c>
      <c r="R1204" s="2" t="s">
        <v>2111</v>
      </c>
      <c r="T1204" s="168" t="str">
        <f>_xlfn.CONCAT(I1204," - ",J1204," Disponible $",L1204," Solicitado $",M1204," ",K1204,)</f>
        <v>MANTENIMIENTO - Casos eventuales- mantenimiento imprevistos Disponible $35478.5 Solicitado $68.99 PRESUPUESTO: SI</v>
      </c>
    </row>
    <row r="1205" spans="1:20" ht="90" x14ac:dyDescent="0.25">
      <c r="A1205" s="115" t="s">
        <v>2839</v>
      </c>
      <c r="B1205" s="118">
        <v>45373</v>
      </c>
      <c r="C1205" s="129" t="s">
        <v>2305</v>
      </c>
      <c r="D1205" s="116" t="s">
        <v>2840</v>
      </c>
      <c r="E1205" s="65" t="s">
        <v>2841</v>
      </c>
      <c r="F1205" t="s">
        <v>1810</v>
      </c>
      <c r="G1205" s="161">
        <f>MONTH(EJECUTADO[[#This Row],[FECHA]])</f>
        <v>3</v>
      </c>
      <c r="H1205" s="163" t="str">
        <f>MID(EJECUTADO[[#This Row],[CUENTA]],1,4)</f>
        <v>E-17</v>
      </c>
      <c r="I1205" s="163" t="str">
        <f>INDEX(CATALOGO[Descripción],MATCH(EJECUTADO[[#This Row],[APLICACIÓN]]&amp;"-00-00-00",CATALOGO[Código],0))</f>
        <v>MEDIOS DE COMUNICACIÓN</v>
      </c>
      <c r="J12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Estudio de TV - Mantenimiento equipo - Estudio de TV</v>
      </c>
      <c r="K1205" s="161" t="str">
        <f>IF((EJECUTADO[[#This Row],[MONTO DISPONIBLE ]]-EJECUTADO[[#This Row],[MONTO SOLICITADO]])&gt;=0,"PRESUPUESTO: SI","PRESUPUESTO: NO")</f>
        <v>PRESUPUESTO: SI</v>
      </c>
      <c r="L1205" s="162">
        <f>SUMIF(PRESUPUESTO[CUENTA],EJECUTADO[[#This Row],[CUENTA]],PRESUPUESTO[MONTO])-SUMIF($F$1:F1204,EJECUTADO[[#This Row],[CUENTA]],$M$1:M1204)</f>
        <v>798.95</v>
      </c>
      <c r="M1205" s="2">
        <v>87.5</v>
      </c>
      <c r="N1205" s="2"/>
      <c r="O1205" s="2"/>
      <c r="P1205" s="162">
        <f>+EJECUTADO[[#This Row],[MONTO SOLICITADO]]-EJECUTADO[[#This Row],[RETENCION IVA]]-EJECUTADO[[#This Row],[RETENCION ISR]]</f>
        <v>87.5</v>
      </c>
      <c r="Q1205" s="2" t="s">
        <v>1971</v>
      </c>
      <c r="R1205" s="2" t="s">
        <v>2111</v>
      </c>
      <c r="T1205" s="168" t="str">
        <f>_xlfn.CONCAT(I1205," - ",J1205," Disponible $",L1205," Solicitado $",M1205," ",K1205,)</f>
        <v>MEDIOS DE COMUNICACIÓN - Estudio de TV - Mantenimiento equipo - Estudio de TV Disponible $798.95 Solicitado $87.5 PRESUPUESTO: SI</v>
      </c>
    </row>
    <row r="1206" spans="1:20" ht="120" x14ac:dyDescent="0.25">
      <c r="A1206" s="115" t="s">
        <v>2842</v>
      </c>
      <c r="B1206" s="118">
        <v>45373</v>
      </c>
      <c r="C1206" s="129" t="s">
        <v>2305</v>
      </c>
      <c r="D1206" s="116" t="s">
        <v>2843</v>
      </c>
      <c r="E1206" s="65" t="s">
        <v>2844</v>
      </c>
      <c r="F1206" t="s">
        <v>1357</v>
      </c>
      <c r="G1206" s="161">
        <f>MONTH(EJECUTADO[[#This Row],[FECHA]])</f>
        <v>3</v>
      </c>
      <c r="H1206" s="163" t="str">
        <f>MID(EJECUTADO[[#This Row],[CUENTA]],1,4)</f>
        <v>E-19</v>
      </c>
      <c r="I1206" s="163" t="str">
        <f>INDEX(CATALOGO[Descripción],MATCH(EJECUTADO[[#This Row],[APLICACIÓN]]&amp;"-00-00-00",CATALOGO[Código],0))</f>
        <v>MANTENIMIENTO</v>
      </c>
      <c r="J12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Mantenimiento Pintura </v>
      </c>
      <c r="K1206" s="161" t="str">
        <f>IF((EJECUTADO[[#This Row],[MONTO DISPONIBLE ]]-EJECUTADO[[#This Row],[MONTO SOLICITADO]])&gt;=0,"PRESUPUESTO: SI","PRESUPUESTO: NO")</f>
        <v>PRESUPUESTO: SI</v>
      </c>
      <c r="L1206" s="162">
        <f>SUMIF(PRESUPUESTO[CUENTA],EJECUTADO[[#This Row],[CUENTA]],PRESUPUESTO[MONTO])-SUMIF($F$1:F1205,EJECUTADO[[#This Row],[CUENTA]],$M$1:M1205)</f>
        <v>19081.95</v>
      </c>
      <c r="M1206" s="2">
        <v>306.23</v>
      </c>
      <c r="N1206" s="2"/>
      <c r="O1206" s="2"/>
      <c r="P1206" s="162">
        <f>+EJECUTADO[[#This Row],[MONTO SOLICITADO]]-EJECUTADO[[#This Row],[RETENCION IVA]]-EJECUTADO[[#This Row],[RETENCION ISR]]</f>
        <v>306.23</v>
      </c>
      <c r="Q1206" s="2" t="s">
        <v>1971</v>
      </c>
      <c r="R1206" s="2" t="s">
        <v>2111</v>
      </c>
      <c r="T1206" s="168" t="str">
        <f>_xlfn.CONCAT(I1206," - ",J1206," Disponible $",L1206," Solicitado $",M1206," ",K1206,)</f>
        <v>MANTENIMIENTO - Dir. Mantenimiento - Mantenimiento Pintura  Disponible $19081.95 Solicitado $306.23 PRESUPUESTO: SI</v>
      </c>
    </row>
    <row r="1207" spans="1:20" ht="165" x14ac:dyDescent="0.25">
      <c r="A1207" s="115">
        <v>1099</v>
      </c>
      <c r="B1207" s="118">
        <v>45373</v>
      </c>
      <c r="C1207" s="129" t="s">
        <v>2845</v>
      </c>
      <c r="D1207" s="116" t="s">
        <v>2846</v>
      </c>
      <c r="E1207" s="65" t="s">
        <v>2847</v>
      </c>
      <c r="F1207" s="37" t="s">
        <v>2185</v>
      </c>
      <c r="G1207" s="161">
        <f>MONTH(EJECUTADO[[#This Row],[FECHA]])</f>
        <v>3</v>
      </c>
      <c r="H1207" s="163" t="str">
        <f>MID(EJECUTADO[[#This Row],[CUENTA]],1,4)</f>
        <v>A-34</v>
      </c>
      <c r="I1207" s="163" t="str">
        <f>INDEX(CATALOGO[Descripción],MATCH(EJECUTADO[[#This Row],[APLICACIÓN]]&amp;"-00-00-00",CATALOGO[Código],0))</f>
        <v>FONDOS AJENOS</v>
      </c>
      <c r="J12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1207" s="161" t="str">
        <f>IF((EJECUTADO[[#This Row],[MONTO DISPONIBLE ]]-EJECUTADO[[#This Row],[MONTO SOLICITADO]])&gt;=0,"PRESUPUESTO: SI","PRESUPUESTO: NO")</f>
        <v>PRESUPUESTO: SI</v>
      </c>
      <c r="L1207" s="162">
        <f>SUMIF(PRESUPUESTO[CUENTA],EJECUTADO[[#This Row],[CUENTA]],PRESUPUESTO[MONTO])-SUMIF($F$1:F1202,EJECUTADO[[#This Row],[CUENTA]],$M$1:M1202)</f>
        <v>13957.83</v>
      </c>
      <c r="M1207" s="2">
        <v>3421.08</v>
      </c>
      <c r="N1207" s="84"/>
      <c r="O1207" s="84"/>
      <c r="P1207" s="162">
        <f>+EJECUTADO[[#This Row],[MONTO SOLICITADO]]-EJECUTADO[[#This Row],[RETENCION IVA]]-EJECUTADO[[#This Row],[RETENCION ISR]]</f>
        <v>3421.08</v>
      </c>
      <c r="Q1207" s="84" t="s">
        <v>1971</v>
      </c>
      <c r="R1207" s="84" t="s">
        <v>2111</v>
      </c>
      <c r="T1207" s="168" t="str">
        <f t="shared" si="44"/>
        <v>FONDOS AJENOS - INGLES PARA UN FUTURO MEJOR Disponible $13957.83 Solicitado $3421.08 PRESUPUESTO: SI</v>
      </c>
    </row>
    <row r="1208" spans="1:20" ht="165" x14ac:dyDescent="0.25">
      <c r="A1208" s="115" t="s">
        <v>2848</v>
      </c>
      <c r="B1208" s="118">
        <v>45373</v>
      </c>
      <c r="C1208" s="129" t="s">
        <v>2845</v>
      </c>
      <c r="D1208" s="116" t="s">
        <v>2849</v>
      </c>
      <c r="E1208" s="65" t="s">
        <v>2850</v>
      </c>
      <c r="F1208" s="37" t="s">
        <v>2185</v>
      </c>
      <c r="G1208" s="161">
        <f>MONTH(EJECUTADO[[#This Row],[FECHA]])</f>
        <v>3</v>
      </c>
      <c r="H1208" s="163" t="str">
        <f>MID(EJECUTADO[[#This Row],[CUENTA]],1,4)</f>
        <v>A-34</v>
      </c>
      <c r="I1208" s="163" t="str">
        <f>INDEX(CATALOGO[Descripción],MATCH(EJECUTADO[[#This Row],[APLICACIÓN]]&amp;"-00-00-00",CATALOGO[Código],0))</f>
        <v>FONDOS AJENOS</v>
      </c>
      <c r="J12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1208" s="161" t="str">
        <f>IF((EJECUTADO[[#This Row],[MONTO DISPONIBLE ]]-EJECUTADO[[#This Row],[MONTO SOLICITADO]])&gt;=0,"PRESUPUESTO: SI","PRESUPUESTO: NO")</f>
        <v>PRESUPUESTO: SI</v>
      </c>
      <c r="L1208" s="162">
        <f>SUMIF(PRESUPUESTO[CUENTA],EJECUTADO[[#This Row],[CUENTA]],PRESUPUESTO[MONTO])-SUMIF($F$1:F1203,EJECUTADO[[#This Row],[CUENTA]],$M$1:M1203)</f>
        <v>13957.83</v>
      </c>
      <c r="M1208" s="2">
        <v>3118.8</v>
      </c>
      <c r="N1208" s="2"/>
      <c r="O1208" s="2"/>
      <c r="P1208" s="162">
        <f>+EJECUTADO[[#This Row],[MONTO SOLICITADO]]-EJECUTADO[[#This Row],[RETENCION IVA]]-EJECUTADO[[#This Row],[RETENCION ISR]]</f>
        <v>3118.8</v>
      </c>
      <c r="Q1208" s="2" t="s">
        <v>1971</v>
      </c>
      <c r="R1208" s="2" t="s">
        <v>2111</v>
      </c>
      <c r="T1208" s="168" t="str">
        <f>_xlfn.CONCAT(I1208," - ",J1208," Disponible $",L1208," Solicitado $",M1208," ",K1208,)</f>
        <v>FONDOS AJENOS - INGLES PARA UN FUTURO MEJOR Disponible $13957.83 Solicitado $3118.8 PRESUPUESTO: SI</v>
      </c>
    </row>
    <row r="1209" spans="1:20" ht="165" x14ac:dyDescent="0.25">
      <c r="A1209" s="115" t="s">
        <v>2851</v>
      </c>
      <c r="B1209" s="118">
        <v>45373</v>
      </c>
      <c r="C1209" s="129" t="s">
        <v>2845</v>
      </c>
      <c r="D1209" s="116" t="s">
        <v>2849</v>
      </c>
      <c r="E1209" s="65" t="s">
        <v>2852</v>
      </c>
      <c r="F1209" s="37" t="s">
        <v>2185</v>
      </c>
      <c r="G1209" s="161">
        <f>MONTH(EJECUTADO[[#This Row],[FECHA]])</f>
        <v>3</v>
      </c>
      <c r="H1209" s="163" t="str">
        <f>MID(EJECUTADO[[#This Row],[CUENTA]],1,4)</f>
        <v>A-34</v>
      </c>
      <c r="I1209" s="163" t="str">
        <f>INDEX(CATALOGO[Descripción],MATCH(EJECUTADO[[#This Row],[APLICACIÓN]]&amp;"-00-00-00",CATALOGO[Código],0))</f>
        <v>FONDOS AJENOS</v>
      </c>
      <c r="J12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1209" s="161" t="str">
        <f>IF((EJECUTADO[[#This Row],[MONTO DISPONIBLE ]]-EJECUTADO[[#This Row],[MONTO SOLICITADO]])&gt;=0,"PRESUPUESTO: SI","PRESUPUESTO: NO")</f>
        <v>PRESUPUESTO: SI</v>
      </c>
      <c r="L1209" s="162">
        <f>SUMIF(PRESUPUESTO[CUENTA],EJECUTADO[[#This Row],[CUENTA]],PRESUPUESTO[MONTO])-SUMIF($F$1:F1204,EJECUTADO[[#This Row],[CUENTA]],$M$1:M1204)</f>
        <v>13957.83</v>
      </c>
      <c r="M1209" s="2">
        <v>468.95</v>
      </c>
      <c r="N1209" s="2"/>
      <c r="O1209" s="2"/>
      <c r="P1209" s="162">
        <f>+EJECUTADO[[#This Row],[MONTO SOLICITADO]]-EJECUTADO[[#This Row],[RETENCION IVA]]-EJECUTADO[[#This Row],[RETENCION ISR]]</f>
        <v>468.95</v>
      </c>
      <c r="Q1209" s="2" t="s">
        <v>1971</v>
      </c>
      <c r="R1209" s="2" t="s">
        <v>2111</v>
      </c>
      <c r="T1209" s="168" t="str">
        <f>_xlfn.CONCAT(I1209," - ",J1209," Disponible $",L1209," Solicitado $",M1209," ",K1209,)</f>
        <v>FONDOS AJENOS - INGLES PARA UN FUTURO MEJOR Disponible $13957.83 Solicitado $468.95 PRESUPUESTO: SI</v>
      </c>
    </row>
    <row r="1210" spans="1:20" ht="90" x14ac:dyDescent="0.25">
      <c r="A1210" s="115">
        <f>+A1207+1</f>
        <v>1100</v>
      </c>
      <c r="B1210" s="118">
        <v>45373</v>
      </c>
      <c r="C1210" s="129" t="s">
        <v>1382</v>
      </c>
      <c r="D1210" s="116" t="s">
        <v>2853</v>
      </c>
      <c r="E1210" s="65" t="s">
        <v>2854</v>
      </c>
      <c r="F1210" s="37" t="s">
        <v>1384</v>
      </c>
      <c r="G1210" s="161">
        <f>MONTH(EJECUTADO[[#This Row],[FECHA]])</f>
        <v>3</v>
      </c>
      <c r="H1210" s="163" t="str">
        <f>MID(EJECUTADO[[#This Row],[CUENTA]],1,4)</f>
        <v>E-19</v>
      </c>
      <c r="I1210" s="163" t="str">
        <f>INDEX(CATALOGO[Descripción],MATCH(EJECUTADO[[#This Row],[APLICACIÓN]]&amp;"-00-00-00",CATALOGO[Código],0))</f>
        <v>MANTENIMIENTO</v>
      </c>
      <c r="J12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1210" s="161" t="str">
        <f>IF((EJECUTADO[[#This Row],[MONTO DISPONIBLE ]]-EJECUTADO[[#This Row],[MONTO SOLICITADO]])&gt;=0,"PRESUPUESTO: SI","PRESUPUESTO: NO")</f>
        <v>PRESUPUESTO: SI</v>
      </c>
      <c r="L1210" s="162">
        <f>SUMIF(PRESUPUESTO[CUENTA],EJECUTADO[[#This Row],[CUENTA]],PRESUPUESTO[MONTO])-SUMIF($F$1:F1207,EJECUTADO[[#This Row],[CUENTA]],$M$1:M1207)</f>
        <v>15690.720000000001</v>
      </c>
      <c r="M1210" s="2">
        <v>270</v>
      </c>
      <c r="N1210" s="84">
        <v>2.39</v>
      </c>
      <c r="O1210" s="84">
        <v>23.89</v>
      </c>
      <c r="P1210" s="162">
        <f>+EJECUTADO[[#This Row],[MONTO SOLICITADO]]-EJECUTADO[[#This Row],[RETENCION IVA]]-EJECUTADO[[#This Row],[RETENCION ISR]]</f>
        <v>243.72000000000003</v>
      </c>
      <c r="Q1210" s="84" t="s">
        <v>1971</v>
      </c>
      <c r="R1210" s="84" t="s">
        <v>2111</v>
      </c>
      <c r="T1210" s="168" t="str">
        <f t="shared" si="44"/>
        <v>MANTENIMIENTO - Mantenimiento de Limpieza Disponible $15690.72 Solicitado $270 PRESUPUESTO: SI</v>
      </c>
    </row>
    <row r="1211" spans="1:20" ht="90" x14ac:dyDescent="0.25">
      <c r="A1211" s="115" t="s">
        <v>2855</v>
      </c>
      <c r="B1211" s="118">
        <v>45373</v>
      </c>
      <c r="C1211" s="129" t="s">
        <v>1382</v>
      </c>
      <c r="D1211" s="116" t="s">
        <v>2853</v>
      </c>
      <c r="E1211" s="65" t="s">
        <v>2854</v>
      </c>
      <c r="F1211" s="37" t="s">
        <v>1973</v>
      </c>
      <c r="G1211" s="161">
        <f>MONTH(EJECUTADO[[#This Row],[FECHA]])</f>
        <v>3</v>
      </c>
      <c r="H1211" s="163" t="str">
        <f>MID(EJECUTADO[[#This Row],[CUENTA]],1,4)</f>
        <v>E-13</v>
      </c>
      <c r="I1211" s="163" t="str">
        <f>INDEX(CATALOGO[Descripción],MATCH(EJECUTADO[[#This Row],[APLICACIÓN]]&amp;"-00-00-00",CATALOGO[Código],0))</f>
        <v>MAESTRIAS Y POSTGRADOS</v>
      </c>
      <c r="J12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MATERIAL DE LIMPIEZA</v>
      </c>
      <c r="K1211" s="161" t="str">
        <f>IF((EJECUTADO[[#This Row],[MONTO DISPONIBLE ]]-EJECUTADO[[#This Row],[MONTO SOLICITADO]])&gt;=0,"PRESUPUESTO: SI","PRESUPUESTO: NO")</f>
        <v>PRESUPUESTO: SI</v>
      </c>
      <c r="L1211" s="162">
        <f>SUMIF(PRESUPUESTO[CUENTA],EJECUTADO[[#This Row],[CUENTA]],PRESUPUESTO[MONTO])-SUMIF($F$1:F1208,EJECUTADO[[#This Row],[CUENTA]],$M$1:M1208)</f>
        <v>1995</v>
      </c>
      <c r="M1211" s="2">
        <v>125</v>
      </c>
      <c r="N1211" s="2">
        <v>1.1100000000000001</v>
      </c>
      <c r="O1211" s="2">
        <v>11.07</v>
      </c>
      <c r="P1211" s="162">
        <f>+EJECUTADO[[#This Row],[MONTO SOLICITADO]]-EJECUTADO[[#This Row],[RETENCION IVA]]-EJECUTADO[[#This Row],[RETENCION ISR]]</f>
        <v>112.82</v>
      </c>
      <c r="Q1211" s="84" t="s">
        <v>1971</v>
      </c>
      <c r="R1211" s="84" t="s">
        <v>2111</v>
      </c>
      <c r="T1211" s="168" t="str">
        <f t="shared" ref="T1211" si="48">_xlfn.CONCAT(I1211," - ",J1211," Disponible $",L1211," Solicitado $",M1211," ",K1211,)</f>
        <v>MAESTRIAS Y POSTGRADOS - MATERIAL DE LIMPIEZA Disponible $1995 Solicitado $125 PRESUPUESTO: SI</v>
      </c>
    </row>
    <row r="1212" spans="1:20" ht="105" x14ac:dyDescent="0.25">
      <c r="A1212" s="6">
        <f>+A1210+1</f>
        <v>1101</v>
      </c>
      <c r="B1212" s="21">
        <v>45367</v>
      </c>
      <c r="C1212" s="126" t="s">
        <v>2856</v>
      </c>
      <c r="D1212" s="65" t="s">
        <v>2857</v>
      </c>
      <c r="E1212" s="65" t="s">
        <v>2750</v>
      </c>
      <c r="F1212" t="s">
        <v>1040</v>
      </c>
      <c r="G1212" s="161">
        <f>MONTH(EJECUTADO[[#This Row],[FECHA]])</f>
        <v>3</v>
      </c>
      <c r="H1212" s="163" t="str">
        <f>MID(EJECUTADO[[#This Row],[CUENTA]],1,4)</f>
        <v>E-23</v>
      </c>
      <c r="I1212" s="163" t="str">
        <f>INDEX(CATALOGO[Descripción],MATCH(EJECUTADO[[#This Row],[APLICACIÓN]]&amp;"-00-00-00",CATALOGO[Código],0))</f>
        <v>GASTOS DE VIAJE</v>
      </c>
      <c r="J12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BOLETOS Y VIATICOS A EJECUTIVOS</v>
      </c>
      <c r="K1212" s="161" t="str">
        <f>IF((EJECUTADO[[#This Row],[MONTO DISPONIBLE ]]-EJECUTADO[[#This Row],[MONTO SOLICITADO]])&gt;=0,"PRESUPUESTO: SI","PRESUPUESTO: NO")</f>
        <v>PRESUPUESTO: SI</v>
      </c>
      <c r="L1212" s="162">
        <f>SUMIF(PRESUPUESTO[CUENTA],EJECUTADO[[#This Row],[CUENTA]],PRESUPUESTO[MONTO])-SUMIF($F$1:F1210,EJECUTADO[[#This Row],[CUENTA]],$M$1:M1210)</f>
        <v>12317</v>
      </c>
      <c r="M1212" s="2">
        <v>1750</v>
      </c>
      <c r="N1212" s="84"/>
      <c r="O1212" s="84"/>
      <c r="P1212" s="162">
        <f>+EJECUTADO[[#This Row],[MONTO SOLICITADO]]-EJECUTADO[[#This Row],[RETENCION IVA]]-EJECUTADO[[#This Row],[RETENCION ISR]]</f>
        <v>1750</v>
      </c>
      <c r="Q1212" s="84" t="s">
        <v>1554</v>
      </c>
      <c r="R1212" s="84" t="s">
        <v>2858</v>
      </c>
      <c r="T1212" s="168" t="str">
        <f t="shared" si="44"/>
        <v>GASTOS DE VIAJE - BOLETOS Y VIATICOS A EJECUTIVOS Disponible $12317 Solicitado $1750 PRESUPUESTO: SI</v>
      </c>
    </row>
    <row r="1213" spans="1:20" ht="30" x14ac:dyDescent="0.25">
      <c r="A1213" s="6">
        <f t="shared" si="45"/>
        <v>1102</v>
      </c>
      <c r="B1213" s="175">
        <v>45382</v>
      </c>
      <c r="C1213" s="126" t="s">
        <v>2859</v>
      </c>
      <c r="D1213" s="65" t="s">
        <v>593</v>
      </c>
      <c r="E1213" s="65" t="s">
        <v>2860</v>
      </c>
      <c r="F1213" t="s">
        <v>2676</v>
      </c>
      <c r="G1213" s="161">
        <f>MONTH(EJECUTADO[[#This Row],[FECHA]])</f>
        <v>3</v>
      </c>
      <c r="H1213" s="163" t="str">
        <f>MID(EJECUTADO[[#This Row],[CUENTA]],1,4)</f>
        <v>E-21</v>
      </c>
      <c r="I1213" s="163" t="str">
        <f>INDEX(CATALOGO[Descripción],MATCH(EJECUTADO[[#This Row],[APLICACIÓN]]&amp;"-00-00-00",CATALOGO[Código],0))</f>
        <v>CENTRO DE FORMACION PROFESIONAL y EXT U</v>
      </c>
      <c r="J12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 Jeny E Sánchez</v>
      </c>
      <c r="K1213" s="161" t="str">
        <f>IF((EJECUTADO[[#This Row],[MONTO DISPONIBLE ]]-EJECUTADO[[#This Row],[MONTO SOLICITADO]])&gt;=0,"PRESUPUESTO: SI","PRESUPUESTO: NO")</f>
        <v>PRESUPUESTO: SI</v>
      </c>
      <c r="L1213" s="162">
        <f>SUMIF(PRESUPUESTO[CUENTA],EJECUTADO[[#This Row],[CUENTA]],PRESUPUESTO[MONTO])-SUMIF($F$1:F1212,EJECUTADO[[#This Row],[CUENTA]],$M$1:M1212)</f>
        <v>5000</v>
      </c>
      <c r="M1213" s="2">
        <v>228</v>
      </c>
      <c r="N1213" s="84"/>
      <c r="O1213" s="84"/>
      <c r="P1213" s="162">
        <f>+EJECUTADO[[#This Row],[MONTO SOLICITADO]]-EJECUTADO[[#This Row],[RETENCION IVA]]-EJECUTADO[[#This Row],[RETENCION ISR]]</f>
        <v>228</v>
      </c>
      <c r="Q1213" s="84"/>
      <c r="R1213" s="84"/>
      <c r="S1213">
        <v>1</v>
      </c>
      <c r="T1213" s="168" t="str">
        <f t="shared" si="44"/>
        <v>CENTRO DE FORMACION PROFESIONAL y EXT U - Sueldo Jeny E Sánchez Disponible $5000 Solicitado $228 PRESUPUESTO: SI</v>
      </c>
    </row>
    <row r="1214" spans="1:20" ht="30" x14ac:dyDescent="0.25">
      <c r="A1214" s="6">
        <f t="shared" si="45"/>
        <v>1103</v>
      </c>
      <c r="B1214" s="175">
        <v>45382</v>
      </c>
      <c r="C1214" s="126" t="s">
        <v>2859</v>
      </c>
      <c r="D1214" s="65" t="s">
        <v>256</v>
      </c>
      <c r="E1214" s="65" t="s">
        <v>2860</v>
      </c>
      <c r="F1214" t="s">
        <v>1481</v>
      </c>
      <c r="G1214" s="161">
        <f>MONTH(EJECUTADO[[#This Row],[FECHA]])</f>
        <v>3</v>
      </c>
      <c r="H1214" s="163" t="str">
        <f>MID(EJECUTADO[[#This Row],[CUENTA]],1,4)</f>
        <v>E-11</v>
      </c>
      <c r="I1214" s="163" t="str">
        <f>INDEX(CATALOGO[Descripción],MATCH(EJECUTADO[[#This Row],[APLICACIÓN]]&amp;"-00-00-00",CATALOGO[Código],0))</f>
        <v>INVESTIGACIONES</v>
      </c>
      <c r="J12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214" s="161" t="str">
        <f>IF((EJECUTADO[[#This Row],[MONTO DISPONIBLE ]]-EJECUTADO[[#This Row],[MONTO SOLICITADO]])&gt;=0,"PRESUPUESTO: SI","PRESUPUESTO: NO")</f>
        <v>PRESUPUESTO: SI</v>
      </c>
      <c r="L1214" s="162">
        <f>SUMIF(PRESUPUESTO[CUENTA],EJECUTADO[[#This Row],[CUENTA]],PRESUPUESTO[MONTO])-SUMIF($F$1:F1213,EJECUTADO[[#This Row],[CUENTA]],$M$1:M1213)</f>
        <v>222256.16</v>
      </c>
      <c r="M1214" s="2">
        <v>11037.7</v>
      </c>
      <c r="N1214" s="84"/>
      <c r="O1214" s="84"/>
      <c r="P1214" s="162">
        <f>+EJECUTADO[[#This Row],[MONTO SOLICITADO]]-EJECUTADO[[#This Row],[RETENCION IVA]]-EJECUTADO[[#This Row],[RETENCION ISR]]</f>
        <v>11037.7</v>
      </c>
      <c r="Q1214" s="84"/>
      <c r="R1214" s="84"/>
      <c r="S1214">
        <v>1</v>
      </c>
      <c r="T1214" s="168" t="str">
        <f t="shared" si="44"/>
        <v>INVESTIGACIONES - SUELDOS Y SALARIOS Disponible $222256.16 Solicitado $11037.7 PRESUPUESTO: SI</v>
      </c>
    </row>
    <row r="1215" spans="1:20" ht="30" x14ac:dyDescent="0.25">
      <c r="A1215" s="6">
        <f t="shared" si="45"/>
        <v>1104</v>
      </c>
      <c r="B1215" s="175">
        <v>45382</v>
      </c>
      <c r="C1215" s="126" t="s">
        <v>2859</v>
      </c>
      <c r="D1215" s="65" t="s">
        <v>256</v>
      </c>
      <c r="E1215" s="65" t="s">
        <v>2860</v>
      </c>
      <c r="F1215" t="s">
        <v>1483</v>
      </c>
      <c r="G1215" s="161">
        <f>MONTH(EJECUTADO[[#This Row],[FECHA]])</f>
        <v>3</v>
      </c>
      <c r="H1215" s="163" t="str">
        <f>MID(EJECUTADO[[#This Row],[CUENTA]],1,4)</f>
        <v>E-12</v>
      </c>
      <c r="I1215" s="163" t="str">
        <f>INDEX(CATALOGO[Descripción],MATCH(EJECUTADO[[#This Row],[APLICACIÓN]]&amp;"-00-00-00",CATALOGO[Código],0))</f>
        <v>PROYECCION SOCIAL</v>
      </c>
      <c r="J12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215" s="161" t="str">
        <f>IF((EJECUTADO[[#This Row],[MONTO DISPONIBLE ]]-EJECUTADO[[#This Row],[MONTO SOLICITADO]])&gt;=0,"PRESUPUESTO: SI","PRESUPUESTO: NO")</f>
        <v>PRESUPUESTO: SI</v>
      </c>
      <c r="L1215" s="162">
        <f>SUMIF(PRESUPUESTO[CUENTA],EJECUTADO[[#This Row],[CUENTA]],PRESUPUESTO[MONTO])-SUMIF($F$1:F1214,EJECUTADO[[#This Row],[CUENTA]],$M$1:M1214)</f>
        <v>39141.1</v>
      </c>
      <c r="M1215" s="2">
        <v>3376.43</v>
      </c>
      <c r="N1215" s="84"/>
      <c r="O1215" s="84"/>
      <c r="P1215" s="162">
        <f>+EJECUTADO[[#This Row],[MONTO SOLICITADO]]-EJECUTADO[[#This Row],[RETENCION IVA]]-EJECUTADO[[#This Row],[RETENCION ISR]]</f>
        <v>3376.43</v>
      </c>
      <c r="Q1215" s="84"/>
      <c r="R1215" s="84"/>
      <c r="S1215">
        <v>1</v>
      </c>
      <c r="T1215" s="168" t="str">
        <f t="shared" si="44"/>
        <v>PROYECCION SOCIAL - SUELDOS Y SALARIOS Disponible $39141.1 Solicitado $3376.43 PRESUPUESTO: SI</v>
      </c>
    </row>
    <row r="1216" spans="1:20" ht="30" x14ac:dyDescent="0.25">
      <c r="A1216" s="6">
        <f t="shared" si="45"/>
        <v>1105</v>
      </c>
      <c r="B1216" s="175">
        <v>45382</v>
      </c>
      <c r="C1216" s="126" t="s">
        <v>2859</v>
      </c>
      <c r="D1216" s="65" t="s">
        <v>256</v>
      </c>
      <c r="E1216" s="65" t="s">
        <v>2860</v>
      </c>
      <c r="F1216" t="s">
        <v>1468</v>
      </c>
      <c r="G1216" s="161">
        <f>MONTH(EJECUTADO[[#This Row],[FECHA]])</f>
        <v>3</v>
      </c>
      <c r="H1216" s="163" t="str">
        <f>MID(EJECUTADO[[#This Row],[CUENTA]],1,4)</f>
        <v>E-13</v>
      </c>
      <c r="I1216" s="163" t="str">
        <f>INDEX(CATALOGO[Descripción],MATCH(EJECUTADO[[#This Row],[APLICACIÓN]]&amp;"-00-00-00",CATALOGO[Código],0))</f>
        <v>MAESTRIAS Y POSTGRADOS</v>
      </c>
      <c r="J12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216" s="161" t="str">
        <f>IF((EJECUTADO[[#This Row],[MONTO DISPONIBLE ]]-EJECUTADO[[#This Row],[MONTO SOLICITADO]])&gt;=0,"PRESUPUESTO: SI","PRESUPUESTO: NO")</f>
        <v>PRESUPUESTO: SI</v>
      </c>
      <c r="L1216" s="162">
        <f>SUMIF(PRESUPUESTO[CUENTA],EJECUTADO[[#This Row],[CUENTA]],PRESUPUESTO[MONTO])-SUMIF($F$1:F1215,EJECUTADO[[#This Row],[CUENTA]],$M$1:M1215)</f>
        <v>85359.37</v>
      </c>
      <c r="M1216" s="2">
        <v>5671.5</v>
      </c>
      <c r="N1216" s="84"/>
      <c r="O1216" s="84"/>
      <c r="P1216" s="162">
        <f>+EJECUTADO[[#This Row],[MONTO SOLICITADO]]-EJECUTADO[[#This Row],[RETENCION IVA]]-EJECUTADO[[#This Row],[RETENCION ISR]]</f>
        <v>5671.5</v>
      </c>
      <c r="Q1216" s="84"/>
      <c r="R1216" s="84"/>
      <c r="S1216">
        <v>1</v>
      </c>
      <c r="T1216" s="168" t="str">
        <f t="shared" si="44"/>
        <v>MAESTRIAS Y POSTGRADOS - SUELDOS Y SALARIOS Disponible $85359.37 Solicitado $5671.5 PRESUPUESTO: SI</v>
      </c>
    </row>
    <row r="1217" spans="1:20" ht="30" x14ac:dyDescent="0.25">
      <c r="A1217" s="6">
        <f t="shared" si="45"/>
        <v>1106</v>
      </c>
      <c r="B1217" s="175">
        <v>45382</v>
      </c>
      <c r="C1217" s="126" t="s">
        <v>2859</v>
      </c>
      <c r="D1217" s="65" t="s">
        <v>256</v>
      </c>
      <c r="E1217" s="65" t="s">
        <v>2860</v>
      </c>
      <c r="F1217" t="s">
        <v>1485</v>
      </c>
      <c r="G1217" s="161">
        <f>MONTH(EJECUTADO[[#This Row],[FECHA]])</f>
        <v>3</v>
      </c>
      <c r="H1217" s="163" t="str">
        <f>MID(EJECUTADO[[#This Row],[CUENTA]],1,4)</f>
        <v>E-16</v>
      </c>
      <c r="I1217" s="163" t="str">
        <f>INDEX(CATALOGO[Descripción],MATCH(EJECUTADO[[#This Row],[APLICACIÓN]]&amp;"-00-00-00",CATALOGO[Código],0))</f>
        <v xml:space="preserve">PRE-ESPECIALIDAD </v>
      </c>
      <c r="J12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</v>
      </c>
      <c r="K1217" s="161" t="str">
        <f>IF((EJECUTADO[[#This Row],[MONTO DISPONIBLE ]]-EJECUTADO[[#This Row],[MONTO SOLICITADO]])&gt;=0,"PRESUPUESTO: SI","PRESUPUESTO: NO")</f>
        <v>PRESUPUESTO: SI</v>
      </c>
      <c r="L1217" s="162">
        <f>SUMIF(PRESUPUESTO[CUENTA],EJECUTADO[[#This Row],[CUENTA]],PRESUPUESTO[MONTO])-SUMIF($F$1:F1216,EJECUTADO[[#This Row],[CUENTA]],$M$1:M1216)</f>
        <v>25675</v>
      </c>
      <c r="M1217" s="2">
        <v>1111.5</v>
      </c>
      <c r="N1217" s="84"/>
      <c r="O1217" s="84"/>
      <c r="P1217" s="162">
        <f>+EJECUTADO[[#This Row],[MONTO SOLICITADO]]-EJECUTADO[[#This Row],[RETENCION IVA]]-EJECUTADO[[#This Row],[RETENCION ISR]]</f>
        <v>1111.5</v>
      </c>
      <c r="Q1217" s="84"/>
      <c r="R1217" s="84"/>
      <c r="S1217">
        <v>1</v>
      </c>
      <c r="T1217" s="168" t="str">
        <f t="shared" si="44"/>
        <v>PRE-ESPECIALIDAD  - SUELDOS Y SALARIOS  Disponible $25675 Solicitado $1111.5 PRESUPUESTO: SI</v>
      </c>
    </row>
    <row r="1218" spans="1:20" ht="30" x14ac:dyDescent="0.25">
      <c r="A1218" s="6">
        <f t="shared" si="45"/>
        <v>1107</v>
      </c>
      <c r="B1218" s="175">
        <v>45382</v>
      </c>
      <c r="C1218" s="126" t="s">
        <v>2859</v>
      </c>
      <c r="D1218" s="65" t="s">
        <v>256</v>
      </c>
      <c r="E1218" s="65" t="s">
        <v>2860</v>
      </c>
      <c r="F1218" t="s">
        <v>1470</v>
      </c>
      <c r="G1218" s="161">
        <f>MONTH(EJECUTADO[[#This Row],[FECHA]])</f>
        <v>3</v>
      </c>
      <c r="H1218" s="163" t="str">
        <f>MID(EJECUTADO[[#This Row],[CUENTA]],1,4)</f>
        <v>E-25</v>
      </c>
      <c r="I1218" s="163" t="str">
        <f>INDEX(CATALOGO[Descripción],MATCH(EJECUTADO[[#This Row],[APLICACIÓN]]&amp;"-00-00-00",CATALOGO[Código],0))</f>
        <v>DECANATO DE ESTUDIANTES</v>
      </c>
      <c r="J12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218" s="161" t="str">
        <f>IF((EJECUTADO[[#This Row],[MONTO DISPONIBLE ]]-EJECUTADO[[#This Row],[MONTO SOLICITADO]])&gt;=0,"PRESUPUESTO: SI","PRESUPUESTO: NO")</f>
        <v>PRESUPUESTO: SI</v>
      </c>
      <c r="L1218" s="162">
        <f>SUMIF(PRESUPUESTO[CUENTA],EJECUTADO[[#This Row],[CUENTA]],PRESUPUESTO[MONTO])-SUMIF($F$1:F1217,EJECUTADO[[#This Row],[CUENTA]],$M$1:M1217)</f>
        <v>45611.53</v>
      </c>
      <c r="M1218" s="2">
        <v>2561.33</v>
      </c>
      <c r="N1218" s="84"/>
      <c r="O1218" s="84"/>
      <c r="P1218" s="162">
        <f>+EJECUTADO[[#This Row],[MONTO SOLICITADO]]-EJECUTADO[[#This Row],[RETENCION IVA]]-EJECUTADO[[#This Row],[RETENCION ISR]]</f>
        <v>2561.33</v>
      </c>
      <c r="Q1218" s="84"/>
      <c r="R1218" s="84"/>
      <c r="S1218">
        <v>1</v>
      </c>
      <c r="T1218" s="168" t="str">
        <f t="shared" si="44"/>
        <v>DECANATO DE ESTUDIANTES - SUELDOS Y SALARIOS Disponible $45611.53 Solicitado $2561.33 PRESUPUESTO: SI</v>
      </c>
    </row>
    <row r="1219" spans="1:20" ht="30" x14ac:dyDescent="0.25">
      <c r="A1219" s="6">
        <f t="shared" si="45"/>
        <v>1108</v>
      </c>
      <c r="B1219" s="175">
        <v>45382</v>
      </c>
      <c r="C1219" s="126" t="s">
        <v>2859</v>
      </c>
      <c r="D1219" s="65" t="s">
        <v>256</v>
      </c>
      <c r="E1219" s="65" t="s">
        <v>2860</v>
      </c>
      <c r="F1219" t="s">
        <v>1436</v>
      </c>
      <c r="G1219" s="161">
        <f>MONTH(EJECUTADO[[#This Row],[FECHA]])</f>
        <v>3</v>
      </c>
      <c r="H1219" s="163" t="str">
        <f>MID(EJECUTADO[[#This Row],[CUENTA]],1,4)</f>
        <v>E-28</v>
      </c>
      <c r="I1219" s="163" t="str">
        <f>INDEX(CATALOGO[Descripción],MATCH(EJECUTADO[[#This Row],[APLICACIÓN]]&amp;"-00-00-00",CATALOGO[Código],0))</f>
        <v>INSTITUTO DE GRADUADOS</v>
      </c>
      <c r="J12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</v>
      </c>
      <c r="K1219" s="161" t="str">
        <f>IF((EJECUTADO[[#This Row],[MONTO DISPONIBLE ]]-EJECUTADO[[#This Row],[MONTO SOLICITADO]])&gt;=0,"PRESUPUESTO: SI","PRESUPUESTO: NO")</f>
        <v>PRESUPUESTO: SI</v>
      </c>
      <c r="L1219" s="162">
        <f>SUMIF(PRESUPUESTO[CUENTA],EJECUTADO[[#This Row],[CUENTA]],PRESUPUESTO[MONTO])-SUMIF($F$1:F1218,EJECUTADO[[#This Row],[CUENTA]],$M$1:M1218)</f>
        <v>37275</v>
      </c>
      <c r="M1219" s="2">
        <v>2023.5</v>
      </c>
      <c r="N1219" s="84"/>
      <c r="O1219" s="84"/>
      <c r="P1219" s="162">
        <f>+EJECUTADO[[#This Row],[MONTO SOLICITADO]]-EJECUTADO[[#This Row],[RETENCION IVA]]-EJECUTADO[[#This Row],[RETENCION ISR]]</f>
        <v>2023.5</v>
      </c>
      <c r="Q1219" s="84"/>
      <c r="R1219" s="84"/>
      <c r="S1219">
        <v>1</v>
      </c>
      <c r="T1219" s="168" t="str">
        <f t="shared" si="44"/>
        <v>INSTITUTO DE GRADUADOS - SUELDOS Y SALARIOS Disponible $37275 Solicitado $2023.5 PRESUPUESTO: SI</v>
      </c>
    </row>
    <row r="1220" spans="1:20" ht="45" x14ac:dyDescent="0.25">
      <c r="A1220" s="6">
        <f t="shared" si="45"/>
        <v>1109</v>
      </c>
      <c r="B1220" s="175">
        <v>45382</v>
      </c>
      <c r="C1220" s="126" t="s">
        <v>2859</v>
      </c>
      <c r="D1220" s="65" t="s">
        <v>160</v>
      </c>
      <c r="E1220" s="65" t="s">
        <v>2860</v>
      </c>
      <c r="F1220" t="s">
        <v>1484</v>
      </c>
      <c r="G1220" s="161">
        <f>MONTH(EJECUTADO[[#This Row],[FECHA]])</f>
        <v>3</v>
      </c>
      <c r="H1220" s="163" t="str">
        <f>MID(EJECUTADO[[#This Row],[CUENTA]],1,4)</f>
        <v>E-04</v>
      </c>
      <c r="I1220" s="163" t="str">
        <f>INDEX(CATALOGO[Descripción],MATCH(EJECUTADO[[#This Row],[APLICACIÓN]]&amp;"-00-00-00",CATALOGO[Código],0))</f>
        <v>SUELDOS ACADÉMICOS</v>
      </c>
      <c r="J12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ADMÓN ACADÉMICA</v>
      </c>
      <c r="K1220" s="161" t="str">
        <f>IF((EJECUTADO[[#This Row],[MONTO DISPONIBLE ]]-EJECUTADO[[#This Row],[MONTO SOLICITADO]])&gt;=0,"PRESUPUESTO: SI","PRESUPUESTO: NO")</f>
        <v>PRESUPUESTO: SI</v>
      </c>
      <c r="L1220" s="162">
        <f>SUMIF(PRESUPUESTO[CUENTA],EJECUTADO[[#This Row],[CUENTA]],PRESUPUESTO[MONTO])-SUMIF($F$1:F1219,EJECUTADO[[#This Row],[CUENTA]],$M$1:M1219)</f>
        <v>88125</v>
      </c>
      <c r="M1220" s="2">
        <v>4702.5</v>
      </c>
      <c r="N1220" s="84"/>
      <c r="O1220" s="84"/>
      <c r="P1220" s="162">
        <f>+EJECUTADO[[#This Row],[MONTO SOLICITADO]]-EJECUTADO[[#This Row],[RETENCION IVA]]-EJECUTADO[[#This Row],[RETENCION ISR]]</f>
        <v>4702.5</v>
      </c>
      <c r="Q1220" s="84"/>
      <c r="R1220" s="84"/>
      <c r="S1220">
        <v>1</v>
      </c>
      <c r="T1220" s="168" t="str">
        <f t="shared" si="44"/>
        <v>SUELDOS ACADÉMICOS - SUELDOS Y SALARIOS ADMÓN ACADÉMICA Disponible $88125 Solicitado $4702.5 PRESUPUESTO: SI</v>
      </c>
    </row>
    <row r="1221" spans="1:20" ht="45" x14ac:dyDescent="0.25">
      <c r="A1221" s="6">
        <f t="shared" si="45"/>
        <v>1110</v>
      </c>
      <c r="B1221" s="175">
        <v>45382</v>
      </c>
      <c r="C1221" s="126" t="s">
        <v>2859</v>
      </c>
      <c r="D1221" s="65" t="s">
        <v>147</v>
      </c>
      <c r="E1221" s="65" t="s">
        <v>2860</v>
      </c>
      <c r="F1221" t="s">
        <v>1479</v>
      </c>
      <c r="G1221" s="161">
        <f>MONTH(EJECUTADO[[#This Row],[FECHA]])</f>
        <v>3</v>
      </c>
      <c r="H1221" s="163" t="str">
        <f>MID(EJECUTADO[[#This Row],[CUENTA]],1,4)</f>
        <v>E-03</v>
      </c>
      <c r="I1221" s="163" t="str">
        <f>INDEX(CATALOGO[Descripción],MATCH(EJECUTADO[[#This Row],[APLICACIÓN]]&amp;"-00-00-00",CATALOGO[Código],0))</f>
        <v>SUELDOS ADMINISTRATIVOS</v>
      </c>
      <c r="J122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CLINICA EMPRESARIAL</v>
      </c>
      <c r="K1221" s="161" t="str">
        <f>IF((EJECUTADO[[#This Row],[MONTO DISPONIBLE ]]-EJECUTADO[[#This Row],[MONTO SOLICITADO]])&gt;=0,"PRESUPUESTO: SI","PRESUPUESTO: NO")</f>
        <v>PRESUPUESTO: SI</v>
      </c>
      <c r="L1221" s="162">
        <f>SUMIF(PRESUPUESTO[CUENTA],EJECUTADO[[#This Row],[CUENTA]],PRESUPUESTO[MONTO])-SUMIF($F$1:F1220,EJECUTADO[[#This Row],[CUENTA]],$M$1:M1220)</f>
        <v>28721.42</v>
      </c>
      <c r="M1221" s="2">
        <v>1093.3399999999999</v>
      </c>
      <c r="N1221" s="84"/>
      <c r="O1221" s="84"/>
      <c r="P1221" s="162">
        <f>+EJECUTADO[[#This Row],[MONTO SOLICITADO]]-EJECUTADO[[#This Row],[RETENCION IVA]]-EJECUTADO[[#This Row],[RETENCION ISR]]</f>
        <v>1093.3399999999999</v>
      </c>
      <c r="Q1221" s="84"/>
      <c r="R1221" s="84"/>
      <c r="S1221">
        <v>1</v>
      </c>
      <c r="T1221" s="168" t="str">
        <f t="shared" si="44"/>
        <v>SUELDOS ADMINISTRATIVOS - SUELDOS Y SALARIOS CLINICA EMPRESARIAL Disponible $28721.42 Solicitado $1093.34 PRESUPUESTO: SI</v>
      </c>
    </row>
    <row r="1222" spans="1:20" ht="60" x14ac:dyDescent="0.25">
      <c r="A1222" s="6">
        <f t="shared" si="45"/>
        <v>1111</v>
      </c>
      <c r="B1222" s="175">
        <v>45382</v>
      </c>
      <c r="C1222" s="126" t="s">
        <v>2859</v>
      </c>
      <c r="D1222" s="65" t="s">
        <v>145</v>
      </c>
      <c r="E1222" s="65" t="s">
        <v>2860</v>
      </c>
      <c r="F1222" t="s">
        <v>1229</v>
      </c>
      <c r="G1222" s="161">
        <f>MONTH(EJECUTADO[[#This Row],[FECHA]])</f>
        <v>3</v>
      </c>
      <c r="H1222" s="163" t="str">
        <f>MID(EJECUTADO[[#This Row],[CUENTA]],1,4)</f>
        <v>E-03</v>
      </c>
      <c r="I1222" s="163" t="str">
        <f>INDEX(CATALOGO[Descripción],MATCH(EJECUTADO[[#This Row],[APLICACIÓN]]&amp;"-00-00-00",CATALOGO[Código],0))</f>
        <v>SUELDOS ADMINISTRATIVOS</v>
      </c>
      <c r="J122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1222" s="161" t="str">
        <f>IF((EJECUTADO[[#This Row],[MONTO DISPONIBLE ]]-EJECUTADO[[#This Row],[MONTO SOLICITADO]])&gt;=0,"PRESUPUESTO: SI","PRESUPUESTO: NO")</f>
        <v>PRESUPUESTO: SI</v>
      </c>
      <c r="L1222" s="162">
        <f>SUMIF(PRESUPUESTO[CUENTA],EJECUTADO[[#This Row],[CUENTA]],PRESUPUESTO[MONTO])-SUMIF($F$1:F1221,EJECUTADO[[#This Row],[CUENTA]],$M$1:M1221)</f>
        <v>108850</v>
      </c>
      <c r="M1222" s="2">
        <v>4959</v>
      </c>
      <c r="N1222" s="84"/>
      <c r="O1222" s="84"/>
      <c r="P1222" s="162">
        <f>+EJECUTADO[[#This Row],[MONTO SOLICITADO]]-EJECUTADO[[#This Row],[RETENCION IVA]]-EJECUTADO[[#This Row],[RETENCION ISR]]</f>
        <v>4959</v>
      </c>
      <c r="Q1222" s="84"/>
      <c r="R1222" s="84"/>
      <c r="S1222">
        <v>1</v>
      </c>
      <c r="T1222" s="168" t="str">
        <f t="shared" si="44"/>
        <v>SUELDOS ADMINISTRATIVOS - SUELDOS Y SALARIOS DIRECCIÓN DE COMUNICACIONES Disponible $108850 Solicitado $4959 PRESUPUESTO: SI</v>
      </c>
    </row>
    <row r="1223" spans="1:20" ht="60" x14ac:dyDescent="0.25">
      <c r="A1223" s="6">
        <f t="shared" si="45"/>
        <v>1112</v>
      </c>
      <c r="B1223" s="175">
        <v>45382</v>
      </c>
      <c r="C1223" s="126" t="s">
        <v>2859</v>
      </c>
      <c r="D1223" s="65" t="s">
        <v>164</v>
      </c>
      <c r="E1223" s="65" t="s">
        <v>2860</v>
      </c>
      <c r="F1223" t="s">
        <v>1440</v>
      </c>
      <c r="G1223" s="161">
        <f>MONTH(EJECUTADO[[#This Row],[FECHA]])</f>
        <v>3</v>
      </c>
      <c r="H1223" s="163" t="str">
        <f>MID(EJECUTADO[[#This Row],[CUENTA]],1,4)</f>
        <v>E-04</v>
      </c>
      <c r="I1223" s="163" t="str">
        <f>INDEX(CATALOGO[Descripción],MATCH(EJECUTADO[[#This Row],[APLICACIÓN]]&amp;"-00-00-00",CATALOGO[Código],0))</f>
        <v>SUELDOS ACADÉMICOS</v>
      </c>
      <c r="J122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CULTURA</v>
      </c>
      <c r="K1223" s="161" t="str">
        <f>IF((EJECUTADO[[#This Row],[MONTO DISPONIBLE ]]-EJECUTADO[[#This Row],[MONTO SOLICITADO]])&gt;=0,"PRESUPUESTO: SI","PRESUPUESTO: NO")</f>
        <v>PRESUPUESTO: SI</v>
      </c>
      <c r="L1223" s="162">
        <f>SUMIF(PRESUPUESTO[CUENTA],EJECUTADO[[#This Row],[CUENTA]],PRESUPUESTO[MONTO])-SUMIF($F$1:F1222,EJECUTADO[[#This Row],[CUENTA]],$M$1:M1222)</f>
        <v>70650</v>
      </c>
      <c r="M1223" s="2">
        <v>3591</v>
      </c>
      <c r="N1223" s="84"/>
      <c r="O1223" s="84"/>
      <c r="P1223" s="162">
        <f>+EJECUTADO[[#This Row],[MONTO SOLICITADO]]-EJECUTADO[[#This Row],[RETENCION IVA]]-EJECUTADO[[#This Row],[RETENCION ISR]]</f>
        <v>3591</v>
      </c>
      <c r="Q1223" s="84"/>
      <c r="R1223" s="84"/>
      <c r="S1223">
        <v>1</v>
      </c>
      <c r="T1223" s="168" t="str">
        <f t="shared" si="44"/>
        <v>SUELDOS ACADÉMICOS - SUELDOS Y SALARIOS DIRECCIÓN DE CULTURA Disponible $70650 Solicitado $3591 PRESUPUESTO: SI</v>
      </c>
    </row>
    <row r="1224" spans="1:20" ht="60" x14ac:dyDescent="0.25">
      <c r="A1224" s="6">
        <f t="shared" si="45"/>
        <v>1113</v>
      </c>
      <c r="B1224" s="175">
        <v>45382</v>
      </c>
      <c r="C1224" s="126" t="s">
        <v>2859</v>
      </c>
      <c r="D1224" s="65" t="s">
        <v>159</v>
      </c>
      <c r="E1224" s="65" t="s">
        <v>2860</v>
      </c>
      <c r="F1224" t="s">
        <v>1487</v>
      </c>
      <c r="G1224" s="161">
        <f>MONTH(EJECUTADO[[#This Row],[FECHA]])</f>
        <v>3</v>
      </c>
      <c r="H1224" s="163" t="str">
        <f>MID(EJECUTADO[[#This Row],[CUENTA]],1,4)</f>
        <v>E-04</v>
      </c>
      <c r="I1224" s="163" t="str">
        <f>INDEX(CATALOGO[Descripción],MATCH(EJECUTADO[[#This Row],[APLICACIÓN]]&amp;"-00-00-00",CATALOGO[Código],0))</f>
        <v>SUELDOS ACADÉMICOS</v>
      </c>
      <c r="J12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INFORMÁTICA</v>
      </c>
      <c r="K1224" s="161" t="str">
        <f>IF((EJECUTADO[[#This Row],[MONTO DISPONIBLE ]]-EJECUTADO[[#This Row],[MONTO SOLICITADO]])&gt;=0,"PRESUPUESTO: SI","PRESUPUESTO: NO")</f>
        <v>PRESUPUESTO: SI</v>
      </c>
      <c r="L1224" s="162">
        <f>SUMIF(PRESUPUESTO[CUENTA],EJECUTADO[[#This Row],[CUENTA]],PRESUPUESTO[MONTO])-SUMIF($F$1:F1223,EJECUTADO[[#This Row],[CUENTA]],$M$1:M1223)</f>
        <v>138081.66</v>
      </c>
      <c r="M1224" s="2">
        <v>7495.5</v>
      </c>
      <c r="N1224" s="84"/>
      <c r="O1224" s="84"/>
      <c r="P1224" s="162">
        <f>+EJECUTADO[[#This Row],[MONTO SOLICITADO]]-EJECUTADO[[#This Row],[RETENCION IVA]]-EJECUTADO[[#This Row],[RETENCION ISR]]</f>
        <v>7495.5</v>
      </c>
      <c r="Q1224" s="84"/>
      <c r="R1224" s="84"/>
      <c r="S1224">
        <v>1</v>
      </c>
      <c r="T1224" s="168" t="str">
        <f t="shared" si="44"/>
        <v>SUELDOS ACADÉMICOS - SUELDOS Y SALARIOS DIRECCIÓN DE INFORMÁTICA Disponible $138081.66 Solicitado $7495.5 PRESUPUESTO: SI</v>
      </c>
    </row>
    <row r="1225" spans="1:20" ht="75" x14ac:dyDescent="0.25">
      <c r="A1225" s="6">
        <f t="shared" si="45"/>
        <v>1114</v>
      </c>
      <c r="B1225" s="175">
        <v>45382</v>
      </c>
      <c r="C1225" s="126" t="s">
        <v>2859</v>
      </c>
      <c r="D1225" s="65" t="s">
        <v>146</v>
      </c>
      <c r="E1225" s="65" t="s">
        <v>2860</v>
      </c>
      <c r="F1225" t="s">
        <v>1434</v>
      </c>
      <c r="G1225" s="161">
        <f>MONTH(EJECUTADO[[#This Row],[FECHA]])</f>
        <v>3</v>
      </c>
      <c r="H1225" s="163" t="str">
        <f>MID(EJECUTADO[[#This Row],[CUENTA]],1,4)</f>
        <v>E-03</v>
      </c>
      <c r="I1225" s="163" t="str">
        <f>INDEX(CATALOGO[Descripción],MATCH(EJECUTADO[[#This Row],[APLICACIÓN]]&amp;"-00-00-00",CATALOGO[Código],0))</f>
        <v>SUELDOS ADMINISTRATIVOS</v>
      </c>
      <c r="J122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RECURSOS HUMANOS</v>
      </c>
      <c r="K1225" s="161" t="str">
        <f>IF((EJECUTADO[[#This Row],[MONTO DISPONIBLE ]]-EJECUTADO[[#This Row],[MONTO SOLICITADO]])&gt;=0,"PRESUPUESTO: SI","PRESUPUESTO: NO")</f>
        <v>PRESUPUESTO: SI</v>
      </c>
      <c r="L1225" s="162">
        <f>SUMIF(PRESUPUESTO[CUENTA],EJECUTADO[[#This Row],[CUENTA]],PRESUPUESTO[MONTO])-SUMIF($F$1:F1224,EJECUTADO[[#This Row],[CUENTA]],$M$1:M1224)</f>
        <v>117975</v>
      </c>
      <c r="M1225" s="2">
        <v>3691.17</v>
      </c>
      <c r="N1225" s="84"/>
      <c r="O1225" s="84"/>
      <c r="P1225" s="162">
        <f>+EJECUTADO[[#This Row],[MONTO SOLICITADO]]-EJECUTADO[[#This Row],[RETENCION IVA]]-EJECUTADO[[#This Row],[RETENCION ISR]]</f>
        <v>3691.17</v>
      </c>
      <c r="Q1225" s="84"/>
      <c r="R1225" s="84"/>
      <c r="S1225">
        <v>1</v>
      </c>
      <c r="T1225" s="168" t="str">
        <f t="shared" si="44"/>
        <v>SUELDOS ADMINISTRATIVOS - SUELDOS Y SALARIOS DIRECCIÓN DE RECURSOS HUMANOS Disponible $117975 Solicitado $3691.17 PRESUPUESTO: SI</v>
      </c>
    </row>
    <row r="1226" spans="1:20" ht="75" x14ac:dyDescent="0.25">
      <c r="A1226" s="6">
        <f t="shared" si="45"/>
        <v>1115</v>
      </c>
      <c r="B1226" s="175">
        <v>45382</v>
      </c>
      <c r="C1226" s="126" t="s">
        <v>2859</v>
      </c>
      <c r="D1226" s="65" t="s">
        <v>158</v>
      </c>
      <c r="E1226" s="65" t="s">
        <v>2860</v>
      </c>
      <c r="F1226" t="s">
        <v>1490</v>
      </c>
      <c r="G1226" s="161">
        <f>MONTH(EJECUTADO[[#This Row],[FECHA]])</f>
        <v>3</v>
      </c>
      <c r="H1226" s="163" t="str">
        <f>MID(EJECUTADO[[#This Row],[CUENTA]],1,4)</f>
        <v>E-04</v>
      </c>
      <c r="I1226" s="163" t="str">
        <f>INDEX(CATALOGO[Descripción],MATCH(EJECUTADO[[#This Row],[APLICACIÓN]]&amp;"-00-00-00",CATALOGO[Código],0))</f>
        <v>SUELDOS ACADÉMICOS</v>
      </c>
      <c r="J12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EDUCACIÓN VIRTUAL</v>
      </c>
      <c r="K1226" s="161" t="str">
        <f>IF((EJECUTADO[[#This Row],[MONTO DISPONIBLE ]]-EJECUTADO[[#This Row],[MONTO SOLICITADO]])&gt;=0,"PRESUPUESTO: SI","PRESUPUESTO: NO")</f>
        <v>PRESUPUESTO: SI</v>
      </c>
      <c r="L1226" s="162">
        <f>SUMIF(PRESUPUESTO[CUENTA],EJECUTADO[[#This Row],[CUENTA]],PRESUPUESTO[MONTO])-SUMIF($F$1:F1225,EJECUTADO[[#This Row],[CUENTA]],$M$1:M1225)</f>
        <v>75925</v>
      </c>
      <c r="M1226" s="2">
        <v>2422.5</v>
      </c>
      <c r="N1226" s="84"/>
      <c r="O1226" s="84"/>
      <c r="P1226" s="162">
        <f>+EJECUTADO[[#This Row],[MONTO SOLICITADO]]-EJECUTADO[[#This Row],[RETENCION IVA]]-EJECUTADO[[#This Row],[RETENCION ISR]]</f>
        <v>2422.5</v>
      </c>
      <c r="Q1226" s="84"/>
      <c r="R1226" s="84"/>
      <c r="S1226">
        <v>1</v>
      </c>
      <c r="T1226" s="168" t="str">
        <f t="shared" si="44"/>
        <v>SUELDOS ACADÉMICOS - SUELDOS Y SALARIOS DIRECCIÓN EDUCACIÓN VIRTUAL Disponible $75925 Solicitado $2422.5 PRESUPUESTO: SI</v>
      </c>
    </row>
    <row r="1227" spans="1:20" ht="75" x14ac:dyDescent="0.25">
      <c r="A1227" s="6">
        <f t="shared" si="45"/>
        <v>1116</v>
      </c>
      <c r="B1227" s="175">
        <v>45382</v>
      </c>
      <c r="C1227" s="126" t="s">
        <v>2859</v>
      </c>
      <c r="D1227" s="65" t="s">
        <v>151</v>
      </c>
      <c r="E1227" s="65" t="s">
        <v>2860</v>
      </c>
      <c r="F1227" t="s">
        <v>1451</v>
      </c>
      <c r="G1227" s="161">
        <f>MONTH(EJECUTADO[[#This Row],[FECHA]])</f>
        <v>3</v>
      </c>
      <c r="H1227" s="163" t="str">
        <f>MID(EJECUTADO[[#This Row],[CUENTA]],1,4)</f>
        <v>E-04</v>
      </c>
      <c r="I1227" s="163" t="str">
        <f>INDEX(CATALOGO[Descripción],MATCH(EJECUTADO[[#This Row],[APLICACIÓN]]&amp;"-00-00-00",CATALOGO[Código],0))</f>
        <v>SUELDOS ACADÉMICOS</v>
      </c>
      <c r="J12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1227" s="161" t="str">
        <f>IF((EJECUTADO[[#This Row],[MONTO DISPONIBLE ]]-EJECUTADO[[#This Row],[MONTO SOLICITADO]])&gt;=0,"PRESUPUESTO: SI","PRESUPUESTO: NO")</f>
        <v>PRESUPUESTO: SI</v>
      </c>
      <c r="L1227" s="162">
        <f>SUMIF(PRESUPUESTO[CUENTA],EJECUTADO[[#This Row],[CUENTA]],PRESUPUESTO[MONTO])-SUMIF($F$1:F1226,EJECUTADO[[#This Row],[CUENTA]],$M$1:M1226)</f>
        <v>67725</v>
      </c>
      <c r="M1227" s="2">
        <v>3676.5</v>
      </c>
      <c r="N1227" s="84"/>
      <c r="O1227" s="84"/>
      <c r="P1227" s="162">
        <f>+EJECUTADO[[#This Row],[MONTO SOLICITADO]]-EJECUTADO[[#This Row],[RETENCION IVA]]-EJECUTADO[[#This Row],[RETENCION ISR]]</f>
        <v>3676.5</v>
      </c>
      <c r="Q1227" s="84"/>
      <c r="R1227" s="84"/>
      <c r="S1227">
        <v>1</v>
      </c>
      <c r="T1227" s="168" t="str">
        <f t="shared" si="44"/>
        <v>SUELDOS ACADÉMICOS - SUELDOS Y SALARIOS FACULTAD DE CIENCIAS EMPRESARIALES Disponible $67725 Solicitado $3676.5 PRESUPUESTO: SI</v>
      </c>
    </row>
    <row r="1228" spans="1:20" ht="75" x14ac:dyDescent="0.25">
      <c r="A1228" s="6">
        <f t="shared" si="45"/>
        <v>1117</v>
      </c>
      <c r="B1228" s="175">
        <v>45382</v>
      </c>
      <c r="C1228" s="126" t="s">
        <v>2859</v>
      </c>
      <c r="D1228" s="65" t="s">
        <v>151</v>
      </c>
      <c r="E1228" s="65" t="s">
        <v>2860</v>
      </c>
      <c r="F1228" t="s">
        <v>1453</v>
      </c>
      <c r="G1228" s="161">
        <f>MONTH(EJECUTADO[[#This Row],[FECHA]])</f>
        <v>3</v>
      </c>
      <c r="H1228" s="163" t="str">
        <f>MID(EJECUTADO[[#This Row],[CUENTA]],1,4)</f>
        <v>E-05</v>
      </c>
      <c r="I1228" s="163" t="str">
        <f>INDEX(CATALOGO[Descripción],MATCH(EJECUTADO[[#This Row],[APLICACIÓN]]&amp;"-00-00-00",CATALOGO[Código],0))</f>
        <v>SUELDOS DTC</v>
      </c>
      <c r="J122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EMPRESARIALES</v>
      </c>
      <c r="K1228" s="161" t="str">
        <f>IF((EJECUTADO[[#This Row],[MONTO DISPONIBLE ]]-EJECUTADO[[#This Row],[MONTO SOLICITADO]])&gt;=0,"PRESUPUESTO: SI","PRESUPUESTO: NO")</f>
        <v>PRESUPUESTO: SI</v>
      </c>
      <c r="L1228" s="162">
        <f>SUMIF(PRESUPUESTO[CUENTA],EJECUTADO[[#This Row],[CUENTA]],PRESUPUESTO[MONTO])-SUMIF($F$1:F1227,EJECUTADO[[#This Row],[CUENTA]],$M$1:M1227)</f>
        <v>246247.75</v>
      </c>
      <c r="M1228" s="2">
        <v>7901.63</v>
      </c>
      <c r="N1228" s="84"/>
      <c r="O1228" s="84"/>
      <c r="P1228" s="162">
        <f>+EJECUTADO[[#This Row],[MONTO SOLICITADO]]-EJECUTADO[[#This Row],[RETENCION IVA]]-EJECUTADO[[#This Row],[RETENCION ISR]]</f>
        <v>7901.63</v>
      </c>
      <c r="Q1228" s="84"/>
      <c r="R1228" s="84"/>
      <c r="S1228">
        <v>1</v>
      </c>
      <c r="T1228" s="168" t="str">
        <f t="shared" si="44"/>
        <v>SUELDOS DTC - SUELDOS Y SALARIOS FACULTAD DE CIENCIAS EMPRESARIALES Disponible $246247.75 Solicitado $7901.63 PRESUPUESTO: SI</v>
      </c>
    </row>
    <row r="1229" spans="1:20" ht="60" x14ac:dyDescent="0.25">
      <c r="A1229" s="6">
        <f t="shared" si="45"/>
        <v>1118</v>
      </c>
      <c r="B1229" s="175">
        <v>45382</v>
      </c>
      <c r="C1229" s="126" t="s">
        <v>2859</v>
      </c>
      <c r="D1229" s="65" t="s">
        <v>154</v>
      </c>
      <c r="E1229" s="65" t="s">
        <v>2860</v>
      </c>
      <c r="F1229" t="s">
        <v>1465</v>
      </c>
      <c r="G1229" s="161">
        <f>MONTH(EJECUTADO[[#This Row],[FECHA]])</f>
        <v>3</v>
      </c>
      <c r="H1229" s="163" t="str">
        <f>MID(EJECUTADO[[#This Row],[CUENTA]],1,4)</f>
        <v>E-04</v>
      </c>
      <c r="I1229" s="163" t="str">
        <f>INDEX(CATALOGO[Descripción],MATCH(EJECUTADO[[#This Row],[APLICACIÓN]]&amp;"-00-00-00",CATALOGO[Código],0))</f>
        <v>SUELDOS ACADÉMICOS</v>
      </c>
      <c r="J122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1229" s="161" t="str">
        <f>IF((EJECUTADO[[#This Row],[MONTO DISPONIBLE ]]-EJECUTADO[[#This Row],[MONTO SOLICITADO]])&gt;=0,"PRESUPUESTO: SI","PRESUPUESTO: NO")</f>
        <v>PRESUPUESTO: SI</v>
      </c>
      <c r="L1229" s="162">
        <f>SUMIF(PRESUPUESTO[CUENTA],EJECUTADO[[#This Row],[CUENTA]],PRESUPUESTO[MONTO])-SUMIF($F$1:F1228,EJECUTADO[[#This Row],[CUENTA]],$M$1:M1228)</f>
        <v>42325</v>
      </c>
      <c r="M1229" s="2">
        <v>1704.3</v>
      </c>
      <c r="N1229" s="84"/>
      <c r="O1229" s="84"/>
      <c r="P1229" s="162">
        <f>+EJECUTADO[[#This Row],[MONTO SOLICITADO]]-EJECUTADO[[#This Row],[RETENCION IVA]]-EJECUTADO[[#This Row],[RETENCION ISR]]</f>
        <v>1704.3</v>
      </c>
      <c r="Q1229" s="84"/>
      <c r="R1229" s="84"/>
      <c r="S1229">
        <v>1</v>
      </c>
      <c r="T1229" s="168" t="str">
        <f t="shared" si="44"/>
        <v>SUELDOS ACADÉMICOS - SUELDOS Y SALARIOS FACULTAD DE CIENCIAS JURIDICAS Disponible $42325 Solicitado $1704.3 PRESUPUESTO: SI</v>
      </c>
    </row>
    <row r="1230" spans="1:20" ht="60" x14ac:dyDescent="0.25">
      <c r="A1230" s="6">
        <f t="shared" si="45"/>
        <v>1119</v>
      </c>
      <c r="B1230" s="175">
        <v>45382</v>
      </c>
      <c r="C1230" s="126" t="s">
        <v>2859</v>
      </c>
      <c r="D1230" s="65" t="s">
        <v>154</v>
      </c>
      <c r="E1230" s="65" t="s">
        <v>2860</v>
      </c>
      <c r="F1230" t="s">
        <v>1467</v>
      </c>
      <c r="G1230" s="161">
        <f>MONTH(EJECUTADO[[#This Row],[FECHA]])</f>
        <v>3</v>
      </c>
      <c r="H1230" s="163" t="str">
        <f>MID(EJECUTADO[[#This Row],[CUENTA]],1,4)</f>
        <v>E-05</v>
      </c>
      <c r="I1230" s="163" t="str">
        <f>INDEX(CATALOGO[Descripción],MATCH(EJECUTADO[[#This Row],[APLICACIÓN]]&amp;"-00-00-00",CATALOGO[Código],0))</f>
        <v>SUELDOS DTC</v>
      </c>
      <c r="J12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JURIDICAS</v>
      </c>
      <c r="K1230" s="161" t="str">
        <f>IF((EJECUTADO[[#This Row],[MONTO DISPONIBLE ]]-EJECUTADO[[#This Row],[MONTO SOLICITADO]])&gt;=0,"PRESUPUESTO: SI","PRESUPUESTO: NO")</f>
        <v>PRESUPUESTO: SI</v>
      </c>
      <c r="L1230" s="162">
        <f>SUMIF(PRESUPUESTO[CUENTA],EJECUTADO[[#This Row],[CUENTA]],PRESUPUESTO[MONTO])-SUMIF($F$1:F1229,EJECUTADO[[#This Row],[CUENTA]],$M$1:M1229)</f>
        <v>164437.5</v>
      </c>
      <c r="M1230" s="2">
        <v>4554.3</v>
      </c>
      <c r="N1230" s="84"/>
      <c r="O1230" s="84"/>
      <c r="P1230" s="162">
        <f>+EJECUTADO[[#This Row],[MONTO SOLICITADO]]-EJECUTADO[[#This Row],[RETENCION IVA]]-EJECUTADO[[#This Row],[RETENCION ISR]]</f>
        <v>4554.3</v>
      </c>
      <c r="Q1230" s="84"/>
      <c r="R1230" s="84"/>
      <c r="S1230">
        <v>1</v>
      </c>
      <c r="T1230" s="168" t="str">
        <f t="shared" si="44"/>
        <v>SUELDOS DTC - SUELDOS Y SALARIOS FACULTAD DE CIENCIAS JURIDICAS Disponible $164437.5 Solicitado $4554.3 PRESUPUESTO: SI</v>
      </c>
    </row>
    <row r="1231" spans="1:20" ht="60" x14ac:dyDescent="0.25">
      <c r="A1231" s="6">
        <f t="shared" si="45"/>
        <v>1120</v>
      </c>
      <c r="B1231" s="175">
        <v>45382</v>
      </c>
      <c r="C1231" s="126" t="s">
        <v>2859</v>
      </c>
      <c r="D1231" s="65" t="s">
        <v>153</v>
      </c>
      <c r="E1231" s="65" t="s">
        <v>2860</v>
      </c>
      <c r="F1231" t="s">
        <v>1454</v>
      </c>
      <c r="G1231" s="161">
        <f>MONTH(EJECUTADO[[#This Row],[FECHA]])</f>
        <v>3</v>
      </c>
      <c r="H1231" s="163" t="str">
        <f>MID(EJECUTADO[[#This Row],[CUENTA]],1,4)</f>
        <v>E-04</v>
      </c>
      <c r="I1231" s="163" t="str">
        <f>INDEX(CATALOGO[Descripción],MATCH(EJECUTADO[[#This Row],[APLICACIÓN]]&amp;"-00-00-00",CATALOGO[Código],0))</f>
        <v>SUELDOS ACADÉMICOS</v>
      </c>
      <c r="J12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1231" s="161" t="str">
        <f>IF((EJECUTADO[[#This Row],[MONTO DISPONIBLE ]]-EJECUTADO[[#This Row],[MONTO SOLICITADO]])&gt;=0,"PRESUPUESTO: SI","PRESUPUESTO: NO")</f>
        <v>PRESUPUESTO: SI</v>
      </c>
      <c r="L1231" s="162">
        <f>SUMIF(PRESUPUESTO[CUENTA],EJECUTADO[[#This Row],[CUENTA]],PRESUPUESTO[MONTO])-SUMIF($F$1:F1230,EJECUTADO[[#This Row],[CUENTA]],$M$1:M1230)</f>
        <v>171350</v>
      </c>
      <c r="M1231" s="2">
        <v>2280</v>
      </c>
      <c r="N1231" s="84"/>
      <c r="O1231" s="84"/>
      <c r="P1231" s="162">
        <f>+EJECUTADO[[#This Row],[MONTO SOLICITADO]]-EJECUTADO[[#This Row],[RETENCION IVA]]-EJECUTADO[[#This Row],[RETENCION ISR]]</f>
        <v>2280</v>
      </c>
      <c r="Q1231" s="84"/>
      <c r="R1231" s="84"/>
      <c r="S1231">
        <v>1</v>
      </c>
      <c r="T1231" s="168" t="str">
        <f t="shared" si="44"/>
        <v>SUELDOS ACADÉMICOS - SUELDOS Y SALARIOS FACULTAD DE CIENCIAS SOCIALES Disponible $171350 Solicitado $2280 PRESUPUESTO: SI</v>
      </c>
    </row>
    <row r="1232" spans="1:20" ht="60" x14ac:dyDescent="0.25">
      <c r="A1232" s="6">
        <f t="shared" si="45"/>
        <v>1121</v>
      </c>
      <c r="B1232" s="175">
        <v>45382</v>
      </c>
      <c r="C1232" s="126" t="s">
        <v>2859</v>
      </c>
      <c r="D1232" s="65" t="s">
        <v>153</v>
      </c>
      <c r="E1232" s="65" t="s">
        <v>2860</v>
      </c>
      <c r="F1232" t="s">
        <v>1456</v>
      </c>
      <c r="G1232" s="161">
        <f>MONTH(EJECUTADO[[#This Row],[FECHA]])</f>
        <v>3</v>
      </c>
      <c r="H1232" s="163" t="str">
        <f>MID(EJECUTADO[[#This Row],[CUENTA]],1,4)</f>
        <v>E-05</v>
      </c>
      <c r="I1232" s="163" t="str">
        <f>INDEX(CATALOGO[Descripción],MATCH(EJECUTADO[[#This Row],[APLICACIÓN]]&amp;"-00-00-00",CATALOGO[Código],0))</f>
        <v>SUELDOS DTC</v>
      </c>
      <c r="J12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CIENCIAS SOCIALES</v>
      </c>
      <c r="K1232" s="161" t="str">
        <f>IF((EJECUTADO[[#This Row],[MONTO DISPONIBLE ]]-EJECUTADO[[#This Row],[MONTO SOLICITADO]])&gt;=0,"PRESUPUESTO: SI","PRESUPUESTO: NO")</f>
        <v>PRESUPUESTO: SI</v>
      </c>
      <c r="L1232" s="162">
        <f>SUMIF(PRESUPUESTO[CUENTA],EJECUTADO[[#This Row],[CUENTA]],PRESUPUESTO[MONTO])-SUMIF($F$1:F1231,EJECUTADO[[#This Row],[CUENTA]],$M$1:M1231)</f>
        <v>318379.58</v>
      </c>
      <c r="M1232" s="2">
        <v>24110.29</v>
      </c>
      <c r="N1232" s="84"/>
      <c r="O1232" s="84"/>
      <c r="P1232" s="162">
        <f>+EJECUTADO[[#This Row],[MONTO SOLICITADO]]-EJECUTADO[[#This Row],[RETENCION IVA]]-EJECUTADO[[#This Row],[RETENCION ISR]]</f>
        <v>24110.29</v>
      </c>
      <c r="Q1232" s="84"/>
      <c r="R1232" s="84"/>
      <c r="S1232">
        <v>1</v>
      </c>
      <c r="T1232" s="168" t="str">
        <f t="shared" si="44"/>
        <v>SUELDOS DTC - SUELDOS Y SALARIOS FACULTAD DE CIENCIAS SOCIALES Disponible $318379.58 Solicitado $24110.29 PRESUPUESTO: SI</v>
      </c>
    </row>
    <row r="1233" spans="1:20" ht="90" x14ac:dyDescent="0.25">
      <c r="A1233" s="6">
        <f t="shared" si="45"/>
        <v>1122</v>
      </c>
      <c r="B1233" s="175">
        <v>45382</v>
      </c>
      <c r="C1233" s="126" t="s">
        <v>2859</v>
      </c>
      <c r="D1233" s="65" t="s">
        <v>152</v>
      </c>
      <c r="E1233" s="65" t="s">
        <v>2860</v>
      </c>
      <c r="F1233" t="s">
        <v>1462</v>
      </c>
      <c r="G1233" s="161">
        <f>MONTH(EJECUTADO[[#This Row],[FECHA]])</f>
        <v>3</v>
      </c>
      <c r="H1233" s="163" t="str">
        <f>MID(EJECUTADO[[#This Row],[CUENTA]],1,4)</f>
        <v>E-05</v>
      </c>
      <c r="I1233" s="163" t="str">
        <f>INDEX(CATALOGO[Descripción],MATCH(EJECUTADO[[#This Row],[APLICACIÓN]]&amp;"-00-00-00",CATALOGO[Código],0))</f>
        <v>SUELDOS DTC</v>
      </c>
      <c r="J12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FACULTAD DE INFORMATICA Y CIENCIAS APLICADAS</v>
      </c>
      <c r="K1233" s="161" t="str">
        <f>IF((EJECUTADO[[#This Row],[MONTO DISPONIBLE ]]-EJECUTADO[[#This Row],[MONTO SOLICITADO]])&gt;=0,"PRESUPUESTO: SI","PRESUPUESTO: NO")</f>
        <v>PRESUPUESTO: SI</v>
      </c>
      <c r="L1233" s="162">
        <f>SUMIF(PRESUPUESTO[CUENTA],EJECUTADO[[#This Row],[CUENTA]],PRESUPUESTO[MONTO])-SUMIF($F$1:F1232,EJECUTADO[[#This Row],[CUENTA]],$M$1:M1232)</f>
        <v>360886.82</v>
      </c>
      <c r="M1233" s="2">
        <v>22659.39</v>
      </c>
      <c r="N1233" s="84"/>
      <c r="O1233" s="84"/>
      <c r="P1233" s="162">
        <f>+EJECUTADO[[#This Row],[MONTO SOLICITADO]]-EJECUTADO[[#This Row],[RETENCION IVA]]-EJECUTADO[[#This Row],[RETENCION ISR]]</f>
        <v>22659.39</v>
      </c>
      <c r="Q1233" s="84"/>
      <c r="R1233" s="84"/>
      <c r="S1233">
        <v>1</v>
      </c>
      <c r="T1233" s="168" t="str">
        <f t="shared" si="44"/>
        <v>SUELDOS DTC - SUELDOS Y SALARIOS FACULTAD DE INFORMATICA Y CIENCIAS APLICADAS Disponible $360886.82 Solicitado $22659.39 PRESUPUESTO: SI</v>
      </c>
    </row>
    <row r="1234" spans="1:20" ht="45" x14ac:dyDescent="0.25">
      <c r="A1234" s="6">
        <f t="shared" si="45"/>
        <v>1123</v>
      </c>
      <c r="B1234" s="175">
        <v>45382</v>
      </c>
      <c r="C1234" s="126" t="s">
        <v>2859</v>
      </c>
      <c r="D1234" s="65" t="s">
        <v>149</v>
      </c>
      <c r="E1234" s="65" t="s">
        <v>2860</v>
      </c>
      <c r="F1234" t="s">
        <v>1444</v>
      </c>
      <c r="G1234" s="161">
        <f>MONTH(EJECUTADO[[#This Row],[FECHA]])</f>
        <v>3</v>
      </c>
      <c r="H1234" s="163" t="str">
        <f>MID(EJECUTADO[[#This Row],[CUENTA]],1,4)</f>
        <v>E-03</v>
      </c>
      <c r="I1234" s="163" t="str">
        <f>INDEX(CATALOGO[Descripción],MATCH(EJECUTADO[[#This Row],[APLICACIÓN]]&amp;"-00-00-00",CATALOGO[Código],0))</f>
        <v>SUELDOS ADMINISTRATIVOS</v>
      </c>
      <c r="J12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MANTENIMIENTO</v>
      </c>
      <c r="K1234" s="161" t="str">
        <f>IF((EJECUTADO[[#This Row],[MONTO DISPONIBLE ]]-EJECUTADO[[#This Row],[MONTO SOLICITADO]])&gt;=0,"PRESUPUESTO: SI","PRESUPUESTO: NO")</f>
        <v>PRESUPUESTO: SI</v>
      </c>
      <c r="L1234" s="162">
        <f>SUMIF(PRESUPUESTO[CUENTA],EJECUTADO[[#This Row],[CUENTA]],PRESUPUESTO[MONTO])-SUMIF($F$1:F1233,EJECUTADO[[#This Row],[CUENTA]],$M$1:M1233)</f>
        <v>157334.35</v>
      </c>
      <c r="M1234" s="2">
        <v>6956.55</v>
      </c>
      <c r="N1234" s="84"/>
      <c r="O1234" s="84"/>
      <c r="P1234" s="162">
        <f>+EJECUTADO[[#This Row],[MONTO SOLICITADO]]-EJECUTADO[[#This Row],[RETENCION IVA]]-EJECUTADO[[#This Row],[RETENCION ISR]]</f>
        <v>6956.55</v>
      </c>
      <c r="Q1234" s="84"/>
      <c r="R1234" s="84"/>
      <c r="S1234">
        <v>1</v>
      </c>
      <c r="T1234" s="168" t="str">
        <f t="shared" si="44"/>
        <v>SUELDOS ADMINISTRATIVOS - SUELDOS Y SALARIOS MANTENIMIENTO Disponible $157334.35 Solicitado $6956.55 PRESUPUESTO: SI</v>
      </c>
    </row>
    <row r="1235" spans="1:20" ht="45" x14ac:dyDescent="0.25">
      <c r="A1235" s="6">
        <f t="shared" si="45"/>
        <v>1124</v>
      </c>
      <c r="B1235" s="175">
        <v>45382</v>
      </c>
      <c r="C1235" s="126" t="s">
        <v>2859</v>
      </c>
      <c r="D1235" s="65" t="s">
        <v>162</v>
      </c>
      <c r="E1235" s="65" t="s">
        <v>2860</v>
      </c>
      <c r="F1235" t="s">
        <v>1396</v>
      </c>
      <c r="G1235" s="161">
        <f>MONTH(EJECUTADO[[#This Row],[FECHA]])</f>
        <v>3</v>
      </c>
      <c r="H1235" s="163" t="str">
        <f>MID(EJECUTADO[[#This Row],[CUENTA]],1,4)</f>
        <v>E-04</v>
      </c>
      <c r="I1235" s="163" t="str">
        <f>INDEX(CATALOGO[Descripción],MATCH(EJECUTADO[[#This Row],[APLICACIÓN]]&amp;"-00-00-00",CATALOGO[Código],0))</f>
        <v>SUELDOS ACADÉMICOS</v>
      </c>
      <c r="J12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NUEVO INGRESO</v>
      </c>
      <c r="K1235" s="161" t="str">
        <f>IF((EJECUTADO[[#This Row],[MONTO DISPONIBLE ]]-EJECUTADO[[#This Row],[MONTO SOLICITADO]])&gt;=0,"PRESUPUESTO: SI","PRESUPUESTO: NO")</f>
        <v>PRESUPUESTO: SI</v>
      </c>
      <c r="L1235" s="162">
        <f>SUMIF(PRESUPUESTO[CUENTA],EJECUTADO[[#This Row],[CUENTA]],PRESUPUESTO[MONTO])-SUMIF($F$1:F1234,EJECUTADO[[#This Row],[CUENTA]],$M$1:M1234)</f>
        <v>34213.300000000003</v>
      </c>
      <c r="M1235" s="2">
        <v>7098.21</v>
      </c>
      <c r="N1235" s="84"/>
      <c r="O1235" s="84"/>
      <c r="P1235" s="162">
        <f>+EJECUTADO[[#This Row],[MONTO SOLICITADO]]-EJECUTADO[[#This Row],[RETENCION IVA]]-EJECUTADO[[#This Row],[RETENCION ISR]]</f>
        <v>7098.21</v>
      </c>
      <c r="Q1235" s="84"/>
      <c r="R1235" s="84"/>
      <c r="S1235">
        <v>1</v>
      </c>
      <c r="T1235" s="168" t="str">
        <f t="shared" si="44"/>
        <v>SUELDOS ACADÉMICOS - SUELDOS Y SALARIOS NUEVO INGRESO Disponible $34213.3 Solicitado $7098.21 PRESUPUESTO: SI</v>
      </c>
    </row>
    <row r="1236" spans="1:20" ht="45" x14ac:dyDescent="0.25">
      <c r="A1236" s="6">
        <f t="shared" si="45"/>
        <v>1125</v>
      </c>
      <c r="B1236" s="175">
        <v>45382</v>
      </c>
      <c r="C1236" s="126" t="s">
        <v>2859</v>
      </c>
      <c r="D1236" s="65" t="s">
        <v>140</v>
      </c>
      <c r="E1236" s="65" t="s">
        <v>2860</v>
      </c>
      <c r="F1236" t="s">
        <v>1422</v>
      </c>
      <c r="G1236" s="161">
        <f>MONTH(EJECUTADO[[#This Row],[FECHA]])</f>
        <v>3</v>
      </c>
      <c r="H1236" s="163" t="str">
        <f>MID(EJECUTADO[[#This Row],[CUENTA]],1,4)</f>
        <v>E-03</v>
      </c>
      <c r="I1236" s="163" t="str">
        <f>INDEX(CATALOGO[Descripción],MATCH(EJECUTADO[[#This Row],[APLICACIÓN]]&amp;"-00-00-00",CATALOGO[Código],0))</f>
        <v>SUELDOS ADMINISTRATIVOS</v>
      </c>
      <c r="J12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</v>
      </c>
      <c r="K1236" s="161" t="str">
        <f>IF((EJECUTADO[[#This Row],[MONTO DISPONIBLE ]]-EJECUTADO[[#This Row],[MONTO SOLICITADO]])&gt;=0,"PRESUPUESTO: SI","PRESUPUESTO: NO")</f>
        <v>PRESUPUESTO: NO</v>
      </c>
      <c r="L1236" s="162">
        <f>SUMIF(PRESUPUESTO[CUENTA],EJECUTADO[[#This Row],[CUENTA]],PRESUPUESTO[MONTO])-SUMIF($F$1:F1235,EJECUTADO[[#This Row],[CUENTA]],$M$1:M1235)</f>
        <v>40776.100000000006</v>
      </c>
      <c r="M1236" s="2">
        <v>43177.86</v>
      </c>
      <c r="N1236" s="84"/>
      <c r="O1236" s="84"/>
      <c r="P1236" s="162">
        <f>+EJECUTADO[[#This Row],[MONTO SOLICITADO]]-EJECUTADO[[#This Row],[RETENCION IVA]]-EJECUTADO[[#This Row],[RETENCION ISR]]</f>
        <v>43177.86</v>
      </c>
      <c r="Q1236" s="84"/>
      <c r="R1236" s="84"/>
      <c r="S1236">
        <v>1</v>
      </c>
      <c r="T1236" s="168" t="str">
        <f t="shared" si="44"/>
        <v>SUELDOS ADMINISTRATIVOS - SUELDOS Y SALARIOS PRESIDENCIA Disponible $40776.1 Solicitado $43177.86 PRESUPUESTO: NO</v>
      </c>
    </row>
    <row r="1237" spans="1:20" ht="60" x14ac:dyDescent="0.25">
      <c r="A1237" s="6">
        <f t="shared" si="45"/>
        <v>1126</v>
      </c>
      <c r="B1237" s="175">
        <v>45382</v>
      </c>
      <c r="C1237" s="126" t="s">
        <v>2859</v>
      </c>
      <c r="D1237" s="65" t="s">
        <v>139</v>
      </c>
      <c r="E1237" s="65" t="s">
        <v>2860</v>
      </c>
      <c r="F1237" t="s">
        <v>1420</v>
      </c>
      <c r="G1237" s="161">
        <f>MONTH(EJECUTADO[[#This Row],[FECHA]])</f>
        <v>3</v>
      </c>
      <c r="H1237" s="163" t="str">
        <f>MID(EJECUTADO[[#This Row],[CUENTA]],1,4)</f>
        <v>E-03</v>
      </c>
      <c r="I1237" s="163" t="str">
        <f>INDEX(CATALOGO[Descripción],MATCH(EJECUTADO[[#This Row],[APLICACIÓN]]&amp;"-00-00-00",CATALOGO[Código],0))</f>
        <v>SUELDOS ADMINISTRATIVOS</v>
      </c>
      <c r="J12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PRESIDENCIA JUNTA GU</v>
      </c>
      <c r="K1237" s="161" t="str">
        <f>IF((EJECUTADO[[#This Row],[MONTO DISPONIBLE ]]-EJECUTADO[[#This Row],[MONTO SOLICITADO]])&gt;=0,"PRESUPUESTO: SI","PRESUPUESTO: NO")</f>
        <v>PRESUPUESTO: SI</v>
      </c>
      <c r="L1237" s="162">
        <f>SUMIF(PRESUPUESTO[CUENTA],EJECUTADO[[#This Row],[CUENTA]],PRESUPUESTO[MONTO])-SUMIF($F$1:F1236,EJECUTADO[[#This Row],[CUENTA]],$M$1:M1236)</f>
        <v>940625</v>
      </c>
      <c r="M1237" s="2">
        <v>10117.5</v>
      </c>
      <c r="N1237" s="84"/>
      <c r="O1237" s="84"/>
      <c r="P1237" s="162">
        <f>+EJECUTADO[[#This Row],[MONTO SOLICITADO]]-EJECUTADO[[#This Row],[RETENCION IVA]]-EJECUTADO[[#This Row],[RETENCION ISR]]</f>
        <v>10117.5</v>
      </c>
      <c r="Q1237" s="84"/>
      <c r="R1237" s="84"/>
      <c r="S1237">
        <v>1</v>
      </c>
      <c r="T1237" s="168" t="str">
        <f t="shared" si="44"/>
        <v>SUELDOS ADMINISTRATIVOS - SUELDOS Y SALARIOS PRESIDENCIA JUNTA GU Disponible $940625 Solicitado $10117.5 PRESUPUESTO: SI</v>
      </c>
    </row>
    <row r="1238" spans="1:20" ht="45" x14ac:dyDescent="0.25">
      <c r="A1238" s="6">
        <f t="shared" si="45"/>
        <v>1127</v>
      </c>
      <c r="B1238" s="175">
        <v>45382</v>
      </c>
      <c r="C1238" s="126" t="s">
        <v>2859</v>
      </c>
      <c r="D1238" s="65" t="s">
        <v>156</v>
      </c>
      <c r="E1238" s="65" t="s">
        <v>2860</v>
      </c>
      <c r="F1238" t="s">
        <v>1446</v>
      </c>
      <c r="G1238" s="161">
        <f>MONTH(EJECUTADO[[#This Row],[FECHA]])</f>
        <v>3</v>
      </c>
      <c r="H1238" s="163" t="str">
        <f>MID(EJECUTADO[[#This Row],[CUENTA]],1,4)</f>
        <v>E-04</v>
      </c>
      <c r="I1238" s="163" t="str">
        <f>INDEX(CATALOGO[Descripción],MATCH(EJECUTADO[[#This Row],[APLICACIÓN]]&amp;"-00-00-00",CATALOGO[Código],0))</f>
        <v>SUELDOS ACADÉMICOS</v>
      </c>
      <c r="J12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RECTORÍA</v>
      </c>
      <c r="K1238" s="161" t="str">
        <f>IF((EJECUTADO[[#This Row],[MONTO DISPONIBLE ]]-EJECUTADO[[#This Row],[MONTO SOLICITADO]])&gt;=0,"PRESUPUESTO: SI","PRESUPUESTO: NO")</f>
        <v>PRESUPUESTO: SI</v>
      </c>
      <c r="L1238" s="162">
        <f>SUMIF(PRESUPUESTO[CUENTA],EJECUTADO[[#This Row],[CUENTA]],PRESUPUESTO[MONTO])-SUMIF($F$1:F1237,EJECUTADO[[#This Row],[CUENTA]],$M$1:M1237)</f>
        <v>163800</v>
      </c>
      <c r="M1238" s="2">
        <v>8892</v>
      </c>
      <c r="N1238" s="84"/>
      <c r="O1238" s="84"/>
      <c r="P1238" s="162">
        <f>+EJECUTADO[[#This Row],[MONTO SOLICITADO]]-EJECUTADO[[#This Row],[RETENCION IVA]]-EJECUTADO[[#This Row],[RETENCION ISR]]</f>
        <v>8892</v>
      </c>
      <c r="Q1238" s="84"/>
      <c r="R1238" s="84"/>
      <c r="S1238">
        <v>1</v>
      </c>
      <c r="T1238" s="168" t="str">
        <f t="shared" si="44"/>
        <v>SUELDOS ACADÉMICOS - SUELDOS Y SALARIOS RECTORÍA Disponible $163800 Solicitado $8892 PRESUPUESTO: SI</v>
      </c>
    </row>
    <row r="1239" spans="1:20" ht="60" x14ac:dyDescent="0.25">
      <c r="A1239" s="6">
        <f t="shared" si="45"/>
        <v>1128</v>
      </c>
      <c r="B1239" s="175">
        <v>45382</v>
      </c>
      <c r="C1239" s="126" t="s">
        <v>2859</v>
      </c>
      <c r="D1239" s="65" t="s">
        <v>161</v>
      </c>
      <c r="E1239" s="65" t="s">
        <v>2860</v>
      </c>
      <c r="F1239" t="s">
        <v>1488</v>
      </c>
      <c r="G1239" s="161">
        <f>MONTH(EJECUTADO[[#This Row],[FECHA]])</f>
        <v>3</v>
      </c>
      <c r="H1239" s="163" t="str">
        <f>MID(EJECUTADO[[#This Row],[CUENTA]],1,4)</f>
        <v>E-04</v>
      </c>
      <c r="I1239" s="163" t="str">
        <f>INDEX(CATALOGO[Descripción],MATCH(EJECUTADO[[#This Row],[APLICACIÓN]]&amp;"-00-00-00",CATALOGO[Código],0))</f>
        <v>SUELDOS ACADÉMICOS</v>
      </c>
      <c r="J12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RELACIONES INTERNACIONALES</v>
      </c>
      <c r="K1239" s="161" t="str">
        <f>IF((EJECUTADO[[#This Row],[MONTO DISPONIBLE ]]-EJECUTADO[[#This Row],[MONTO SOLICITADO]])&gt;=0,"PRESUPUESTO: SI","PRESUPUESTO: NO")</f>
        <v>PRESUPUESTO: SI</v>
      </c>
      <c r="L1239" s="162">
        <f>SUMIF(PRESUPUESTO[CUENTA],EJECUTADO[[#This Row],[CUENTA]],PRESUPUESTO[MONTO])-SUMIF($F$1:F1238,EJECUTADO[[#This Row],[CUENTA]],$M$1:M1238)</f>
        <v>38850</v>
      </c>
      <c r="M1239" s="2">
        <v>2109</v>
      </c>
      <c r="N1239" s="84"/>
      <c r="O1239" s="84"/>
      <c r="P1239" s="162">
        <f>+EJECUTADO[[#This Row],[MONTO SOLICITADO]]-EJECUTADO[[#This Row],[RETENCION IVA]]-EJECUTADO[[#This Row],[RETENCION ISR]]</f>
        <v>2109</v>
      </c>
      <c r="Q1239" s="84"/>
      <c r="R1239" s="84"/>
      <c r="S1239">
        <v>1</v>
      </c>
      <c r="T1239" s="168" t="str">
        <f t="shared" si="44"/>
        <v>SUELDOS ACADÉMICOS - SUELDOS Y SALARIOS RELACIONES INTERNACIONALES Disponible $38850 Solicitado $2109 PRESUPUESTO: SI</v>
      </c>
    </row>
    <row r="1240" spans="1:20" ht="60" x14ac:dyDescent="0.25">
      <c r="A1240" s="6">
        <f t="shared" si="45"/>
        <v>1129</v>
      </c>
      <c r="B1240" s="175">
        <v>45382</v>
      </c>
      <c r="C1240" s="126" t="s">
        <v>2859</v>
      </c>
      <c r="D1240" s="65" t="s">
        <v>2677</v>
      </c>
      <c r="E1240" s="65" t="s">
        <v>2860</v>
      </c>
      <c r="F1240" t="s">
        <v>1442</v>
      </c>
      <c r="G1240" s="161">
        <f>MONTH(EJECUTADO[[#This Row],[FECHA]])</f>
        <v>3</v>
      </c>
      <c r="H1240" s="163" t="str">
        <f>MID(EJECUTADO[[#This Row],[CUENTA]],1,4)</f>
        <v>E-03</v>
      </c>
      <c r="I1240" s="163" t="str">
        <f>INDEX(CATALOGO[Descripción],MATCH(EJECUTADO[[#This Row],[APLICACIÓN]]&amp;"-00-00-00",CATALOGO[Código],0))</f>
        <v>SUELDOS ADMINISTRATIVOS</v>
      </c>
      <c r="J12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SERVICIOS GENERALES </v>
      </c>
      <c r="K1240" s="161" t="str">
        <f>IF((EJECUTADO[[#This Row],[MONTO DISPONIBLE ]]-EJECUTADO[[#This Row],[MONTO SOLICITADO]])&gt;=0,"PRESUPUESTO: SI","PRESUPUESTO: NO")</f>
        <v>PRESUPUESTO: SI</v>
      </c>
      <c r="L1240" s="162">
        <f>SUMIF(PRESUPUESTO[CUENTA],EJECUTADO[[#This Row],[CUENTA]],PRESUPUESTO[MONTO])-SUMIF($F$1:F1239,EJECUTADO[[#This Row],[CUENTA]],$M$1:M1239)</f>
        <v>69861.83</v>
      </c>
      <c r="M1240" s="2">
        <v>6086.1</v>
      </c>
      <c r="N1240" s="84"/>
      <c r="O1240" s="84"/>
      <c r="P1240" s="162">
        <f>+EJECUTADO[[#This Row],[MONTO SOLICITADO]]-EJECUTADO[[#This Row],[RETENCION IVA]]-EJECUTADO[[#This Row],[RETENCION ISR]]</f>
        <v>6086.1</v>
      </c>
      <c r="Q1240" s="84"/>
      <c r="R1240" s="84"/>
      <c r="S1240">
        <v>1</v>
      </c>
      <c r="T1240" s="168" t="str">
        <f t="shared" si="44"/>
        <v>SUELDOS ADMINISTRATIVOS - SUELDOS Y SALARIOS SERVICIOS GENERALES  Disponible $69861.83 Solicitado $6086.1 PRESUPUESTO: SI</v>
      </c>
    </row>
    <row r="1241" spans="1:20" ht="45" x14ac:dyDescent="0.25">
      <c r="A1241" s="6">
        <f t="shared" si="45"/>
        <v>1130</v>
      </c>
      <c r="B1241" s="175">
        <v>45382</v>
      </c>
      <c r="C1241" s="126" t="s">
        <v>2859</v>
      </c>
      <c r="D1241" s="65" t="s">
        <v>163</v>
      </c>
      <c r="E1241" s="65" t="s">
        <v>2860</v>
      </c>
      <c r="F1241" t="s">
        <v>1443</v>
      </c>
      <c r="G1241" s="161">
        <f>MONTH(EJECUTADO[[#This Row],[FECHA]])</f>
        <v>3</v>
      </c>
      <c r="H1241" s="163" t="str">
        <f>MID(EJECUTADO[[#This Row],[CUENTA]],1,4)</f>
        <v>E-04</v>
      </c>
      <c r="I1241" s="163" t="str">
        <f>INDEX(CATALOGO[Descripción],MATCH(EJECUTADO[[#This Row],[APLICACIÓN]]&amp;"-00-00-00",CATALOGO[Código],0))</f>
        <v>SUELDOS ACADÉMICOS</v>
      </c>
      <c r="J12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SISTEMA BIBLIOTECARIO</v>
      </c>
      <c r="K1241" s="161" t="str">
        <f>IF((EJECUTADO[[#This Row],[MONTO DISPONIBLE ]]-EJECUTADO[[#This Row],[MONTO SOLICITADO]])&gt;=0,"PRESUPUESTO: SI","PRESUPUESTO: NO")</f>
        <v>PRESUPUESTO: SI</v>
      </c>
      <c r="L1241" s="162">
        <f>SUMIF(PRESUPUESTO[CUENTA],EJECUTADO[[#This Row],[CUENTA]],PRESUPUESTO[MONTO])-SUMIF($F$1:F1240,EJECUTADO[[#This Row],[CUENTA]],$M$1:M1240)</f>
        <v>75507.149999999994</v>
      </c>
      <c r="M1241" s="2">
        <v>3737.57</v>
      </c>
      <c r="N1241" s="84"/>
      <c r="O1241" s="84"/>
      <c r="P1241" s="162">
        <f>+EJECUTADO[[#This Row],[MONTO SOLICITADO]]-EJECUTADO[[#This Row],[RETENCION IVA]]-EJECUTADO[[#This Row],[RETENCION ISR]]</f>
        <v>3737.57</v>
      </c>
      <c r="Q1241" s="84"/>
      <c r="R1241" s="84"/>
      <c r="S1241">
        <v>1</v>
      </c>
      <c r="T1241" s="168" t="str">
        <f t="shared" si="44"/>
        <v>SUELDOS ACADÉMICOS - SUELDOS Y SALARIOS SISTEMA BIBLIOTECARIO Disponible $75507.15 Solicitado $3737.57 PRESUPUESTO: SI</v>
      </c>
    </row>
    <row r="1242" spans="1:20" ht="45" x14ac:dyDescent="0.25">
      <c r="A1242" s="6">
        <f t="shared" si="45"/>
        <v>1131</v>
      </c>
      <c r="B1242" s="175">
        <v>45382</v>
      </c>
      <c r="C1242" s="126" t="s">
        <v>2859</v>
      </c>
      <c r="D1242" s="65" t="s">
        <v>2678</v>
      </c>
      <c r="E1242" s="65" t="s">
        <v>2860</v>
      </c>
      <c r="F1242" t="s">
        <v>1439</v>
      </c>
      <c r="G1242" s="161">
        <f>MONTH(EJECUTADO[[#This Row],[FECHA]])</f>
        <v>3</v>
      </c>
      <c r="H1242" s="163" t="str">
        <f>MID(EJECUTADO[[#This Row],[CUENTA]],1,4)</f>
        <v>E-03</v>
      </c>
      <c r="I1242" s="163" t="str">
        <f>INDEX(CATALOGO[Descripción],MATCH(EJECUTADO[[#This Row],[APLICACIÓN]]&amp;"-00-00-00",CATALOGO[Código],0))</f>
        <v>SUELDOS ADMINISTRATIVOS</v>
      </c>
      <c r="J12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VICEPRESIDENCIA </v>
      </c>
      <c r="K1242" s="161" t="str">
        <f>IF((EJECUTADO[[#This Row],[MONTO DISPONIBLE ]]-EJECUTADO[[#This Row],[MONTO SOLICITADO]])&gt;=0,"PRESUPUESTO: SI","PRESUPUESTO: NO")</f>
        <v>PRESUPUESTO: SI</v>
      </c>
      <c r="L1242" s="162">
        <f>SUMIF(PRESUPUESTO[CUENTA],EJECUTADO[[#This Row],[CUENTA]],PRESUPUESTO[MONTO])-SUMIF($F$1:F1241,EJECUTADO[[#This Row],[CUENTA]],$M$1:M1241)</f>
        <v>418367.4</v>
      </c>
      <c r="M1242" s="2">
        <v>22748.52</v>
      </c>
      <c r="N1242" s="84"/>
      <c r="O1242" s="84"/>
      <c r="P1242" s="162">
        <f>+EJECUTADO[[#This Row],[MONTO SOLICITADO]]-EJECUTADO[[#This Row],[RETENCION IVA]]-EJECUTADO[[#This Row],[RETENCION ISR]]</f>
        <v>22748.52</v>
      </c>
      <c r="Q1242" s="84"/>
      <c r="R1242" s="84"/>
      <c r="S1242">
        <v>1</v>
      </c>
      <c r="T1242" s="168" t="str">
        <f t="shared" si="44"/>
        <v>SUELDOS ADMINISTRATIVOS - SUELDOS Y SALARIOS VICEPRESIDENCIA  Disponible $418367.4 Solicitado $22748.52 PRESUPUESTO: SI</v>
      </c>
    </row>
    <row r="1243" spans="1:20" ht="60" x14ac:dyDescent="0.25">
      <c r="A1243" s="6">
        <f t="shared" si="45"/>
        <v>1132</v>
      </c>
      <c r="B1243" s="175">
        <v>45382</v>
      </c>
      <c r="C1243" s="126" t="s">
        <v>2859</v>
      </c>
      <c r="D1243" s="65" t="s">
        <v>144</v>
      </c>
      <c r="E1243" s="65" t="s">
        <v>2860</v>
      </c>
      <c r="F1243" t="s">
        <v>1493</v>
      </c>
      <c r="G1243" s="161">
        <f>MONTH(EJECUTADO[[#This Row],[FECHA]])</f>
        <v>3</v>
      </c>
      <c r="H1243" s="163" t="str">
        <f>MID(EJECUTADO[[#This Row],[CUENTA]],1,4)</f>
        <v>E-03</v>
      </c>
      <c r="I1243" s="163" t="str">
        <f>INDEX(CATALOGO[Descripción],MATCH(EJECUTADO[[#This Row],[APLICACIÓN]]&amp;"-00-00-00",CATALOGO[Código],0))</f>
        <v>SUELDOS ADMINISTRATIVOS</v>
      </c>
      <c r="J12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VICERRECTORÍA DE OPERACIONES</v>
      </c>
      <c r="K1243" s="161" t="str">
        <f>IF((EJECUTADO[[#This Row],[MONTO DISPONIBLE ]]-EJECUTADO[[#This Row],[MONTO SOLICITADO]])&gt;=0,"PRESUPUESTO: SI","PRESUPUESTO: NO")</f>
        <v>PRESUPUESTO: SI</v>
      </c>
      <c r="L1243" s="162">
        <f>SUMIF(PRESUPUESTO[CUENTA],EJECUTADO[[#This Row],[CUENTA]],PRESUPUESTO[MONTO])-SUMIF($F$1:F1242,EJECUTADO[[#This Row],[CUENTA]],$M$1:M1242)</f>
        <v>68500</v>
      </c>
      <c r="M1243" s="2">
        <v>3762</v>
      </c>
      <c r="N1243" s="84"/>
      <c r="O1243" s="84"/>
      <c r="P1243" s="162">
        <f>+EJECUTADO[[#This Row],[MONTO SOLICITADO]]-EJECUTADO[[#This Row],[RETENCION IVA]]-EJECUTADO[[#This Row],[RETENCION ISR]]</f>
        <v>3762</v>
      </c>
      <c r="Q1243" s="84"/>
      <c r="R1243" s="84"/>
      <c r="S1243">
        <v>1</v>
      </c>
      <c r="T1243" s="168" t="str">
        <f t="shared" si="44"/>
        <v>SUELDOS ADMINISTRATIVOS - SUELDOS Y SALARIOS VICERRECTORÍA DE OPERACIONES Disponible $68500 Solicitado $3762 PRESUPUESTO: SI</v>
      </c>
    </row>
    <row r="1244" spans="1:20" ht="60" x14ac:dyDescent="0.25">
      <c r="A1244" s="6">
        <f t="shared" si="45"/>
        <v>1133</v>
      </c>
      <c r="B1244" s="175">
        <v>45382</v>
      </c>
      <c r="C1244" s="126" t="s">
        <v>2859</v>
      </c>
      <c r="D1244" s="65" t="s">
        <v>2679</v>
      </c>
      <c r="E1244" s="65" t="s">
        <v>2860</v>
      </c>
      <c r="F1244" t="s">
        <v>1281</v>
      </c>
      <c r="G1244" s="161">
        <f>MONTH(EJECUTADO[[#This Row],[FECHA]])</f>
        <v>3</v>
      </c>
      <c r="H1244" s="163" t="str">
        <f>MID(EJECUTADO[[#This Row],[CUENTA]],1,4)</f>
        <v>E-03</v>
      </c>
      <c r="I1244" s="163" t="str">
        <f>INDEX(CATALOGO[Descripción],MATCH(EJECUTADO[[#This Row],[APLICACIÓN]]&amp;"-00-00-00",CATALOGO[Código],0))</f>
        <v>SUELDOS ADMINISTRATIVOS</v>
      </c>
      <c r="J12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SUELDOS Y SALARIOS VICERRECTORÍA FINANCIERA </v>
      </c>
      <c r="K1244" s="161" t="str">
        <f>IF((EJECUTADO[[#This Row],[MONTO DISPONIBLE ]]-EJECUTADO[[#This Row],[MONTO SOLICITADO]])&gt;=0,"PRESUPUESTO: SI","PRESUPUESTO: NO")</f>
        <v>PRESUPUESTO: SI</v>
      </c>
      <c r="L1244" s="162">
        <f>SUMIF(PRESUPUESTO[CUENTA],EJECUTADO[[#This Row],[CUENTA]],PRESUPUESTO[MONTO])-SUMIF($F$1:F1243,EJECUTADO[[#This Row],[CUENTA]],$M$1:M1243)</f>
        <v>254177.11</v>
      </c>
      <c r="M1244" s="2">
        <v>12252.58</v>
      </c>
      <c r="N1244" s="84"/>
      <c r="O1244" s="84"/>
      <c r="P1244" s="162">
        <f>+EJECUTADO[[#This Row],[MONTO SOLICITADO]]-EJECUTADO[[#This Row],[RETENCION IVA]]-EJECUTADO[[#This Row],[RETENCION ISR]]</f>
        <v>12252.58</v>
      </c>
      <c r="Q1244" s="84"/>
      <c r="R1244" s="84"/>
      <c r="S1244">
        <v>1</v>
      </c>
      <c r="T1244" s="168" t="str">
        <f t="shared" si="44"/>
        <v>SUELDOS ADMINISTRATIVOS - SUELDOS Y SALARIOS VICERRECTORÍA FINANCIERA  Disponible $254177.11 Solicitado $12252.58 PRESUPUESTO: SI</v>
      </c>
    </row>
    <row r="1245" spans="1:20" ht="45" x14ac:dyDescent="0.25">
      <c r="A1245" s="6">
        <f t="shared" si="45"/>
        <v>1134</v>
      </c>
      <c r="B1245" s="175">
        <v>45382</v>
      </c>
      <c r="C1245" s="126" t="s">
        <v>2859</v>
      </c>
      <c r="D1245" s="65" t="s">
        <v>157</v>
      </c>
      <c r="E1245" s="65" t="s">
        <v>2860</v>
      </c>
      <c r="F1245" t="s">
        <v>1253</v>
      </c>
      <c r="G1245" s="161">
        <f>MONTH(EJECUTADO[[#This Row],[FECHA]])</f>
        <v>3</v>
      </c>
      <c r="H1245" s="163" t="str">
        <f>MID(EJECUTADO[[#This Row],[CUENTA]],1,4)</f>
        <v>E-04</v>
      </c>
      <c r="I1245" s="163" t="str">
        <f>INDEX(CATALOGO[Descripción],MATCH(EJECUTADO[[#This Row],[APLICACIÓN]]&amp;"-00-00-00",CATALOGO[Código],0))</f>
        <v>SUELDOS ACADÉMICOS</v>
      </c>
      <c r="J12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VR ACADÉMICA</v>
      </c>
      <c r="K1245" s="161" t="str">
        <f>IF((EJECUTADO[[#This Row],[MONTO DISPONIBLE ]]-EJECUTADO[[#This Row],[MONTO SOLICITADO]])&gt;=0,"PRESUPUESTO: SI","PRESUPUESTO: NO")</f>
        <v>PRESUPUESTO: SI</v>
      </c>
      <c r="L1245" s="162">
        <f>SUMIF(PRESUPUESTO[CUENTA],EJECUTADO[[#This Row],[CUENTA]],PRESUPUESTO[MONTO])-SUMIF($F$1:F1244,EJECUTADO[[#This Row],[CUENTA]],$M$1:M1244)</f>
        <v>103150</v>
      </c>
      <c r="M1245" s="2">
        <v>5652</v>
      </c>
      <c r="N1245" s="84"/>
      <c r="O1245" s="84"/>
      <c r="P1245" s="162">
        <f>+EJECUTADO[[#This Row],[MONTO SOLICITADO]]-EJECUTADO[[#This Row],[RETENCION IVA]]-EJECUTADO[[#This Row],[RETENCION ISR]]</f>
        <v>5652</v>
      </c>
      <c r="Q1245" s="84"/>
      <c r="R1245" s="84"/>
      <c r="S1245">
        <v>1</v>
      </c>
      <c r="T1245" s="168" t="str">
        <f t="shared" si="44"/>
        <v>SUELDOS ACADÉMICOS - SUELDOS Y SALARIOS VR ACADÉMICA Disponible $103150 Solicitado $5652 PRESUPUESTO: SI</v>
      </c>
    </row>
    <row r="1246" spans="1:20" ht="45" x14ac:dyDescent="0.25">
      <c r="A1246" s="6">
        <f t="shared" si="45"/>
        <v>1135</v>
      </c>
      <c r="B1246" s="175">
        <v>45382</v>
      </c>
      <c r="C1246" s="126" t="s">
        <v>2859</v>
      </c>
      <c r="D1246" s="65" t="s">
        <v>800</v>
      </c>
      <c r="E1246" s="65" t="s">
        <v>2860</v>
      </c>
      <c r="F1246" t="s">
        <v>2680</v>
      </c>
      <c r="G1246" s="161">
        <f>MONTH(EJECUTADO[[#This Row],[FECHA]])</f>
        <v>3</v>
      </c>
      <c r="H1246" s="163" t="str">
        <f>MID(EJECUTADO[[#This Row],[CUENTA]],1,4)</f>
        <v>E-25</v>
      </c>
      <c r="I1246" s="163" t="str">
        <f>INDEX(CATALOGO[Descripción],MATCH(EJECUTADO[[#This Row],[APLICACIÓN]]&amp;"-00-00-00",CATALOGO[Código],0))</f>
        <v>DECANATO DE ESTUDIANTES</v>
      </c>
      <c r="J12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recreación y deportes - Colaborador $ 500</v>
      </c>
      <c r="K1246" s="161" t="str">
        <f>IF((EJECUTADO[[#This Row],[MONTO DISPONIBLE ]]-EJECUTADO[[#This Row],[MONTO SOLICITADO]])&gt;=0,"PRESUPUESTO: SI","PRESUPUESTO: NO")</f>
        <v>PRESUPUESTO: SI</v>
      </c>
      <c r="L1246" s="162">
        <f>SUMIF(PRESUPUESTO[CUENTA],EJECUTADO[[#This Row],[CUENTA]],PRESUPUESTO[MONTO])-SUMIF($F$1:F1245,EJECUTADO[[#This Row],[CUENTA]],$M$1:M1245)</f>
        <v>6250</v>
      </c>
      <c r="M1246" s="2">
        <v>285</v>
      </c>
      <c r="N1246" s="84"/>
      <c r="O1246" s="84"/>
      <c r="P1246" s="162">
        <f>+EJECUTADO[[#This Row],[MONTO SOLICITADO]]-EJECUTADO[[#This Row],[RETENCION IVA]]-EJECUTADO[[#This Row],[RETENCION ISR]]</f>
        <v>285</v>
      </c>
      <c r="Q1246" s="84"/>
      <c r="R1246" s="84"/>
      <c r="S1246">
        <v>1</v>
      </c>
      <c r="T1246" s="168" t="str">
        <f t="shared" si="44"/>
        <v>DECANATO DE ESTUDIANTES - U. recreación y deportes - Colaborador $ 500 Disponible $6250 Solicitado $285 PRESUPUESTO: SI</v>
      </c>
    </row>
    <row r="1247" spans="1:20" ht="60" x14ac:dyDescent="0.25">
      <c r="A1247" s="6">
        <f t="shared" si="45"/>
        <v>1136</v>
      </c>
      <c r="B1247" s="175">
        <v>45382</v>
      </c>
      <c r="C1247" s="126" t="s">
        <v>2859</v>
      </c>
      <c r="D1247" s="65" t="s">
        <v>2681</v>
      </c>
      <c r="E1247" s="65" t="s">
        <v>2860</v>
      </c>
      <c r="F1247" t="s">
        <v>1478</v>
      </c>
      <c r="G1247" s="161">
        <f>MONTH(EJECUTADO[[#This Row],[FECHA]])</f>
        <v>3</v>
      </c>
      <c r="H1247" s="163" t="str">
        <f>MID(EJECUTADO[[#This Row],[CUENTA]],1,4)</f>
        <v>E-25</v>
      </c>
      <c r="I1247" s="163" t="str">
        <f>INDEX(CATALOGO[Descripción],MATCH(EJECUTADO[[#This Row],[APLICACIÓN]]&amp;"-00-00-00",CATALOGO[Código],0))</f>
        <v>DECANATO DE ESTUDIANTES</v>
      </c>
      <c r="J12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U. recreación y deportes - Sueldo Encargado Unidad $ 750.00 </v>
      </c>
      <c r="K1247" s="161" t="str">
        <f>IF((EJECUTADO[[#This Row],[MONTO DISPONIBLE ]]-EJECUTADO[[#This Row],[MONTO SOLICITADO]])&gt;=0,"PRESUPUESTO: SI","PRESUPUESTO: NO")</f>
        <v>PRESUPUESTO: SI</v>
      </c>
      <c r="L1247" s="162">
        <f>SUMIF(PRESUPUESTO[CUENTA],EJECUTADO[[#This Row],[CUENTA]],PRESUPUESTO[MONTO])-SUMIF($F$1:F1246,EJECUTADO[[#This Row],[CUENTA]],$M$1:M1246)</f>
        <v>6875</v>
      </c>
      <c r="M1247" s="2">
        <v>427.5</v>
      </c>
      <c r="N1247" s="84"/>
      <c r="O1247" s="84"/>
      <c r="P1247" s="162">
        <f>+EJECUTADO[[#This Row],[MONTO SOLICITADO]]-EJECUTADO[[#This Row],[RETENCION IVA]]-EJECUTADO[[#This Row],[RETENCION ISR]]</f>
        <v>427.5</v>
      </c>
      <c r="Q1247" s="84"/>
      <c r="R1247" s="84"/>
      <c r="S1247">
        <v>1</v>
      </c>
      <c r="T1247" s="168" t="str">
        <f t="shared" si="44"/>
        <v>DECANATO DE ESTUDIANTES - U. recreación y deportes - Sueldo Encargado Unidad $ 750.00  Disponible $6875 Solicitado $427.5 PRESUPUESTO: SI</v>
      </c>
    </row>
    <row r="1248" spans="1:20" ht="45" x14ac:dyDescent="0.25">
      <c r="A1248" s="6">
        <f t="shared" si="45"/>
        <v>1137</v>
      </c>
      <c r="B1248" s="175">
        <v>45382</v>
      </c>
      <c r="C1248" s="126" t="s">
        <v>2859</v>
      </c>
      <c r="D1248" s="65" t="s">
        <v>795</v>
      </c>
      <c r="E1248" s="65" t="s">
        <v>2860</v>
      </c>
      <c r="F1248" t="s">
        <v>1476</v>
      </c>
      <c r="G1248" s="161">
        <f>MONTH(EJECUTADO[[#This Row],[FECHA]])</f>
        <v>3</v>
      </c>
      <c r="H1248" s="163" t="str">
        <f>MID(EJECUTADO[[#This Row],[CUENTA]],1,4)</f>
        <v>E-25</v>
      </c>
      <c r="I1248" s="163" t="str">
        <f>INDEX(CATALOGO[Descripción],MATCH(EJECUTADO[[#This Row],[APLICACIÓN]]&amp;"-00-00-00",CATALOGO[Código],0))</f>
        <v>DECANATO DE ESTUDIANTES</v>
      </c>
      <c r="J12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U. SERVICIO SOCIAL - SUELDOS Y SALARIOS</v>
      </c>
      <c r="K1248" s="161" t="str">
        <f>IF((EJECUTADO[[#This Row],[MONTO DISPONIBLE ]]-EJECUTADO[[#This Row],[MONTO SOLICITADO]])&gt;=0,"PRESUPUESTO: SI","PRESUPUESTO: NO")</f>
        <v>PRESUPUESTO: SI</v>
      </c>
      <c r="L1248" s="162">
        <f>SUMIF(PRESUPUESTO[CUENTA],EJECUTADO[[#This Row],[CUENTA]],PRESUPUESTO[MONTO])-SUMIF($F$1:F1247,EJECUTADO[[#This Row],[CUENTA]],$M$1:M1247)</f>
        <v>18150</v>
      </c>
      <c r="M1248" s="2">
        <v>855</v>
      </c>
      <c r="N1248" s="84"/>
      <c r="O1248" s="84"/>
      <c r="P1248" s="162">
        <f>+EJECUTADO[[#This Row],[MONTO SOLICITADO]]-EJECUTADO[[#This Row],[RETENCION IVA]]-EJECUTADO[[#This Row],[RETENCION ISR]]</f>
        <v>855</v>
      </c>
      <c r="Q1248" s="84"/>
      <c r="R1248" s="84"/>
      <c r="S1248">
        <v>1</v>
      </c>
      <c r="T1248" s="168" t="str">
        <f t="shared" si="44"/>
        <v>DECANATO DE ESTUDIANTES - U. SERVICIO SOCIAL - SUELDOS Y SALARIOS Disponible $18150 Solicitado $855 PRESUPUESTO: SI</v>
      </c>
    </row>
    <row r="1249" spans="1:20" ht="45" x14ac:dyDescent="0.25">
      <c r="A1249" s="6">
        <f t="shared" si="45"/>
        <v>1138</v>
      </c>
      <c r="B1249" s="175">
        <v>45382</v>
      </c>
      <c r="C1249" s="126" t="s">
        <v>2859</v>
      </c>
      <c r="D1249" s="65" t="s">
        <v>788</v>
      </c>
      <c r="E1249" s="65" t="s">
        <v>2860</v>
      </c>
      <c r="F1249" t="s">
        <v>1472</v>
      </c>
      <c r="G1249" s="161">
        <f>MONTH(EJECUTADO[[#This Row],[FECHA]])</f>
        <v>3</v>
      </c>
      <c r="H1249" s="163" t="str">
        <f>MID(EJECUTADO[[#This Row],[CUENTA]],1,4)</f>
        <v>E-25</v>
      </c>
      <c r="I1249" s="163" t="str">
        <f>INDEX(CATALOGO[Descripción],MATCH(EJECUTADO[[#This Row],[APLICACIÓN]]&amp;"-00-00-00",CATALOGO[Código],0))</f>
        <v>DECANATO DE ESTUDIANTES</v>
      </c>
      <c r="J12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UNIDAD DE TUTORES- SUELDOS Y SALARIOS</v>
      </c>
      <c r="K1249" s="161" t="str">
        <f>IF((EJECUTADO[[#This Row],[MONTO DISPONIBLE ]]-EJECUTADO[[#This Row],[MONTO SOLICITADO]])&gt;=0,"PRESUPUESTO: SI","PRESUPUESTO: NO")</f>
        <v>PRESUPUESTO: SI</v>
      </c>
      <c r="L1249" s="162">
        <f>SUMIF(PRESUPUESTO[CUENTA],EJECUTADO[[#This Row],[CUENTA]],PRESUPUESTO[MONTO])-SUMIF($F$1:F1248,EJECUTADO[[#This Row],[CUENTA]],$M$1:M1248)</f>
        <v>22050</v>
      </c>
      <c r="M1249" s="2">
        <v>1197</v>
      </c>
      <c r="N1249" s="84"/>
      <c r="O1249" s="84"/>
      <c r="P1249" s="162">
        <f>+EJECUTADO[[#This Row],[MONTO SOLICITADO]]-EJECUTADO[[#This Row],[RETENCION IVA]]-EJECUTADO[[#This Row],[RETENCION ISR]]</f>
        <v>1197</v>
      </c>
      <c r="Q1249" s="84"/>
      <c r="R1249" s="84"/>
      <c r="S1249">
        <v>1</v>
      </c>
      <c r="T1249" s="168" t="str">
        <f t="shared" ref="T1249:T1337" si="49">_xlfn.CONCAT(I1249," - ",J1249," Disponible $",L1249," Solicitado $",M1249," ",K1249,)</f>
        <v>DECANATO DE ESTUDIANTES - UNIDAD DE TUTORES- SUELDOS Y SALARIOS Disponible $22050 Solicitado $1197 PRESUPUESTO: SI</v>
      </c>
    </row>
    <row r="1250" spans="1:20" x14ac:dyDescent="0.25">
      <c r="A1250" s="6">
        <f t="shared" si="45"/>
        <v>1139</v>
      </c>
      <c r="B1250" s="21">
        <v>45382</v>
      </c>
      <c r="C1250" s="107" t="s">
        <v>1494</v>
      </c>
      <c r="D1250" s="126" t="s">
        <v>1495</v>
      </c>
      <c r="E1250" s="65" t="s">
        <v>2860</v>
      </c>
      <c r="F1250" t="s">
        <v>1496</v>
      </c>
      <c r="G1250" s="161">
        <f>MONTH(EJECUTADO[[#This Row],[FECHA]])</f>
        <v>3</v>
      </c>
      <c r="H1250" s="163" t="str">
        <f>MID(EJECUTADO[[#This Row],[CUENTA]],1,4)</f>
        <v>E-09</v>
      </c>
      <c r="I1250" s="163" t="str">
        <f>INDEX(CATALOGO[Descripción],MATCH(EJECUTADO[[#This Row],[APLICACIÓN]]&amp;"-00-00-00",CATALOGO[Código],0))</f>
        <v>PRESTACIONES AL PERSONAL</v>
      </c>
      <c r="J12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0" s="161" t="str">
        <f>IF((EJECUTADO[[#This Row],[MONTO DISPONIBLE ]]-EJECUTADO[[#This Row],[MONTO SOLICITADO]])&gt;=0,"PRESUPUESTO: SI","PRESUPUESTO: NO")</f>
        <v>PRESUPUESTO: SI</v>
      </c>
      <c r="L1250" s="162">
        <f>SUMIF(PRESUPUESTO[CUENTA],EJECUTADO[[#This Row],[CUENTA]],PRESUPUESTO[MONTO])-SUMIF($F$1:F1249,EJECUTADO[[#This Row],[CUENTA]],$M$1:M1249)</f>
        <v>586189.78</v>
      </c>
      <c r="M1250" s="2">
        <v>16536.47</v>
      </c>
      <c r="N1250" s="84"/>
      <c r="O1250" s="84"/>
      <c r="P1250" s="162">
        <f>+EJECUTADO[[#This Row],[MONTO SOLICITADO]]-EJECUTADO[[#This Row],[RETENCION IVA]]-EJECUTADO[[#This Row],[RETENCION ISR]]</f>
        <v>16536.47</v>
      </c>
      <c r="Q1250" s="84"/>
      <c r="R1250" s="84"/>
      <c r="T1250" s="168" t="str">
        <f t="shared" si="49"/>
        <v>PRESTACIONES AL PERSONAL - Cuotas patronales Disponible $586189.78 Solicitado $16536.47 PRESUPUESTO: SI</v>
      </c>
    </row>
    <row r="1251" spans="1:20" x14ac:dyDescent="0.25">
      <c r="A1251" s="6">
        <f t="shared" si="45"/>
        <v>1140</v>
      </c>
      <c r="B1251" s="21">
        <v>45382</v>
      </c>
      <c r="C1251" s="108" t="s">
        <v>1494</v>
      </c>
      <c r="D1251" s="126" t="s">
        <v>1497</v>
      </c>
      <c r="E1251" s="65" t="s">
        <v>2860</v>
      </c>
      <c r="F1251" t="s">
        <v>1496</v>
      </c>
      <c r="G1251" s="161">
        <f>MONTH(EJECUTADO[[#This Row],[FECHA]])</f>
        <v>3</v>
      </c>
      <c r="H1251" s="163" t="str">
        <f>MID(EJECUTADO[[#This Row],[CUENTA]],1,4)</f>
        <v>E-09</v>
      </c>
      <c r="I1251" s="163" t="str">
        <f>INDEX(CATALOGO[Descripción],MATCH(EJECUTADO[[#This Row],[APLICACIÓN]]&amp;"-00-00-00",CATALOGO[Código],0))</f>
        <v>PRESTACIONES AL PERSONAL</v>
      </c>
      <c r="J12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1" s="161" t="str">
        <f>IF((EJECUTADO[[#This Row],[MONTO DISPONIBLE ]]-EJECUTADO[[#This Row],[MONTO SOLICITADO]])&gt;=0,"PRESUPUESTO: SI","PRESUPUESTO: NO")</f>
        <v>PRESUPUESTO: SI</v>
      </c>
      <c r="L1251" s="162">
        <f>SUMIF(PRESUPUESTO[CUENTA],EJECUTADO[[#This Row],[CUENTA]],PRESUPUESTO[MONTO])-SUMIF($F$1:F1250,EJECUTADO[[#This Row],[CUENTA]],$M$1:M1250)</f>
        <v>569653.30999999994</v>
      </c>
      <c r="M1251" s="2">
        <v>21987.34</v>
      </c>
      <c r="N1251" s="84"/>
      <c r="O1251" s="84"/>
      <c r="P1251" s="162">
        <f>+EJECUTADO[[#This Row],[MONTO SOLICITADO]]-EJECUTADO[[#This Row],[RETENCION IVA]]-EJECUTADO[[#This Row],[RETENCION ISR]]</f>
        <v>21987.34</v>
      </c>
      <c r="Q1251" s="84"/>
      <c r="R1251" s="84"/>
      <c r="T1251" s="168" t="str">
        <f t="shared" si="49"/>
        <v>PRESTACIONES AL PERSONAL - Cuotas patronales Disponible $569653.31 Solicitado $21987.34 PRESUPUESTO: SI</v>
      </c>
    </row>
    <row r="1252" spans="1:20" x14ac:dyDescent="0.25">
      <c r="A1252" s="6">
        <f t="shared" si="45"/>
        <v>1141</v>
      </c>
      <c r="B1252" s="21">
        <v>45382</v>
      </c>
      <c r="C1252" s="107" t="s">
        <v>1494</v>
      </c>
      <c r="D1252" s="126" t="s">
        <v>1498</v>
      </c>
      <c r="E1252" s="65" t="s">
        <v>2860</v>
      </c>
      <c r="F1252" t="s">
        <v>1496</v>
      </c>
      <c r="G1252" s="161">
        <f>MONTH(EJECUTADO[[#This Row],[FECHA]])</f>
        <v>3</v>
      </c>
      <c r="H1252" s="163" t="str">
        <f>MID(EJECUTADO[[#This Row],[CUENTA]],1,4)</f>
        <v>E-09</v>
      </c>
      <c r="I1252" s="163" t="str">
        <f>INDEX(CATALOGO[Descripción],MATCH(EJECUTADO[[#This Row],[APLICACIÓN]]&amp;"-00-00-00",CATALOGO[Código],0))</f>
        <v>PRESTACIONES AL PERSONAL</v>
      </c>
      <c r="J12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2" s="161" t="str">
        <f>IF((EJECUTADO[[#This Row],[MONTO DISPONIBLE ]]-EJECUTADO[[#This Row],[MONTO SOLICITADO]])&gt;=0,"PRESUPUESTO: SI","PRESUPUESTO: NO")</f>
        <v>PRESUPUESTO: SI</v>
      </c>
      <c r="L1252" s="162">
        <f>SUMIF(PRESUPUESTO[CUENTA],EJECUTADO[[#This Row],[CUENTA]],PRESUPUESTO[MONTO])-SUMIF($F$1:F1251,EJECUTADO[[#This Row],[CUENTA]],$M$1:M1251)</f>
        <v>547665.97</v>
      </c>
      <c r="M1252" s="2">
        <v>16047.51</v>
      </c>
      <c r="N1252" s="84"/>
      <c r="O1252" s="84"/>
      <c r="P1252" s="162">
        <f>+EJECUTADO[[#This Row],[MONTO SOLICITADO]]-EJECUTADO[[#This Row],[RETENCION IVA]]-EJECUTADO[[#This Row],[RETENCION ISR]]</f>
        <v>16047.51</v>
      </c>
      <c r="Q1252" s="84"/>
      <c r="R1252" s="84"/>
      <c r="T1252" s="168" t="str">
        <f t="shared" si="49"/>
        <v>PRESTACIONES AL PERSONAL - Cuotas patronales Disponible $547665.97 Solicitado $16047.51 PRESUPUESTO: SI</v>
      </c>
    </row>
    <row r="1253" spans="1:20" x14ac:dyDescent="0.25">
      <c r="A1253" s="6">
        <f t="shared" si="45"/>
        <v>1142</v>
      </c>
      <c r="B1253" s="21">
        <v>45382</v>
      </c>
      <c r="C1253" s="108" t="s">
        <v>1494</v>
      </c>
      <c r="D1253" s="126" t="s">
        <v>1499</v>
      </c>
      <c r="E1253" s="65" t="s">
        <v>2860</v>
      </c>
      <c r="F1253" t="s">
        <v>1496</v>
      </c>
      <c r="G1253" s="161">
        <f>MONTH(EJECUTADO[[#This Row],[FECHA]])</f>
        <v>3</v>
      </c>
      <c r="H1253" s="163" t="str">
        <f>MID(EJECUTADO[[#This Row],[CUENTA]],1,4)</f>
        <v>E-09</v>
      </c>
      <c r="I1253" s="163" t="str">
        <f>INDEX(CATALOGO[Descripción],MATCH(EJECUTADO[[#This Row],[APLICACIÓN]]&amp;"-00-00-00",CATALOGO[Código],0))</f>
        <v>PRESTACIONES AL PERSONAL</v>
      </c>
      <c r="J12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3" s="161" t="str">
        <f>IF((EJECUTADO[[#This Row],[MONTO DISPONIBLE ]]-EJECUTADO[[#This Row],[MONTO SOLICITADO]])&gt;=0,"PRESUPUESTO: SI","PRESUPUESTO: NO")</f>
        <v>PRESUPUESTO: SI</v>
      </c>
      <c r="L1253" s="162">
        <f>SUMIF(PRESUPUESTO[CUENTA],EJECUTADO[[#This Row],[CUENTA]],PRESUPUESTO[MONTO])-SUMIF($F$1:F1252,EJECUTADO[[#This Row],[CUENTA]],$M$1:M1252)</f>
        <v>531618.46</v>
      </c>
      <c r="M1253" s="2">
        <v>88.21</v>
      </c>
      <c r="N1253" s="84"/>
      <c r="O1253" s="84"/>
      <c r="P1253" s="162">
        <f>+EJECUTADO[[#This Row],[MONTO SOLICITADO]]-EJECUTADO[[#This Row],[RETENCION IVA]]-EJECUTADO[[#This Row],[RETENCION ISR]]</f>
        <v>88.21</v>
      </c>
      <c r="Q1253" s="84"/>
      <c r="R1253" s="84"/>
      <c r="T1253" s="168" t="str">
        <f t="shared" si="49"/>
        <v>PRESTACIONES AL PERSONAL - Cuotas patronales Disponible $531618.46 Solicitado $88.21 PRESUPUESTO: SI</v>
      </c>
    </row>
    <row r="1254" spans="1:20" x14ac:dyDescent="0.25">
      <c r="A1254" s="6">
        <f t="shared" ref="A1254:A1342" si="50">+A1253+1</f>
        <v>1143</v>
      </c>
      <c r="B1254" s="21">
        <v>45382</v>
      </c>
      <c r="C1254" s="107" t="s">
        <v>1494</v>
      </c>
      <c r="D1254" s="126" t="s">
        <v>1500</v>
      </c>
      <c r="E1254" s="65" t="s">
        <v>2860</v>
      </c>
      <c r="F1254" t="s">
        <v>1496</v>
      </c>
      <c r="G1254" s="161">
        <f>MONTH(EJECUTADO[[#This Row],[FECHA]])</f>
        <v>3</v>
      </c>
      <c r="H1254" s="163" t="str">
        <f>MID(EJECUTADO[[#This Row],[CUENTA]],1,4)</f>
        <v>E-09</v>
      </c>
      <c r="I1254" s="163" t="str">
        <f>INDEX(CATALOGO[Descripción],MATCH(EJECUTADO[[#This Row],[APLICACIÓN]]&amp;"-00-00-00",CATALOGO[Código],0))</f>
        <v>PRESTACIONES AL PERSONAL</v>
      </c>
      <c r="J12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4" s="161" t="str">
        <f>IF((EJECUTADO[[#This Row],[MONTO DISPONIBLE ]]-EJECUTADO[[#This Row],[MONTO SOLICITADO]])&gt;=0,"PRESUPUESTO: SI","PRESUPUESTO: NO")</f>
        <v>PRESUPUESTO: SI</v>
      </c>
      <c r="L1254" s="162">
        <f>SUMIF(PRESUPUESTO[CUENTA],EJECUTADO[[#This Row],[CUENTA]],PRESUPUESTO[MONTO])-SUMIF($F$1:F1253,EJECUTADO[[#This Row],[CUENTA]],$M$1:M1253)</f>
        <v>531530.25</v>
      </c>
      <c r="M1254" s="2">
        <v>2517.1799999999998</v>
      </c>
      <c r="N1254" s="84"/>
      <c r="O1254" s="84"/>
      <c r="P1254" s="162">
        <f>+EJECUTADO[[#This Row],[MONTO SOLICITADO]]-EJECUTADO[[#This Row],[RETENCION IVA]]-EJECUTADO[[#This Row],[RETENCION ISR]]</f>
        <v>2517.1799999999998</v>
      </c>
      <c r="Q1254" s="84"/>
      <c r="R1254" s="84"/>
      <c r="T1254" s="168" t="str">
        <f t="shared" si="49"/>
        <v>PRESTACIONES AL PERSONAL - Cuotas patronales Disponible $531530.25 Solicitado $2517.18 PRESUPUESTO: SI</v>
      </c>
    </row>
    <row r="1255" spans="1:20" x14ac:dyDescent="0.25">
      <c r="A1255" s="6">
        <f t="shared" si="50"/>
        <v>1144</v>
      </c>
      <c r="B1255" s="21">
        <v>45382</v>
      </c>
      <c r="C1255" s="107" t="s">
        <v>1494</v>
      </c>
      <c r="D1255" s="65" t="s">
        <v>2861</v>
      </c>
      <c r="E1255" s="65" t="s">
        <v>2860</v>
      </c>
      <c r="F1255" t="s">
        <v>1496</v>
      </c>
      <c r="G1255" s="161">
        <f>MONTH(EJECUTADO[[#This Row],[FECHA]])</f>
        <v>3</v>
      </c>
      <c r="H1255" s="163" t="str">
        <f>MID(EJECUTADO[[#This Row],[CUENTA]],1,4)</f>
        <v>E-09</v>
      </c>
      <c r="I1255" s="163" t="str">
        <f>INDEX(CATALOGO[Descripción],MATCH(EJECUTADO[[#This Row],[APLICACIÓN]]&amp;"-00-00-00",CATALOGO[Código],0))</f>
        <v>PRESTACIONES AL PERSONAL</v>
      </c>
      <c r="J12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patronales</v>
      </c>
      <c r="K1255" s="161" t="str">
        <f>IF((EJECUTADO[[#This Row],[MONTO DISPONIBLE ]]-EJECUTADO[[#This Row],[MONTO SOLICITADO]])&gt;=0,"PRESUPUESTO: SI","PRESUPUESTO: NO")</f>
        <v>PRESUPUESTO: SI</v>
      </c>
      <c r="L1255" s="162">
        <f>SUMIF(PRESUPUESTO[CUENTA],EJECUTADO[[#This Row],[CUENTA]],PRESUPUESTO[MONTO])-SUMIF($F$1:F1254,EJECUTADO[[#This Row],[CUENTA]],$M$1:M1254)</f>
        <v>529013.06999999995</v>
      </c>
      <c r="M1255" s="2">
        <v>272.20999999999998</v>
      </c>
      <c r="N1255" s="84"/>
      <c r="O1255" s="84"/>
      <c r="P1255" s="162">
        <f>+EJECUTADO[[#This Row],[MONTO SOLICITADO]]-EJECUTADO[[#This Row],[RETENCION IVA]]-EJECUTADO[[#This Row],[RETENCION ISR]]</f>
        <v>272.20999999999998</v>
      </c>
      <c r="Q1255" s="84"/>
      <c r="R1255" s="84"/>
      <c r="T1255" s="168" t="str">
        <f t="shared" si="49"/>
        <v>PRESTACIONES AL PERSONAL - Cuotas patronales Disponible $529013.07 Solicitado $272.21 PRESUPUESTO: SI</v>
      </c>
    </row>
    <row r="1256" spans="1:20" ht="30" x14ac:dyDescent="0.25">
      <c r="A1256" s="6">
        <f t="shared" si="50"/>
        <v>1145</v>
      </c>
      <c r="B1256" s="21">
        <v>45384</v>
      </c>
      <c r="C1256" s="126" t="s">
        <v>2862</v>
      </c>
      <c r="D1256" s="65" t="s">
        <v>2863</v>
      </c>
      <c r="E1256" s="65"/>
      <c r="G1256" s="161">
        <f>MONTH(EJECUTADO[[#This Row],[FECHA]])</f>
        <v>4</v>
      </c>
      <c r="H1256" s="163" t="str">
        <f>MID(EJECUTADO[[#This Row],[CUENTA]],1,4)</f>
        <v/>
      </c>
      <c r="I1256" s="163" t="e">
        <f>INDEX(CATALOGO[Descripción],MATCH(EJECUTADO[[#This Row],[APLICACIÓN]]&amp;"-00-00-00",CATALOGO[Código],0))</f>
        <v>#N/A</v>
      </c>
      <c r="J125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256" s="161" t="str">
        <f>IF((EJECUTADO[[#This Row],[MONTO DISPONIBLE ]]-EJECUTADO[[#This Row],[MONTO SOLICITADO]])&gt;=0,"PRESUPUESTO: SI","PRESUPUESTO: NO")</f>
        <v>PRESUPUESTO: NO</v>
      </c>
      <c r="L1256" s="162">
        <f>SUMIF(PRESUPUESTO[CUENTA],EJECUTADO[[#This Row],[CUENTA]],PRESUPUESTO[MONTO])-SUMIF($F$1:F1255,EJECUTADO[[#This Row],[CUENTA]],$M$1:M1255)</f>
        <v>0</v>
      </c>
      <c r="M1256" s="2">
        <v>205.73</v>
      </c>
      <c r="N1256" s="84"/>
      <c r="O1256" s="84"/>
      <c r="P1256" s="162">
        <f>+EJECUTADO[[#This Row],[MONTO SOLICITADO]]-EJECUTADO[[#This Row],[RETENCION IVA]]-EJECUTADO[[#This Row],[RETENCION ISR]]</f>
        <v>205.73</v>
      </c>
      <c r="Q1256" s="84"/>
      <c r="R1256" s="84"/>
      <c r="T1256" s="168" t="e">
        <f t="shared" si="49"/>
        <v>#N/A</v>
      </c>
    </row>
    <row r="1257" spans="1:20" ht="45" x14ac:dyDescent="0.25">
      <c r="A1257" s="6">
        <f t="shared" si="50"/>
        <v>1146</v>
      </c>
      <c r="B1257" s="21">
        <v>45384</v>
      </c>
      <c r="C1257" s="126" t="s">
        <v>1601</v>
      </c>
      <c r="D1257" s="65" t="s">
        <v>2864</v>
      </c>
      <c r="E1257" s="65" t="s">
        <v>1915</v>
      </c>
      <c r="F1257" t="s">
        <v>1603</v>
      </c>
      <c r="G1257" s="161">
        <f>MONTH(EJECUTADO[[#This Row],[FECHA]])</f>
        <v>4</v>
      </c>
      <c r="H1257" s="163" t="str">
        <f>MID(EJECUTADO[[#This Row],[CUENTA]],1,4)</f>
        <v>E-22</v>
      </c>
      <c r="I1257" s="163" t="str">
        <f>INDEX(CATALOGO[Descripción],MATCH(EJECUTADO[[#This Row],[APLICACIÓN]]&amp;"-00-00-00",CATALOGO[Código],0))</f>
        <v>CAPACITACIÓN AL PERSONAL</v>
      </c>
      <c r="J12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Maestría Beatríaz Martínez</v>
      </c>
      <c r="K1257" s="161" t="str">
        <f>IF((EJECUTADO[[#This Row],[MONTO DISPONIBLE ]]-EJECUTADO[[#This Row],[MONTO SOLICITADO]])&gt;=0,"PRESUPUESTO: SI","PRESUPUESTO: NO")</f>
        <v>PRESUPUESTO: SI</v>
      </c>
      <c r="L1257" s="162">
        <f>SUMIF(PRESUPUESTO[CUENTA],EJECUTADO[[#This Row],[CUENTA]],PRESUPUESTO[MONTO])-SUMIF($F$1:F1256,EJECUTADO[[#This Row],[CUENTA]],$M$1:M1256)</f>
        <v>1100</v>
      </c>
      <c r="M1257" s="2">
        <v>150</v>
      </c>
      <c r="N1257" s="84"/>
      <c r="O1257" s="84"/>
      <c r="P1257" s="162">
        <f>+EJECUTADO[[#This Row],[MONTO SOLICITADO]]-EJECUTADO[[#This Row],[RETENCION IVA]]-EJECUTADO[[#This Row],[RETENCION ISR]]</f>
        <v>150</v>
      </c>
      <c r="Q1257" s="84" t="s">
        <v>1786</v>
      </c>
      <c r="R1257" s="84"/>
      <c r="S1257" s="112">
        <v>3372</v>
      </c>
      <c r="T1257" s="168" t="str">
        <f t="shared" si="49"/>
        <v>CAPACITACIÓN AL PERSONAL - FCCS - Maestría Beatríaz Martínez Disponible $1100 Solicitado $150 PRESUPUESTO: SI</v>
      </c>
    </row>
    <row r="1258" spans="1:20" ht="45" x14ac:dyDescent="0.25">
      <c r="A1258" s="6">
        <f t="shared" si="50"/>
        <v>1147</v>
      </c>
      <c r="B1258" s="21">
        <v>45384</v>
      </c>
      <c r="C1258" s="126" t="s">
        <v>1404</v>
      </c>
      <c r="D1258" s="65" t="s">
        <v>2865</v>
      </c>
      <c r="E1258" s="65" t="s">
        <v>1915</v>
      </c>
      <c r="F1258" t="s">
        <v>2866</v>
      </c>
      <c r="G1258" s="161">
        <f>MONTH(EJECUTADO[[#This Row],[FECHA]])</f>
        <v>4</v>
      </c>
      <c r="H1258" s="163" t="str">
        <f>MID(EJECUTADO[[#This Row],[CUENTA]],1,4)</f>
        <v>E-22</v>
      </c>
      <c r="I1258" s="163" t="str">
        <f>INDEX(CATALOGO[Descripción],MATCH(EJECUTADO[[#This Row],[APLICACIÓN]]&amp;"-00-00-00",CATALOGO[Código],0))</f>
        <v>CAPACITACIÓN AL PERSONAL</v>
      </c>
      <c r="J12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MAE - Capacitaciones personal de Maestrías</v>
      </c>
      <c r="K1258" s="161" t="str">
        <f>IF((EJECUTADO[[#This Row],[MONTO DISPONIBLE ]]-EJECUTADO[[#This Row],[MONTO SOLICITADO]])&gt;=0,"PRESUPUESTO: SI","PRESUPUESTO: NO")</f>
        <v>PRESUPUESTO: SI</v>
      </c>
      <c r="L1258" s="162">
        <f>SUMIF(PRESUPUESTO[CUENTA],EJECUTADO[[#This Row],[CUENTA]],PRESUPUESTO[MONTO])-SUMIF($F$1:F1257,EJECUTADO[[#This Row],[CUENTA]],$M$1:M1257)</f>
        <v>2000</v>
      </c>
      <c r="M1258" s="2">
        <v>125</v>
      </c>
      <c r="N1258" s="84"/>
      <c r="O1258" s="84"/>
      <c r="P1258" s="162">
        <f>+EJECUTADO[[#This Row],[MONTO SOLICITADO]]-EJECUTADO[[#This Row],[RETENCION IVA]]-EJECUTADO[[#This Row],[RETENCION ISR]]</f>
        <v>125</v>
      </c>
      <c r="Q1258" s="84" t="s">
        <v>1786</v>
      </c>
      <c r="R1258" s="84"/>
      <c r="S1258" s="112">
        <v>3371</v>
      </c>
      <c r="T1258" s="168" t="str">
        <f t="shared" si="49"/>
        <v>CAPACITACIÓN AL PERSONAL - MAE - Capacitaciones personal de Maestrías Disponible $2000 Solicitado $125 PRESUPUESTO: SI</v>
      </c>
    </row>
    <row r="1259" spans="1:20" ht="30" x14ac:dyDescent="0.25">
      <c r="A1259" s="6">
        <f t="shared" si="50"/>
        <v>1148</v>
      </c>
      <c r="B1259" s="21">
        <v>45384</v>
      </c>
      <c r="C1259" s="126" t="s">
        <v>2748</v>
      </c>
      <c r="D1259" s="65" t="s">
        <v>2867</v>
      </c>
      <c r="E1259" s="65" t="s">
        <v>1915</v>
      </c>
      <c r="F1259" t="s">
        <v>2751</v>
      </c>
      <c r="G1259" s="161">
        <f>MONTH(EJECUTADO[[#This Row],[FECHA]])</f>
        <v>4</v>
      </c>
      <c r="H1259" s="163" t="str">
        <f>MID(EJECUTADO[[#This Row],[CUENTA]],1,4)</f>
        <v>E-22</v>
      </c>
      <c r="I1259" s="163" t="str">
        <f>INDEX(CATALOGO[Descripción],MATCH(EJECUTADO[[#This Row],[APLICACIÓN]]&amp;"-00-00-00",CATALOGO[Código],0))</f>
        <v>CAPACITACIÓN AL PERSONAL</v>
      </c>
      <c r="J12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FCCJ - Otras capacitaciones Escuela de Derecho</v>
      </c>
      <c r="K1259" s="161" t="str">
        <f>IF((EJECUTADO[[#This Row],[MONTO DISPONIBLE ]]-EJECUTADO[[#This Row],[MONTO SOLICITADO]])&gt;=0,"PRESUPUESTO: SI","PRESUPUESTO: NO")</f>
        <v>PRESUPUESTO: SI</v>
      </c>
      <c r="L1259" s="162">
        <f>SUMIF(PRESUPUESTO[CUENTA],EJECUTADO[[#This Row],[CUENTA]],PRESUPUESTO[MONTO])-SUMIF($F$1:F1258,EJECUTADO[[#This Row],[CUENTA]],$M$1:M1258)</f>
        <v>3400</v>
      </c>
      <c r="M1259" s="2">
        <v>70</v>
      </c>
      <c r="N1259" s="84"/>
      <c r="O1259" s="84"/>
      <c r="P1259" s="162">
        <f>+EJECUTADO[[#This Row],[MONTO SOLICITADO]]-EJECUTADO[[#This Row],[RETENCION IVA]]-EJECUTADO[[#This Row],[RETENCION ISR]]</f>
        <v>70</v>
      </c>
      <c r="Q1259" s="84" t="s">
        <v>1786</v>
      </c>
      <c r="R1259" s="84"/>
      <c r="S1259" s="112">
        <v>3375</v>
      </c>
      <c r="T1259" s="168" t="str">
        <f t="shared" si="49"/>
        <v>CAPACITACIÓN AL PERSONAL - FCCJ - Otras capacitaciones Escuela de Derecho Disponible $3400 Solicitado $70 PRESUPUESTO: SI</v>
      </c>
    </row>
    <row r="1260" spans="1:20" ht="30" x14ac:dyDescent="0.25">
      <c r="A1260" s="6">
        <f t="shared" si="50"/>
        <v>1149</v>
      </c>
      <c r="B1260" s="21">
        <v>45384</v>
      </c>
      <c r="C1260" s="126" t="s">
        <v>2868</v>
      </c>
      <c r="D1260" s="65" t="s">
        <v>2869</v>
      </c>
      <c r="E1260" s="65" t="s">
        <v>2870</v>
      </c>
      <c r="F1260" t="s">
        <v>1171</v>
      </c>
      <c r="G1260" s="161">
        <f>MONTH(EJECUTADO[[#This Row],[FECHA]])</f>
        <v>4</v>
      </c>
      <c r="H1260" s="163" t="str">
        <f>MID(EJECUTADO[[#This Row],[CUENTA]],1,4)</f>
        <v>E-24</v>
      </c>
      <c r="I1260" s="163" t="str">
        <f>INDEX(CATALOGO[Descripción],MATCH(EJECUTADO[[#This Row],[APLICACIÓN]]&amp;"-00-00-00",CATALOGO[Código],0))</f>
        <v>NUEVO INGRESO</v>
      </c>
      <c r="J12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1260" s="161" t="str">
        <f>IF((EJECUTADO[[#This Row],[MONTO DISPONIBLE ]]-EJECUTADO[[#This Row],[MONTO SOLICITADO]])&gt;=0,"PRESUPUESTO: SI","PRESUPUESTO: NO")</f>
        <v>PRESUPUESTO: SI</v>
      </c>
      <c r="L1260" s="162">
        <f>SUMIF(PRESUPUESTO[CUENTA],EJECUTADO[[#This Row],[CUENTA]],PRESUPUESTO[MONTO])-SUMIF($F$1:F1259,EJECUTADO[[#This Row],[CUENTA]],$M$1:M1259)</f>
        <v>33943.1</v>
      </c>
      <c r="M1260" s="2">
        <v>3107.5</v>
      </c>
      <c r="N1260" s="84">
        <v>27.5</v>
      </c>
      <c r="O1260" s="84"/>
      <c r="P1260" s="162">
        <f>+EJECUTADO[[#This Row],[MONTO SOLICITADO]]-EJECUTADO[[#This Row],[RETENCION IVA]]-EJECUTADO[[#This Row],[RETENCION ISR]]</f>
        <v>3080</v>
      </c>
      <c r="Q1260" s="84" t="s">
        <v>1786</v>
      </c>
      <c r="R1260" s="84"/>
      <c r="S1260" s="112">
        <v>3367</v>
      </c>
      <c r="T1260" s="168" t="str">
        <f t="shared" si="49"/>
        <v>NUEVO INGRESO - Metrocentro - Alquiler de Local $ 3108*12  Disponible $33943.1 Solicitado $3107.5 PRESUPUESTO: SI</v>
      </c>
    </row>
    <row r="1261" spans="1:20" ht="45" x14ac:dyDescent="0.25">
      <c r="A1261" s="6">
        <f t="shared" si="50"/>
        <v>1150</v>
      </c>
      <c r="B1261" s="21">
        <v>45384</v>
      </c>
      <c r="C1261" s="126" t="s">
        <v>2871</v>
      </c>
      <c r="D1261" s="65" t="s">
        <v>2872</v>
      </c>
      <c r="E1261" s="65" t="s">
        <v>2873</v>
      </c>
      <c r="F1261" t="s">
        <v>1167</v>
      </c>
      <c r="G1261" s="161">
        <f>MONTH(EJECUTADO[[#This Row],[FECHA]])</f>
        <v>4</v>
      </c>
      <c r="H1261" s="163" t="str">
        <f>MID(EJECUTADO[[#This Row],[CUENTA]],1,4)</f>
        <v>E-24</v>
      </c>
      <c r="I1261" s="163" t="str">
        <f>INDEX(CATALOGO[Descripción],MATCH(EJECUTADO[[#This Row],[APLICACIÓN]]&amp;"-00-00-00",CATALOGO[Código],0))</f>
        <v>NUEVO INGRESO</v>
      </c>
      <c r="J12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1261" s="161" t="str">
        <f>IF((EJECUTADO[[#This Row],[MONTO DISPONIBLE ]]-EJECUTADO[[#This Row],[MONTO SOLICITADO]])&gt;=0,"PRESUPUESTO: SI","PRESUPUESTO: NO")</f>
        <v>PRESUPUESTO: NO</v>
      </c>
      <c r="L1261" s="162">
        <f>SUMIF(PRESUPUESTO[CUENTA],EJECUTADO[[#This Row],[CUENTA]],PRESUPUESTO[MONTO])-SUMIF($F$1:F1260,EJECUTADO[[#This Row],[CUENTA]],$M$1:M1260)</f>
        <v>-1148.8800000000001</v>
      </c>
      <c r="M1261" s="2">
        <v>432.82</v>
      </c>
      <c r="N1261" s="84">
        <v>3.83</v>
      </c>
      <c r="O1261" s="84"/>
      <c r="P1261" s="162">
        <f>+EJECUTADO[[#This Row],[MONTO SOLICITADO]]-EJECUTADO[[#This Row],[RETENCION IVA]]-EJECUTADO[[#This Row],[RETENCION ISR]]</f>
        <v>428.99</v>
      </c>
      <c r="Q1261" s="84" t="s">
        <v>1786</v>
      </c>
      <c r="R1261" s="84"/>
      <c r="S1261" s="112">
        <v>3367</v>
      </c>
      <c r="T1261" s="168" t="str">
        <f t="shared" si="49"/>
        <v>NUEVO INGRESO - Metrocentro - Mantenimiento de local $ 436.23 Disponible $-1148.88 Solicitado $432.82 PRESUPUESTO: NO</v>
      </c>
    </row>
    <row r="1262" spans="1:20" ht="45" x14ac:dyDescent="0.25">
      <c r="A1262" s="6">
        <f t="shared" si="50"/>
        <v>1151</v>
      </c>
      <c r="B1262" s="21">
        <v>45384</v>
      </c>
      <c r="C1262" s="126" t="s">
        <v>2055</v>
      </c>
      <c r="D1262" s="65" t="s">
        <v>2874</v>
      </c>
      <c r="E1262" s="65" t="s">
        <v>2875</v>
      </c>
      <c r="F1262" t="s">
        <v>1159</v>
      </c>
      <c r="G1262" s="161">
        <f>MONTH(EJECUTADO[[#This Row],[FECHA]])</f>
        <v>4</v>
      </c>
      <c r="H1262" s="163" t="str">
        <f>MID(EJECUTADO[[#This Row],[CUENTA]],1,4)</f>
        <v>E-24</v>
      </c>
      <c r="I1262" s="163" t="str">
        <f>INDEX(CATALOGO[Descripción],MATCH(EJECUTADO[[#This Row],[APLICACIÓN]]&amp;"-00-00-00",CATALOGO[Código],0))</f>
        <v>NUEVO INGRESO</v>
      </c>
      <c r="J12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1262" s="161" t="str">
        <f>IF((EJECUTADO[[#This Row],[MONTO DISPONIBLE ]]-EJECUTADO[[#This Row],[MONTO SOLICITADO]])&gt;=0,"PRESUPUESTO: SI","PRESUPUESTO: NO")</f>
        <v>PRESUPUESTO: SI</v>
      </c>
      <c r="L1262" s="162">
        <f>SUMIF(PRESUPUESTO[CUENTA],EJECUTADO[[#This Row],[CUENTA]],PRESUPUESTO[MONTO])-SUMIF($F$1:F1261,EJECUTADO[[#This Row],[CUENTA]],$M$1:M1261)</f>
        <v>26112.6</v>
      </c>
      <c r="M1262" s="2">
        <v>33.9</v>
      </c>
      <c r="N1262" s="84"/>
      <c r="O1262" s="84"/>
      <c r="P1262" s="162">
        <f>+EJECUTADO[[#This Row],[MONTO SOLICITADO]]-EJECUTADO[[#This Row],[RETENCION IVA]]-EJECUTADO[[#This Row],[RETENCION ISR]]</f>
        <v>33.9</v>
      </c>
      <c r="Q1262" s="84" t="s">
        <v>1786</v>
      </c>
      <c r="R1262" s="84"/>
      <c r="S1262" s="112">
        <v>3369</v>
      </c>
      <c r="T1262" s="168" t="str">
        <f t="shared" si="49"/>
        <v>NUEVO INGRESO - Plaza Mundo - Renta de local $ 2,917.85 DEICE Disponible $26112.6 Solicitado $33.9 PRESUPUESTO: SI</v>
      </c>
    </row>
    <row r="1263" spans="1:20" ht="90" x14ac:dyDescent="0.25">
      <c r="A1263" s="6">
        <f t="shared" si="50"/>
        <v>1152</v>
      </c>
      <c r="B1263" s="21">
        <v>45384</v>
      </c>
      <c r="C1263" s="129" t="s">
        <v>2876</v>
      </c>
      <c r="D1263" s="65" t="s">
        <v>2877</v>
      </c>
      <c r="E1263" s="65" t="s">
        <v>2878</v>
      </c>
      <c r="F1263" t="s">
        <v>1126</v>
      </c>
      <c r="G1263" s="161">
        <f>MONTH(EJECUTADO[[#This Row],[FECHA]])</f>
        <v>4</v>
      </c>
      <c r="H1263" s="163" t="str">
        <f>MID(EJECUTADO[[#This Row],[CUENTA]],1,4)</f>
        <v>E-15</v>
      </c>
      <c r="I1263" s="163" t="str">
        <f>INDEX(CATALOGO[Descripción],MATCH(EJECUTADO[[#This Row],[APLICACIÓN]]&amp;"-00-00-00",CATALOGO[Código],0))</f>
        <v>ALQUILERES</v>
      </c>
      <c r="J12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1263" s="161" t="str">
        <f>IF((EJECUTADO[[#This Row],[MONTO DISPONIBLE ]]-EJECUTADO[[#This Row],[MONTO SOLICITADO]])&gt;=0,"PRESUPUESTO: SI","PRESUPUESTO: NO")</f>
        <v>PRESUPUESTO: SI</v>
      </c>
      <c r="L1263" s="162">
        <f>SUMIF(PRESUPUESTO[CUENTA],EJECUTADO[[#This Row],[CUENTA]],PRESUPUESTO[MONTO])-SUMIF($F$1:F1262,EJECUTADO[[#This Row],[CUENTA]],$M$1:M1262)</f>
        <v>41100</v>
      </c>
      <c r="M1263" s="2">
        <v>1200</v>
      </c>
      <c r="N1263" s="84">
        <v>10.62</v>
      </c>
      <c r="O1263" s="84">
        <v>106.2</v>
      </c>
      <c r="P1263" s="162">
        <f>+EJECUTADO[[#This Row],[MONTO SOLICITADO]]-EJECUTADO[[#This Row],[RETENCION IVA]]-EJECUTADO[[#This Row],[RETENCION ISR]]</f>
        <v>1083.18</v>
      </c>
      <c r="Q1263" s="84"/>
      <c r="R1263" s="84"/>
      <c r="S1263" s="112">
        <v>3365</v>
      </c>
      <c r="T1263" s="168" t="str">
        <f t="shared" si="49"/>
        <v>ALQUILERES - Alquiler de edificio Thomas Jefferson Disponible $41100 Solicitado $1200 PRESUPUESTO: SI</v>
      </c>
    </row>
    <row r="1264" spans="1:20" ht="60" x14ac:dyDescent="0.25">
      <c r="A1264" s="6">
        <f t="shared" si="50"/>
        <v>1153</v>
      </c>
      <c r="B1264" s="21">
        <v>45386</v>
      </c>
      <c r="C1264" s="126" t="s">
        <v>2219</v>
      </c>
      <c r="D1264" s="65" t="s">
        <v>2879</v>
      </c>
      <c r="E1264" s="65" t="s">
        <v>2880</v>
      </c>
      <c r="F1264" t="s">
        <v>1132</v>
      </c>
      <c r="G1264" s="161">
        <f>MONTH(EJECUTADO[[#This Row],[FECHA]])</f>
        <v>4</v>
      </c>
      <c r="H1264" s="163" t="str">
        <f>MID(EJECUTADO[[#This Row],[CUENTA]],1,4)</f>
        <v>E-15</v>
      </c>
      <c r="I1264" s="163" t="str">
        <f>INDEX(CATALOGO[Descripción],MATCH(EJECUTADO[[#This Row],[APLICACIÓN]]&amp;"-00-00-00",CATALOGO[Código],0))</f>
        <v>ALQUILERES</v>
      </c>
      <c r="J12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Casa  118 Edith de Molina Neira $ 2,292.28x 6</v>
      </c>
      <c r="K1264" s="161" t="str">
        <f>IF((EJECUTADO[[#This Row],[MONTO DISPONIBLE ]]-EJECUTADO[[#This Row],[MONTO SOLICITADO]])&gt;=0,"PRESUPUESTO: SI","PRESUPUESTO: NO")</f>
        <v>PRESUPUESTO: SI</v>
      </c>
      <c r="L1264" s="162">
        <f>SUMIF(PRESUPUESTO[CUENTA],EJECUTADO[[#This Row],[CUENTA]],PRESUPUESTO[MONTO])-SUMIF($F$1:F1263,EJECUTADO[[#This Row],[CUENTA]],$M$1:M1263)</f>
        <v>3873.159999999998</v>
      </c>
      <c r="M1264" s="2">
        <v>2292.2800000000002</v>
      </c>
      <c r="N1264" s="84">
        <v>298</v>
      </c>
      <c r="O1264" s="84">
        <v>199.43</v>
      </c>
      <c r="P1264" s="162">
        <f>+EJECUTADO[[#This Row],[MONTO SOLICITADO]]-EJECUTADO[[#This Row],[RETENCION IVA]]-EJECUTADO[[#This Row],[RETENCION ISR]]</f>
        <v>1794.8500000000001</v>
      </c>
      <c r="Q1264" s="84" t="s">
        <v>1960</v>
      </c>
      <c r="R1264" s="84"/>
      <c r="S1264" s="112">
        <v>3366</v>
      </c>
      <c r="T1264" s="168" t="str">
        <f>_xlfn.CONCAT(I1264," - ",J1264," Disponible $",L1264," Solicitado $",M1264," ",K1264,)</f>
        <v>ALQUILERES - Casa  118 Edith de Molina Neira $ 2,292.28x 6 Disponible $3873.16 Solicitado $2292.28 PRESUPUESTO: SI</v>
      </c>
    </row>
    <row r="1265" spans="1:20" ht="52.5" customHeight="1" x14ac:dyDescent="0.25">
      <c r="A1265" s="6">
        <f t="shared" si="50"/>
        <v>1154</v>
      </c>
      <c r="B1265" s="21">
        <v>45374</v>
      </c>
      <c r="C1265" s="126" t="s">
        <v>2118</v>
      </c>
      <c r="D1265" s="127" t="s">
        <v>2881</v>
      </c>
      <c r="E1265" s="65" t="s">
        <v>2882</v>
      </c>
      <c r="F1265" t="s">
        <v>1101</v>
      </c>
      <c r="G1265" s="161">
        <f>MONTH(EJECUTADO[[#This Row],[FECHA]])</f>
        <v>3</v>
      </c>
      <c r="H1265" s="163" t="str">
        <f>MID(EJECUTADO[[#This Row],[CUENTA]],1,4)</f>
        <v>E-07</v>
      </c>
      <c r="I1265" s="163" t="str">
        <f>INDEX(CATALOGO[Descripción],MATCH(EJECUTADO[[#This Row],[APLICACIÓN]]&amp;"-00-00-00",CATALOGO[Código],0))</f>
        <v>SERVICIOS TECNOLOGICOS</v>
      </c>
      <c r="J12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Proyecto de AZURE BACKUP Y AZURE SITERECOVERY </v>
      </c>
      <c r="K1265" s="161" t="str">
        <f>IF((EJECUTADO[[#This Row],[MONTO DISPONIBLE ]]-EJECUTADO[[#This Row],[MONTO SOLICITADO]])&gt;=0,"PRESUPUESTO: SI","PRESUPUESTO: NO")</f>
        <v>PRESUPUESTO: SI</v>
      </c>
      <c r="L1265" s="162">
        <f>SUMIF(PRESUPUESTO[CUENTA],EJECUTADO[[#This Row],[CUENTA]],PRESUPUESTO[MONTO])-SUMIF($F$1:F1264,EJECUTADO[[#This Row],[CUENTA]],$M$1:M1264)</f>
        <v>77355</v>
      </c>
      <c r="M1265" s="2">
        <v>8595</v>
      </c>
      <c r="N1265" s="84"/>
      <c r="O1265" s="84"/>
      <c r="P1265" s="162">
        <f>+EJECUTADO[[#This Row],[MONTO SOLICITADO]]-EJECUTADO[[#This Row],[RETENCION IVA]]-EJECUTADO[[#This Row],[RETENCION ISR]]</f>
        <v>8595</v>
      </c>
      <c r="Q1265" s="84" t="s">
        <v>1971</v>
      </c>
      <c r="R1265" s="84" t="s">
        <v>2111</v>
      </c>
      <c r="T1265" s="168" t="str">
        <f>_xlfn.CONCAT(I1265," - ",J1265," Disponible $",L1265," Solicitado $",M1265," ",K1265,)</f>
        <v>SERVICIOS TECNOLOGICOS - Proyecto de AZURE BACKUP Y AZURE SITERECOVERY  Disponible $77355 Solicitado $8595 PRESUPUESTO: SI</v>
      </c>
    </row>
    <row r="1266" spans="1:20" ht="45" x14ac:dyDescent="0.25">
      <c r="A1266" s="6" t="s">
        <v>2883</v>
      </c>
      <c r="B1266" s="21">
        <v>45374</v>
      </c>
      <c r="C1266" s="126" t="s">
        <v>2118</v>
      </c>
      <c r="D1266" s="65" t="s">
        <v>2884</v>
      </c>
      <c r="E1266" s="65" t="s">
        <v>2885</v>
      </c>
      <c r="F1266" t="s">
        <v>1099</v>
      </c>
      <c r="G1266" s="161">
        <f>MONTH(EJECUTADO[[#This Row],[FECHA]])</f>
        <v>3</v>
      </c>
      <c r="H1266" s="163" t="str">
        <f>MID(EJECUTADO[[#This Row],[CUENTA]],1,4)</f>
        <v>E-01</v>
      </c>
      <c r="I1266" s="163" t="str">
        <f>INDEX(CATALOGO[Descripción],MATCH(EJECUTADO[[#This Row],[APLICACIÓN]]&amp;"-00-00-00",CATALOGO[Código],0))</f>
        <v>SERVICIOS PROFESIONALES</v>
      </c>
      <c r="J12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Honorarios Soporte  equipo Didáctica $ 10,000.00</v>
      </c>
      <c r="K1266" s="161" t="str">
        <f>IF((EJECUTADO[[#This Row],[MONTO DISPONIBLE ]]-EJECUTADO[[#This Row],[MONTO SOLICITADO]])&gt;=0,"PRESUPUESTO: SI","PRESUPUESTO: NO")</f>
        <v>PRESUPUESTO: SI</v>
      </c>
      <c r="L1266" s="162">
        <f>SUMIF(PRESUPUESTO[CUENTA],EJECUTADO[[#This Row],[CUENTA]],PRESUPUESTO[MONTO])-SUMIF($F$1:F1265,EJECUTADO[[#This Row],[CUENTA]],$M$1:M1265)</f>
        <v>90000</v>
      </c>
      <c r="M1266" s="2">
        <v>10000</v>
      </c>
      <c r="N1266" s="84"/>
      <c r="O1266" s="84"/>
      <c r="P1266" s="162">
        <f>+EJECUTADO[[#This Row],[MONTO SOLICITADO]]-EJECUTADO[[#This Row],[RETENCION IVA]]-EJECUTADO[[#This Row],[RETENCION ISR]]</f>
        <v>10000</v>
      </c>
      <c r="Q1266" s="84" t="s">
        <v>1971</v>
      </c>
      <c r="R1266" s="84" t="s">
        <v>2111</v>
      </c>
      <c r="T1266" s="168" t="str">
        <f>_xlfn.CONCAT(I1266," - ",J1266," Disponible $",L1266," Solicitado $",M1266," ",K1266,)</f>
        <v>SERVICIOS PROFESIONALES - Honorarios Soporte  equipo Didáctica $ 10,000.00 Disponible $90000 Solicitado $10000 PRESUPUESTO: SI</v>
      </c>
    </row>
    <row r="1267" spans="1:20" ht="30" x14ac:dyDescent="0.25">
      <c r="A1267" s="6">
        <f>+A1265+1</f>
        <v>1155</v>
      </c>
      <c r="B1267" s="21">
        <v>45374</v>
      </c>
      <c r="C1267" s="126" t="s">
        <v>2118</v>
      </c>
      <c r="D1267" s="17" t="s">
        <v>1089</v>
      </c>
      <c r="E1267" s="65"/>
      <c r="F1267" t="s">
        <v>1090</v>
      </c>
      <c r="G1267" s="161">
        <f>MONTH(EJECUTADO[[#This Row],[FECHA]])</f>
        <v>3</v>
      </c>
      <c r="H1267" s="163" t="str">
        <f>MID(EJECUTADO[[#This Row],[CUENTA]],1,4)</f>
        <v>E-07</v>
      </c>
      <c r="I1267" s="163" t="str">
        <f>INDEX(CATALOGO[Descripción],MATCH(EJECUTADO[[#This Row],[APLICACIÓN]]&amp;"-00-00-00",CATALOGO[Código],0))</f>
        <v>SERVICIOS TECNOLOGICOS</v>
      </c>
      <c r="J12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267" s="161" t="str">
        <f>IF((EJECUTADO[[#This Row],[MONTO DISPONIBLE ]]-EJECUTADO[[#This Row],[MONTO SOLICITADO]])&gt;=0,"PRESUPUESTO: SI","PRESUPUESTO: NO")</f>
        <v>PRESUPUESTO: SI</v>
      </c>
      <c r="L1267" s="162">
        <f>SUMIF(PRESUPUESTO[CUENTA],EJECUTADO[[#This Row],[CUENTA]],PRESUPUESTO[MONTO])-SUMIF($F$1:F1265,EJECUTADO[[#This Row],[CUENTA]],$M$1:M1265)</f>
        <v>817933.44</v>
      </c>
      <c r="M1267" s="2">
        <v>88384.78</v>
      </c>
      <c r="N1267" s="84"/>
      <c r="O1267" s="84"/>
      <c r="P1267" s="162">
        <f>+EJECUTADO[[#This Row],[MONTO SOLICITADO]]-EJECUTADO[[#This Row],[RETENCION IVA]]-EJECUTADO[[#This Row],[RETENCION ISR]]</f>
        <v>88384.78</v>
      </c>
      <c r="Q1267" s="84" t="s">
        <v>1971</v>
      </c>
      <c r="R1267" s="84" t="s">
        <v>2111</v>
      </c>
      <c r="T1267" s="168" t="str">
        <f>_xlfn.CONCAT(I1267," - ",J1267," Disponible $",L1267," Solicitado $",M1267," ",K1267,)</f>
        <v>SERVICIOS TECNOLOGICOS - SERVICIO LEASING PC  $ 90,040.33 Disponible $817933.44 Solicitado $88384.78 PRESUPUESTO: SI</v>
      </c>
    </row>
    <row r="1268" spans="1:20" ht="30" x14ac:dyDescent="0.25">
      <c r="A1268" s="6" t="s">
        <v>2886</v>
      </c>
      <c r="B1268" s="21">
        <v>45374</v>
      </c>
      <c r="C1268" s="126" t="s">
        <v>2118</v>
      </c>
      <c r="D1268" s="17" t="s">
        <v>1091</v>
      </c>
      <c r="E1268" s="65"/>
      <c r="F1268" t="s">
        <v>1090</v>
      </c>
      <c r="G1268" s="161">
        <f>MONTH(EJECUTADO[[#This Row],[FECHA]])</f>
        <v>3</v>
      </c>
      <c r="H1268" s="163" t="str">
        <f>MID(EJECUTADO[[#This Row],[CUENTA]],1,4)</f>
        <v>E-07</v>
      </c>
      <c r="I1268" s="163" t="str">
        <f>INDEX(CATALOGO[Descripción],MATCH(EJECUTADO[[#This Row],[APLICACIÓN]]&amp;"-00-00-00",CATALOGO[Código],0))</f>
        <v>SERVICIOS TECNOLOGICOS</v>
      </c>
      <c r="J12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268" s="161" t="str">
        <f>IF((EJECUTADO[[#This Row],[MONTO DISPONIBLE ]]-EJECUTADO[[#This Row],[MONTO SOLICITADO]])&gt;=0,"PRESUPUESTO: SI","PRESUPUESTO: NO")</f>
        <v>PRESUPUESTO: SI</v>
      </c>
      <c r="L1268" s="162">
        <f>SUMIF(PRESUPUESTO[CUENTA],EJECUTADO[[#This Row],[CUENTA]],PRESUPUESTO[MONTO])-SUMIF($F$1:F1266,EJECUTADO[[#This Row],[CUENTA]],$M$1:M1266)</f>
        <v>817933.44</v>
      </c>
      <c r="M1268" s="2">
        <v>1494</v>
      </c>
      <c r="N1268" s="84"/>
      <c r="O1268" s="84"/>
      <c r="P1268" s="162">
        <f>+EJECUTADO[[#This Row],[MONTO SOLICITADO]]-EJECUTADO[[#This Row],[RETENCION IVA]]-EJECUTADO[[#This Row],[RETENCION ISR]]</f>
        <v>1494</v>
      </c>
      <c r="Q1268" s="84" t="s">
        <v>1971</v>
      </c>
      <c r="R1268" s="84" t="s">
        <v>2111</v>
      </c>
      <c r="T1268" s="168" t="str">
        <f t="shared" ref="T1268:T1271" si="51">_xlfn.CONCAT(I1268," - ",J1268," Disponible $",L1268," Solicitado $",M1268," ",K1268,)</f>
        <v>SERVICIOS TECNOLOGICOS - SERVICIO LEASING PC  $ 90,040.33 Disponible $817933.44 Solicitado $1494 PRESUPUESTO: SI</v>
      </c>
    </row>
    <row r="1269" spans="1:20" ht="30" x14ac:dyDescent="0.25">
      <c r="A1269" s="6" t="s">
        <v>2887</v>
      </c>
      <c r="B1269" s="21">
        <v>45374</v>
      </c>
      <c r="C1269" s="126" t="s">
        <v>2118</v>
      </c>
      <c r="D1269" s="17" t="s">
        <v>1092</v>
      </c>
      <c r="E1269" s="65"/>
      <c r="F1269" t="s">
        <v>1090</v>
      </c>
      <c r="G1269" s="161">
        <f>MONTH(EJECUTADO[[#This Row],[FECHA]])</f>
        <v>3</v>
      </c>
      <c r="H1269" s="163" t="str">
        <f>MID(EJECUTADO[[#This Row],[CUENTA]],1,4)</f>
        <v>E-07</v>
      </c>
      <c r="I1269" s="163" t="str">
        <f>INDEX(CATALOGO[Descripción],MATCH(EJECUTADO[[#This Row],[APLICACIÓN]]&amp;"-00-00-00",CATALOGO[Código],0))</f>
        <v>SERVICIOS TECNOLOGICOS</v>
      </c>
      <c r="J12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269" s="161" t="str">
        <f>IF((EJECUTADO[[#This Row],[MONTO DISPONIBLE ]]-EJECUTADO[[#This Row],[MONTO SOLICITADO]])&gt;=0,"PRESUPUESTO: SI","PRESUPUESTO: NO")</f>
        <v>PRESUPUESTO: SI</v>
      </c>
      <c r="L1269" s="162">
        <f>SUMIF(PRESUPUESTO[CUENTA],EJECUTADO[[#This Row],[CUENTA]],PRESUPUESTO[MONTO])-SUMIF($F$1:F1267,EJECUTADO[[#This Row],[CUENTA]],$M$1:M1267)</f>
        <v>729548.66</v>
      </c>
      <c r="M1269" s="2">
        <v>22159</v>
      </c>
      <c r="N1269" s="84"/>
      <c r="O1269" s="84"/>
      <c r="P1269" s="162">
        <f>+EJECUTADO[[#This Row],[MONTO SOLICITADO]]-EJECUTADO[[#This Row],[RETENCION IVA]]-EJECUTADO[[#This Row],[RETENCION ISR]]</f>
        <v>22159</v>
      </c>
      <c r="Q1269" s="84" t="s">
        <v>1971</v>
      </c>
      <c r="R1269" s="84" t="s">
        <v>2111</v>
      </c>
      <c r="T1269" s="168" t="str">
        <f t="shared" si="51"/>
        <v>SERVICIOS TECNOLOGICOS - SERVICIO LEASING PC  $ 90,040.33 Disponible $729548.66 Solicitado $22159 PRESUPUESTO: SI</v>
      </c>
    </row>
    <row r="1270" spans="1:20" ht="30" x14ac:dyDescent="0.25">
      <c r="A1270" s="6" t="s">
        <v>2888</v>
      </c>
      <c r="B1270" s="21">
        <v>45374</v>
      </c>
      <c r="C1270" s="126" t="s">
        <v>2118</v>
      </c>
      <c r="D1270" s="17" t="s">
        <v>1093</v>
      </c>
      <c r="E1270" s="65"/>
      <c r="F1270" t="s">
        <v>1090</v>
      </c>
      <c r="G1270" s="161">
        <f>MONTH(EJECUTADO[[#This Row],[FECHA]])</f>
        <v>3</v>
      </c>
      <c r="H1270" s="163" t="str">
        <f>MID(EJECUTADO[[#This Row],[CUENTA]],1,4)</f>
        <v>E-07</v>
      </c>
      <c r="I1270" s="163" t="str">
        <f>INDEX(CATALOGO[Descripción],MATCH(EJECUTADO[[#This Row],[APLICACIÓN]]&amp;"-00-00-00",CATALOGO[Código],0))</f>
        <v>SERVICIOS TECNOLOGICOS</v>
      </c>
      <c r="J12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PC  $ 90,040.33</v>
      </c>
      <c r="K1270" s="161" t="str">
        <f>IF((EJECUTADO[[#This Row],[MONTO DISPONIBLE ]]-EJECUTADO[[#This Row],[MONTO SOLICITADO]])&gt;=0,"PRESUPUESTO: SI","PRESUPUESTO: NO")</f>
        <v>PRESUPUESTO: SI</v>
      </c>
      <c r="L1270" s="162">
        <f>SUMIF(PRESUPUESTO[CUENTA],EJECUTADO[[#This Row],[CUENTA]],PRESUPUESTO[MONTO])-SUMIF($F$1:F1268,EJECUTADO[[#This Row],[CUENTA]],$M$1:M1268)</f>
        <v>728054.66</v>
      </c>
      <c r="M1270" s="2">
        <v>19237.5</v>
      </c>
      <c r="N1270" s="84"/>
      <c r="O1270" s="84"/>
      <c r="P1270" s="162">
        <f>+EJECUTADO[[#This Row],[MONTO SOLICITADO]]-EJECUTADO[[#This Row],[RETENCION IVA]]-EJECUTADO[[#This Row],[RETENCION ISR]]</f>
        <v>19237.5</v>
      </c>
      <c r="Q1270" s="84" t="s">
        <v>1971</v>
      </c>
      <c r="R1270" s="84" t="s">
        <v>2111</v>
      </c>
      <c r="T1270" s="168" t="str">
        <f t="shared" si="51"/>
        <v>SERVICIOS TECNOLOGICOS - SERVICIO LEASING PC  $ 90,040.33 Disponible $728054.66 Solicitado $19237.5 PRESUPUESTO: SI</v>
      </c>
    </row>
    <row r="1271" spans="1:20" ht="30" x14ac:dyDescent="0.25">
      <c r="A1271" s="6" t="s">
        <v>2889</v>
      </c>
      <c r="B1271" s="21">
        <v>45374</v>
      </c>
      <c r="C1271" s="126" t="s">
        <v>2118</v>
      </c>
      <c r="D1271" s="17" t="s">
        <v>1094</v>
      </c>
      <c r="E1271" s="65"/>
      <c r="F1271" t="s">
        <v>1095</v>
      </c>
      <c r="G1271" s="161">
        <f>MONTH(EJECUTADO[[#This Row],[FECHA]])</f>
        <v>3</v>
      </c>
      <c r="H1271" s="163" t="str">
        <f>MID(EJECUTADO[[#This Row],[CUENTA]],1,4)</f>
        <v>E-13</v>
      </c>
      <c r="I1271" s="163" t="str">
        <f>INDEX(CATALOGO[Descripción],MATCH(EJECUTADO[[#This Row],[APLICACIÓN]]&amp;"-00-00-00",CATALOGO[Código],0))</f>
        <v>MAESTRIAS Y POSTGRADOS</v>
      </c>
      <c r="J12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LEASING  MAESTRIAS</v>
      </c>
      <c r="K1271" s="161" t="str">
        <f>IF((EJECUTADO[[#This Row],[MONTO DISPONIBLE ]]-EJECUTADO[[#This Row],[MONTO SOLICITADO]])&gt;=0,"PRESUPUESTO: SI","PRESUPUESTO: NO")</f>
        <v>PRESUPUESTO: SI</v>
      </c>
      <c r="L1271" s="162">
        <f>SUMIF(PRESUPUESTO[CUENTA],EJECUTADO[[#This Row],[CUENTA]],PRESUPUESTO[MONTO])-SUMIF($F$1:F1269,EJECUTADO[[#This Row],[CUENTA]],$M$1:M1269)</f>
        <v>43202</v>
      </c>
      <c r="M1271" s="2">
        <v>4163</v>
      </c>
      <c r="N1271" s="84"/>
      <c r="O1271" s="84"/>
      <c r="P1271" s="162">
        <f>+EJECUTADO[[#This Row],[MONTO SOLICITADO]]-EJECUTADO[[#This Row],[RETENCION IVA]]-EJECUTADO[[#This Row],[RETENCION ISR]]</f>
        <v>4163</v>
      </c>
      <c r="Q1271" s="84" t="s">
        <v>1971</v>
      </c>
      <c r="R1271" s="84" t="s">
        <v>2111</v>
      </c>
      <c r="T1271" s="168" t="str">
        <f t="shared" si="51"/>
        <v>MAESTRIAS Y POSTGRADOS - SERVICIO LEASING  MAESTRIAS Disponible $43202 Solicitado $4163 PRESUPUESTO: SI</v>
      </c>
    </row>
    <row r="1272" spans="1:20" ht="30" x14ac:dyDescent="0.25">
      <c r="A1272" s="6" t="s">
        <v>2890</v>
      </c>
      <c r="B1272" s="21">
        <v>45374</v>
      </c>
      <c r="C1272" s="126" t="s">
        <v>2118</v>
      </c>
      <c r="D1272" s="17" t="s">
        <v>1096</v>
      </c>
      <c r="E1272" s="65"/>
      <c r="F1272" t="s">
        <v>1097</v>
      </c>
      <c r="G1272" s="161">
        <f>MONTH(EJECUTADO[[#This Row],[FECHA]])</f>
        <v>3</v>
      </c>
      <c r="H1272" s="163" t="str">
        <f>MID(EJECUTADO[[#This Row],[CUENTA]],1,4)</f>
        <v>E-33</v>
      </c>
      <c r="I1272" s="163" t="str">
        <f>INDEX(CATALOGO[Descripción],MATCH(EJECUTADO[[#This Row],[APLICACIÓN]]&amp;"-00-00-00",CATALOGO[Código],0))</f>
        <v xml:space="preserve">PROVEEDORES </v>
      </c>
      <c r="J12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INVERSIONES DIDACTICAS</v>
      </c>
      <c r="K1272" s="161" t="str">
        <f>IF((EJECUTADO[[#This Row],[MONTO DISPONIBLE ]]-EJECUTADO[[#This Row],[MONTO SOLICITADO]])&gt;=0,"PRESUPUESTO: SI","PRESUPUESTO: NO")</f>
        <v>PRESUPUESTO: SI</v>
      </c>
      <c r="L1272" s="162">
        <f>SUMIF(PRESUPUESTO[CUENTA],EJECUTADO[[#This Row],[CUENTA]],PRESUPUESTO[MONTO])-SUMIF($F$1:F1270,EJECUTADO[[#This Row],[CUENTA]],$M$1:M1270)</f>
        <v>250000</v>
      </c>
      <c r="M1272" s="2">
        <v>25000</v>
      </c>
      <c r="N1272" s="84"/>
      <c r="O1272" s="84"/>
      <c r="P1272" s="162">
        <f>+EJECUTADO[[#This Row],[MONTO SOLICITADO]]-EJECUTADO[[#This Row],[RETENCION IVA]]-EJECUTADO[[#This Row],[RETENCION ISR]]</f>
        <v>25000</v>
      </c>
      <c r="Q1272" s="84" t="s">
        <v>1971</v>
      </c>
      <c r="R1272" s="84" t="s">
        <v>2111</v>
      </c>
      <c r="T1272" s="168" t="str">
        <f t="shared" ref="T1272" si="52">_xlfn.CONCAT(I1272," - ",J1272," Disponible $",L1272," Solicitado $",M1272," ",K1272,)</f>
        <v>PROVEEDORES  - INVERSIONES DIDACTICAS Disponible $250000 Solicitado $25000 PRESUPUESTO: SI</v>
      </c>
    </row>
    <row r="1273" spans="1:20" ht="30" x14ac:dyDescent="0.25">
      <c r="A1273" s="6">
        <f>+A1267+1</f>
        <v>1156</v>
      </c>
      <c r="B1273" s="181">
        <v>45385</v>
      </c>
      <c r="C1273" s="109" t="s">
        <v>1714</v>
      </c>
      <c r="D1273" s="109" t="s">
        <v>2891</v>
      </c>
      <c r="E1273" s="65" t="s">
        <v>2892</v>
      </c>
      <c r="F1273" t="s">
        <v>1078</v>
      </c>
      <c r="G1273" s="161">
        <f>MONTH(EJECUTADO[[#This Row],[FECHA]])</f>
        <v>4</v>
      </c>
      <c r="H1273" s="163" t="str">
        <f>MID(EJECUTADO[[#This Row],[CUENTA]],1,4)</f>
        <v>E-26</v>
      </c>
      <c r="I1273" s="163" t="str">
        <f>INDEX(CATALOGO[Descripción],MATCH(EJECUTADO[[#This Row],[APLICACIÓN]]&amp;"-00-00-00",CATALOGO[Código],0))</f>
        <v>EVENTOS ACADEMICOS, CULTURALES  E INSTITUCIONALES</v>
      </c>
      <c r="J12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DE REPRESENTACION </v>
      </c>
      <c r="K1273" s="161" t="str">
        <f>IF((EJECUTADO[[#This Row],[MONTO DISPONIBLE ]]-EJECUTADO[[#This Row],[MONTO SOLICITADO]])&gt;=0,"PRESUPUESTO: SI","PRESUPUESTO: NO")</f>
        <v>PRESUPUESTO: SI</v>
      </c>
      <c r="L1273" s="162">
        <f>SUMIF(PRESUPUESTO[CUENTA],EJECUTADO[[#This Row],[CUENTA]],PRESUPUESTO[MONTO])-SUMIF($F$1:F1267,EJECUTADO[[#This Row],[CUENTA]],$M$1:M1267)</f>
        <v>99496.83</v>
      </c>
      <c r="M1273" s="2">
        <v>8888.8799999999992</v>
      </c>
      <c r="N1273" s="84">
        <v>0</v>
      </c>
      <c r="O1273" s="84">
        <v>888.88</v>
      </c>
      <c r="P1273" s="162">
        <f>+EJECUTADO[[#This Row],[MONTO SOLICITADO]]-EJECUTADO[[#This Row],[RETENCION IVA]]-EJECUTADO[[#This Row],[RETENCION ISR]]</f>
        <v>7999.9999999999991</v>
      </c>
      <c r="Q1273" s="84" t="s">
        <v>1786</v>
      </c>
      <c r="R1273" s="84"/>
      <c r="S1273" s="112">
        <v>760</v>
      </c>
      <c r="T1273" s="168" t="str">
        <f>_xlfn.CONCAT(I1273," - ",J1273," Disponible $",L1273," Solicitado $",M1273," ",K1273,)</f>
        <v>EVENTOS ACADEMICOS, CULTURALES  E INSTITUCIONALES - GASTOS DE REPRESENTACION  Disponible $99496.83 Solicitado $8888.88 PRESUPUESTO: SI</v>
      </c>
    </row>
    <row r="1274" spans="1:20" ht="37.5" customHeight="1" x14ac:dyDescent="0.25">
      <c r="A1274" s="6">
        <f t="shared" si="50"/>
        <v>1157</v>
      </c>
      <c r="B1274" s="21">
        <v>45385</v>
      </c>
      <c r="C1274" s="126" t="s">
        <v>1793</v>
      </c>
      <c r="D1274" s="65" t="s">
        <v>2893</v>
      </c>
      <c r="E1274" s="65" t="s">
        <v>2894</v>
      </c>
      <c r="F1274" t="s">
        <v>1796</v>
      </c>
      <c r="G1274" s="161">
        <f>MONTH(EJECUTADO[[#This Row],[FECHA]])</f>
        <v>4</v>
      </c>
      <c r="H1274" s="163" t="str">
        <f>MID(EJECUTADO[[#This Row],[CUENTA]],1,4)</f>
        <v>E-15</v>
      </c>
      <c r="I1274" s="163" t="str">
        <f>INDEX(CATALOGO[Descripción],MATCH(EJECUTADO[[#This Row],[APLICACIÓN]]&amp;"-00-00-00",CATALOGO[Código],0))</f>
        <v>ALQUILERES</v>
      </c>
      <c r="J12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Despacho en Cumbres de Cuscatlán $ 4,294.00 x 12 (Armida Calderón)</v>
      </c>
      <c r="K1274" s="161" t="str">
        <f ca="1">IF((EJECUTADO[[#This Row],[MONTO DISPONIBLE ]]-EJECUTADO[[#This Row],[MONTO SOLICITADO]])&gt;=0,"PRESUPUESTO: SI","PRESUPUESTO: NO")</f>
        <v>PRESUPUESTO: SI</v>
      </c>
      <c r="L1274" s="162">
        <f ca="1">SUMIF(PRESUPUESTO[CUENTA],EJECUTADO[[#This Row],[CUENTA]],PRESUPUESTO[MONTO])-SUMIF($F$1:F1273,EJECUTADO[[#This Row],[CUENTA]],$M$1:M1267)</f>
        <v>47246</v>
      </c>
      <c r="M1274" s="2">
        <v>4294</v>
      </c>
      <c r="N1274" s="2">
        <v>558.22</v>
      </c>
      <c r="O1274" s="2">
        <v>373.58</v>
      </c>
      <c r="P1274" s="162">
        <f>+EJECUTADO[[#This Row],[MONTO SOLICITADO]]-EJECUTADO[[#This Row],[RETENCION IVA]]-EJECUTADO[[#This Row],[RETENCION ISR]]</f>
        <v>3362.2</v>
      </c>
      <c r="Q1274" s="2" t="s">
        <v>1786</v>
      </c>
      <c r="R1274" s="2"/>
      <c r="S1274" s="112">
        <v>993230</v>
      </c>
      <c r="T1274" s="168" t="str">
        <f ca="1">_xlfn.CONCAT(I1274," - ",J1274," Disponible $",L1274," Solicitado $",M1273," ",K1274,)</f>
        <v>ALQUILERES - Despacho en Cumbres de Cuscatlán $ 4,294.00 x 12 (Armida Calderón) Disponible $47246 Solicitado $8888.88 PRESUPUESTO: SI</v>
      </c>
    </row>
    <row r="1275" spans="1:20" ht="30" x14ac:dyDescent="0.25">
      <c r="A1275" s="6">
        <f t="shared" si="50"/>
        <v>1158</v>
      </c>
      <c r="B1275" s="181">
        <v>45385</v>
      </c>
      <c r="C1275" s="109" t="s">
        <v>1144</v>
      </c>
      <c r="D1275" s="109" t="s">
        <v>2895</v>
      </c>
      <c r="E1275" s="65" t="s">
        <v>1915</v>
      </c>
      <c r="F1275" t="s">
        <v>1146</v>
      </c>
      <c r="G1275" s="161">
        <f>MONTH(EJECUTADO[[#This Row],[FECHA]])</f>
        <v>4</v>
      </c>
      <c r="H1275" s="163" t="str">
        <f>MID(EJECUTADO[[#This Row],[CUENTA]],1,4)</f>
        <v>E-23</v>
      </c>
      <c r="I1275" s="163" t="str">
        <f>INDEX(CATALOGO[Descripción],MATCH(EJECUTADO[[#This Row],[APLICACIÓN]]&amp;"-00-00-00",CATALOGO[Código],0))</f>
        <v>GASTOS DE VIAJE</v>
      </c>
      <c r="J12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1275" s="161" t="str">
        <f ca="1">IF((EJECUTADO[[#This Row],[MONTO DISPONIBLE ]]-EJECUTADO[[#This Row],[MONTO SOLICITADO]])&gt;=0,"PRESUPUESTO: SI","PRESUPUESTO: NO")</f>
        <v>PRESUPUESTO: SI</v>
      </c>
      <c r="L1275" s="162">
        <f ca="1">SUMIF(PRESUPUESTO[CUENTA],EJECUTADO[[#This Row],[CUENTA]],PRESUPUESTO[MONTO])-SUMIF($F$1:F1274,EJECUTADO[[#This Row],[CUENTA]],$M$1:M1273)</f>
        <v>1620</v>
      </c>
      <c r="M1275" s="2">
        <v>180</v>
      </c>
      <c r="N1275" s="188"/>
      <c r="O1275" s="188"/>
      <c r="P1275" s="162">
        <f>+EJECUTADO[[#This Row],[MONTO SOLICITADO]]-EJECUTADO[[#This Row],[RETENCION IVA]]-EJECUTADO[[#This Row],[RETENCION ISR]]</f>
        <v>180</v>
      </c>
      <c r="Q1275" s="84" t="s">
        <v>1786</v>
      </c>
      <c r="R1275" s="84"/>
      <c r="S1275" s="112">
        <v>3374</v>
      </c>
      <c r="T1275" s="168" t="str">
        <f ca="1">_xlfn.CONCAT(I1275," - ",J1275," Disponible $",L1275," Solicitado $",M1274," ",K1275,)</f>
        <v>GASTOS DE VIAJE - Mensajero $ 180.00  Disponible $1620 Solicitado $4294 PRESUPUESTO: SI</v>
      </c>
    </row>
    <row r="1276" spans="1:20" ht="45" x14ac:dyDescent="0.25">
      <c r="A1276" s="6">
        <v>1159</v>
      </c>
      <c r="B1276" s="126">
        <v>45385</v>
      </c>
      <c r="C1276" s="65" t="s">
        <v>1147</v>
      </c>
      <c r="D1276" s="65" t="s">
        <v>2896</v>
      </c>
      <c r="E1276" s="65" t="s">
        <v>1915</v>
      </c>
      <c r="F1276" t="s">
        <v>1146</v>
      </c>
      <c r="G1276" s="161">
        <f>MONTH(EJECUTADO[[#This Row],[FECHA]])</f>
        <v>4</v>
      </c>
      <c r="H1276" s="163" t="str">
        <f>MID(EJECUTADO[[#This Row],[CUENTA]],1,4)</f>
        <v>E-23</v>
      </c>
      <c r="I1276" s="163" t="str">
        <f>INDEX(CATALOGO[Descripción],MATCH(EJECUTADO[[#This Row],[APLICACIÓN]]&amp;"-00-00-00",CATALOGO[Código],0))</f>
        <v>GASTOS DE VIAJE</v>
      </c>
      <c r="J12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1276" s="161" t="str">
        <f ca="1">IF((EJECUTADO[[#This Row],[MONTO DISPONIBLE ]]-EJECUTADO[[#This Row],[MONTO SOLICITADO]])&gt;=0,"PRESUPUESTO: SI","PRESUPUESTO: NO")</f>
        <v>PRESUPUESTO: SI</v>
      </c>
      <c r="L1276" s="162">
        <f ca="1">SUMIF(PRESUPUESTO[CUENTA],EJECUTADO[[#This Row],[CUENTA]],PRESUPUESTO[MONTO])-SUMIF($F$1:F1275,EJECUTADO[[#This Row],[CUENTA]],$M$1:M1274)</f>
        <v>1440</v>
      </c>
      <c r="M1276" s="2">
        <v>100</v>
      </c>
      <c r="N1276" s="188"/>
      <c r="O1276" s="188"/>
      <c r="P1276" s="162">
        <f>+EJECUTADO[[#This Row],[MONTO SOLICITADO]]-EJECUTADO[[#This Row],[RETENCION IVA]]-EJECUTADO[[#This Row],[RETENCION ISR]]</f>
        <v>100</v>
      </c>
      <c r="Q1276" s="84" t="s">
        <v>1786</v>
      </c>
      <c r="R1276" s="84"/>
      <c r="S1276" s="112">
        <v>3373</v>
      </c>
      <c r="T1276" s="168" t="str">
        <f ca="1">_xlfn.CONCAT(I1276," - ",J1276," Disponible $",L1276," Solicitado $",M1275," ",K1276,)</f>
        <v>GASTOS DE VIAJE - Mensajero $ 180.00  Disponible $1440 Solicitado $180 PRESUPUESTO: SI</v>
      </c>
    </row>
    <row r="1277" spans="1:20" ht="45" x14ac:dyDescent="0.25">
      <c r="A1277" s="6">
        <f t="shared" si="50"/>
        <v>1160</v>
      </c>
      <c r="B1277" s="21">
        <v>45385</v>
      </c>
      <c r="C1277" s="126" t="s">
        <v>2897</v>
      </c>
      <c r="D1277" s="65" t="s">
        <v>2898</v>
      </c>
      <c r="E1277" s="65"/>
      <c r="F1277" s="65" t="s">
        <v>1178</v>
      </c>
      <c r="G1277" s="161">
        <f>MONTH(EJECUTADO[[#This Row],[FECHA]])</f>
        <v>4</v>
      </c>
      <c r="H1277" s="163" t="str">
        <f>MID(EJECUTADO[[#This Row],[CUENTA]],1,4)</f>
        <v>E-22</v>
      </c>
      <c r="I1277" s="163" t="str">
        <f>INDEX(CATALOGO[Descripción],MATCH(EJECUTADO[[#This Row],[APLICACIÓN]]&amp;"-00-00-00",CATALOGO[Código],0))</f>
        <v>CAPACITACIÓN AL PERSONAL</v>
      </c>
      <c r="J12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FCCS - Doctorado en Educaión, Lic. Aldo Maldonado</v>
      </c>
      <c r="K1277" s="161" t="str">
        <f ca="1">IF((EJECUTADO[[#This Row],[MONTO DISPONIBLE ]]-EJECUTADO[[#This Row],[MONTO SOLICITADO]])&gt;=0,"PRESUPUESTO: SI","PRESUPUESTO: NO")</f>
        <v>PRESUPUESTO: SI</v>
      </c>
      <c r="L1277" s="162">
        <f ca="1">SUMIF(PRESUPUESTO[CUENTA],EJECUTADO[[#This Row],[CUENTA]],PRESUPUESTO[MONTO])-SUMIF($F$1:F1276,EJECUTADO[[#This Row],[CUENTA]],$M$1:M1275)</f>
        <v>1778.43</v>
      </c>
      <c r="M1277" s="2">
        <v>296.63</v>
      </c>
      <c r="N1277" s="188">
        <v>34.130000000000003</v>
      </c>
      <c r="O1277" s="188">
        <v>52.5</v>
      </c>
      <c r="P1277" s="162">
        <f>+EJECUTADO[[#This Row],[MONTO SOLICITADO]]-EJECUTADO[[#This Row],[RETENCION IVA]]-EJECUTADO[[#This Row],[RETENCION ISR]]</f>
        <v>210</v>
      </c>
      <c r="Q1277" s="84" t="s">
        <v>1786</v>
      </c>
      <c r="R1277" s="84"/>
      <c r="T1277" s="168" t="str">
        <f ca="1">_xlfn.CONCAT(I1277," - ",J1277," Disponible $",L1277," Solicitado $",M1276," ",K1277,)</f>
        <v>CAPACITACIÓN AL PERSONAL - FCCS - Doctorado en Educaión, Lic. Aldo Maldonado Disponible $1778.43 Solicitado $100 PRESUPUESTO: SI</v>
      </c>
    </row>
    <row r="1278" spans="1:20" ht="46.5" customHeight="1" x14ac:dyDescent="0.25">
      <c r="A1278" s="6">
        <f t="shared" si="50"/>
        <v>1161</v>
      </c>
      <c r="B1278" s="21">
        <v>45385</v>
      </c>
      <c r="C1278" s="126" t="s">
        <v>2899</v>
      </c>
      <c r="D1278" s="65" t="s">
        <v>2900</v>
      </c>
      <c r="E1278" s="65" t="s">
        <v>1915</v>
      </c>
      <c r="F1278" t="s">
        <v>1154</v>
      </c>
      <c r="G1278" s="161">
        <f>MONTH(EJECUTADO[[#This Row],[FECHA]])</f>
        <v>4</v>
      </c>
      <c r="H1278" s="163" t="str">
        <f>MID(EJECUTADO[[#This Row],[CUENTA]],1,4)</f>
        <v>E-09</v>
      </c>
      <c r="I1278" s="163" t="str">
        <f>INDEX(CATALOGO[Descripción],MATCH(EJECUTADO[[#This Row],[APLICACIÓN]]&amp;"-00-00-00",CATALOGO[Código],0))</f>
        <v>PRESTACIONES AL PERSONAL</v>
      </c>
      <c r="J12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1278" s="161" t="str">
        <f ca="1">IF((EJECUTADO[[#This Row],[MONTO DISPONIBLE ]]-EJECUTADO[[#This Row],[MONTO SOLICITADO]])&gt;=0,"PRESUPUESTO: SI","PRESUPUESTO: NO")</f>
        <v>PRESUPUESTO: SI</v>
      </c>
      <c r="L1278" s="162">
        <f ca="1">SUMIF(PRESUPUESTO[CUENTA],EJECUTADO[[#This Row],[CUENTA]],PRESUPUESTO[MONTO])-SUMIF($F$1:F1277,EJECUTADO[[#This Row],[CUENTA]],$M$1:M1276)</f>
        <v>187446.39999999999</v>
      </c>
      <c r="M1278" s="2">
        <v>964.36</v>
      </c>
      <c r="N1278" s="84"/>
      <c r="O1278" s="84"/>
      <c r="P1278" s="162">
        <f>+EJECUTADO[[#This Row],[MONTO SOLICITADO]]-EJECUTADO[[#This Row],[RETENCION IVA]]-EJECUTADO[[#This Row],[RETENCION ISR]]</f>
        <v>964.36</v>
      </c>
      <c r="Q1278" s="84" t="s">
        <v>1554</v>
      </c>
      <c r="R1278" s="84"/>
      <c r="S1278" s="153">
        <v>3378</v>
      </c>
      <c r="T1278" s="168" t="str">
        <f t="shared" ca="1" si="49"/>
        <v>PRESTACIONES AL PERSONAL - GASTOS MÉDICOS  Disponible $187446.4 Solicitado $964.36 PRESUPUESTO: SI</v>
      </c>
    </row>
    <row r="1279" spans="1:20" ht="90" x14ac:dyDescent="0.25">
      <c r="A1279" s="6">
        <f t="shared" si="50"/>
        <v>1162</v>
      </c>
      <c r="B1279" s="21">
        <v>45374</v>
      </c>
      <c r="C1279" s="126" t="s">
        <v>2901</v>
      </c>
      <c r="D1279" s="65" t="s">
        <v>2902</v>
      </c>
      <c r="E1279" s="65" t="s">
        <v>2903</v>
      </c>
      <c r="F1279" t="s">
        <v>2636</v>
      </c>
      <c r="G1279" s="161">
        <f>MONTH(EJECUTADO[[#This Row],[FECHA]])</f>
        <v>3</v>
      </c>
      <c r="H1279" s="163" t="str">
        <f>MID(EJECUTADO[[#This Row],[CUENTA]],1,4)</f>
        <v>E-09</v>
      </c>
      <c r="I1279" s="163" t="str">
        <f>INDEX(CATALOGO[Descripción],MATCH(EJECUTADO[[#This Row],[APLICACIÓN]]&amp;"-00-00-00",CATALOGO[Código],0))</f>
        <v>PRESTACIONES AL PERSONAL</v>
      </c>
      <c r="J12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Prestación laboral por defunción familiar</v>
      </c>
      <c r="K1279" s="161" t="str">
        <f>IF((EJECUTADO[[#This Row],[MONTO DISPONIBLE ]]-EJECUTADO[[#This Row],[MONTO SOLICITADO]])&gt;=0,"PRESUPUESTO: SI","PRESUPUESTO: NO")</f>
        <v>PRESUPUESTO: SI</v>
      </c>
      <c r="L1279" s="162">
        <f>SUMIF(PRESUPUESTO[CUENTA],EJECUTADO[[#This Row],[CUENTA]],PRESUPUESTO[MONTO])-SUMIF($F$1:F1278,EJECUTADO[[#This Row],[CUENTA]],$M$1:M1278)</f>
        <v>1500</v>
      </c>
      <c r="M1279" s="2">
        <v>300</v>
      </c>
      <c r="N1279" s="84"/>
      <c r="O1279" s="84"/>
      <c r="P1279" s="162">
        <f>+EJECUTADO[[#This Row],[MONTO SOLICITADO]]-EJECUTADO[[#This Row],[RETENCION IVA]]-EJECUTADO[[#This Row],[RETENCION ISR]]</f>
        <v>300</v>
      </c>
      <c r="Q1279" s="84" t="s">
        <v>1554</v>
      </c>
      <c r="R1279" s="84"/>
      <c r="S1279">
        <v>1</v>
      </c>
      <c r="T1279" s="168" t="str">
        <f t="shared" si="49"/>
        <v>PRESTACIONES AL PERSONAL - Prestación laboral por defunción familiar Disponible $1500 Solicitado $300 PRESUPUESTO: SI</v>
      </c>
    </row>
    <row r="1280" spans="1:20" ht="60" x14ac:dyDescent="0.25">
      <c r="A1280" s="6">
        <f t="shared" si="50"/>
        <v>1163</v>
      </c>
      <c r="B1280" s="21">
        <v>45371</v>
      </c>
      <c r="C1280" s="126" t="s">
        <v>1144</v>
      </c>
      <c r="D1280" s="65" t="s">
        <v>2904</v>
      </c>
      <c r="E1280" s="65" t="s">
        <v>2905</v>
      </c>
      <c r="F1280" t="s">
        <v>1146</v>
      </c>
      <c r="G1280" s="161">
        <f>MONTH(EJECUTADO[[#This Row],[FECHA]])</f>
        <v>3</v>
      </c>
      <c r="H1280" s="163" t="str">
        <f>MID(EJECUTADO[[#This Row],[CUENTA]],1,4)</f>
        <v>E-23</v>
      </c>
      <c r="I1280" s="163" t="str">
        <f>INDEX(CATALOGO[Descripción],MATCH(EJECUTADO[[#This Row],[APLICACIÓN]]&amp;"-00-00-00",CATALOGO[Código],0))</f>
        <v>GASTOS DE VIAJE</v>
      </c>
      <c r="J12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Mensajero $ 180.00 </v>
      </c>
      <c r="K1280" s="161" t="str">
        <f>IF((EJECUTADO[[#This Row],[MONTO DISPONIBLE ]]-EJECUTADO[[#This Row],[MONTO SOLICITADO]])&gt;=0,"PRESUPUESTO: SI","PRESUPUESTO: NO")</f>
        <v>PRESUPUESTO: SI</v>
      </c>
      <c r="L1280" s="162">
        <f>SUMIF(PRESUPUESTO[CUENTA],EJECUTADO[[#This Row],[CUENTA]],PRESUPUESTO[MONTO])-SUMIF($F$1:F1279,EJECUTADO[[#This Row],[CUENTA]],$M$1:M1279)</f>
        <v>1340</v>
      </c>
      <c r="M1280" s="2">
        <v>60</v>
      </c>
      <c r="N1280" s="84"/>
      <c r="O1280" s="84"/>
      <c r="P1280" s="162">
        <f>+EJECUTADO[[#This Row],[MONTO SOLICITADO]]-EJECUTADO[[#This Row],[RETENCION IVA]]-EJECUTADO[[#This Row],[RETENCION ISR]]</f>
        <v>60</v>
      </c>
      <c r="Q1280" s="84" t="s">
        <v>1554</v>
      </c>
      <c r="R1280" s="84"/>
      <c r="S1280">
        <v>1</v>
      </c>
      <c r="T1280" s="168" t="str">
        <f t="shared" si="49"/>
        <v>GASTOS DE VIAJE - Mensajero $ 180.00  Disponible $1340 Solicitado $60 PRESUPUESTO: SI</v>
      </c>
    </row>
    <row r="1281" spans="1:20" ht="30" x14ac:dyDescent="0.25">
      <c r="A1281" s="6">
        <f t="shared" si="50"/>
        <v>1164</v>
      </c>
      <c r="B1281" s="21">
        <v>45385</v>
      </c>
      <c r="C1281" s="110" t="s">
        <v>1152</v>
      </c>
      <c r="D1281" s="65" t="s">
        <v>2906</v>
      </c>
      <c r="E1281" s="65"/>
      <c r="G1281" s="161">
        <f>MONTH(EJECUTADO[[#This Row],[FECHA]])</f>
        <v>4</v>
      </c>
      <c r="H1281" s="163" t="str">
        <f>MID(EJECUTADO[[#This Row],[CUENTA]],1,4)</f>
        <v/>
      </c>
      <c r="I1281" s="163" t="e">
        <f>INDEX(CATALOGO[Descripción],MATCH(EJECUTADO[[#This Row],[APLICACIÓN]]&amp;"-00-00-00",CATALOGO[Código],0))</f>
        <v>#N/A</v>
      </c>
      <c r="J128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281" s="161" t="str">
        <f>IF((EJECUTADO[[#This Row],[MONTO DISPONIBLE ]]-EJECUTADO[[#This Row],[MONTO SOLICITADO]])&gt;=0,"PRESUPUESTO: SI","PRESUPUESTO: NO")</f>
        <v>PRESUPUESTO: SI</v>
      </c>
      <c r="L1281" s="162">
        <f>SUMIF(PRESUPUESTO[CUENTA],EJECUTADO[[#This Row],[CUENTA]],PRESUPUESTO[MONTO])-SUMIF($F$1:F1280,EJECUTADO[[#This Row],[CUENTA]],$M$1:M1280)</f>
        <v>0</v>
      </c>
      <c r="M1281" s="2"/>
      <c r="N1281" s="84"/>
      <c r="O1281" s="84"/>
      <c r="P1281" s="162">
        <f>+EJECUTADO[[#This Row],[MONTO SOLICITADO]]-EJECUTADO[[#This Row],[RETENCION IVA]]-EJECUTADO[[#This Row],[RETENCION ISR]]</f>
        <v>0</v>
      </c>
      <c r="Q1281" s="84"/>
      <c r="R1281" s="84"/>
      <c r="T1281" s="168" t="e">
        <f t="shared" si="49"/>
        <v>#N/A</v>
      </c>
    </row>
    <row r="1282" spans="1:20" ht="30" x14ac:dyDescent="0.25">
      <c r="A1282" s="6">
        <f t="shared" si="50"/>
        <v>1165</v>
      </c>
      <c r="B1282" s="21">
        <v>45386</v>
      </c>
      <c r="C1282" s="126" t="s">
        <v>2907</v>
      </c>
      <c r="E1282" s="65" t="s">
        <v>1915</v>
      </c>
      <c r="G1282" s="161">
        <f>MONTH(EJECUTADO[[#This Row],[FECHA]])</f>
        <v>4</v>
      </c>
      <c r="H1282" s="163" t="str">
        <f>MID(EJECUTADO[[#This Row],[CUENTA]],1,4)</f>
        <v/>
      </c>
      <c r="I1282" s="163" t="e">
        <f>INDEX(CATALOGO[Descripción],MATCH(EJECUTADO[[#This Row],[APLICACIÓN]]&amp;"-00-00-00",CATALOGO[Código],0))</f>
        <v>#N/A</v>
      </c>
      <c r="J128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282" s="161" t="str">
        <f>IF((EJECUTADO[[#This Row],[MONTO DISPONIBLE ]]-EJECUTADO[[#This Row],[MONTO SOLICITADO]])&gt;=0,"PRESUPUESTO: SI","PRESUPUESTO: NO")</f>
        <v>PRESUPUESTO: NO</v>
      </c>
      <c r="L1282" s="162">
        <f>SUMIF(PRESUPUESTO[CUENTA],EJECUTADO[[#This Row],[CUENTA]],PRESUPUESTO[MONTO])-SUMIF($F$1:F1281,EJECUTADO[[#This Row],[CUENTA]],$M$1:M1281)</f>
        <v>0</v>
      </c>
      <c r="M1282" s="2">
        <v>593.71</v>
      </c>
      <c r="N1282" s="84"/>
      <c r="O1282" s="84">
        <v>16.5</v>
      </c>
      <c r="P1282" s="162">
        <f>+EJECUTADO[[#This Row],[MONTO SOLICITADO]]-EJECUTADO[[#This Row],[RETENCION IVA]]-EJECUTADO[[#This Row],[RETENCION ISR]]</f>
        <v>577.21</v>
      </c>
      <c r="Q1282" s="84" t="s">
        <v>1786</v>
      </c>
      <c r="R1282" s="84"/>
      <c r="S1282">
        <v>3376</v>
      </c>
      <c r="T1282" s="168" t="e">
        <f t="shared" si="49"/>
        <v>#N/A</v>
      </c>
    </row>
    <row r="1283" spans="1:20" ht="60" x14ac:dyDescent="0.25">
      <c r="A1283" s="6">
        <f t="shared" si="50"/>
        <v>1166</v>
      </c>
      <c r="B1283" s="21">
        <v>45386</v>
      </c>
      <c r="C1283" s="126" t="s">
        <v>2908</v>
      </c>
      <c r="D1283" s="65" t="s">
        <v>2909</v>
      </c>
      <c r="E1283" s="65" t="s">
        <v>1915</v>
      </c>
      <c r="F1283" t="s">
        <v>1552</v>
      </c>
      <c r="G1283" s="161">
        <f>MONTH(EJECUTADO[[#This Row],[FECHA]])</f>
        <v>4</v>
      </c>
      <c r="H1283" s="163" t="str">
        <f>MID(EJECUTADO[[#This Row],[CUENTA]],1,4)</f>
        <v>E-11</v>
      </c>
      <c r="I1283" s="163" t="str">
        <f>INDEX(CATALOGO[Descripción],MATCH(EJECUTADO[[#This Row],[APLICACIÓN]]&amp;"-00-00-00",CATALOGO[Código],0))</f>
        <v>INVESTIGACIONES</v>
      </c>
      <c r="J12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Proyectos de investigación</v>
      </c>
      <c r="K1283" s="161" t="str">
        <f>IF((EJECUTADO[[#This Row],[MONTO DISPONIBLE ]]-EJECUTADO[[#This Row],[MONTO SOLICITADO]])&gt;=0,"PRESUPUESTO: SI","PRESUPUESTO: NO")</f>
        <v>PRESUPUESTO: SI</v>
      </c>
      <c r="L1283" s="162">
        <f>SUMIF(PRESUPUESTO[CUENTA],EJECUTADO[[#This Row],[CUENTA]],PRESUPUESTO[MONTO])-SUMIF($F$1:F1282,EJECUTADO[[#This Row],[CUENTA]],$M$1:M1282)</f>
        <v>24129.510000000002</v>
      </c>
      <c r="M1283" s="2">
        <v>375</v>
      </c>
      <c r="N1283" s="84"/>
      <c r="O1283" s="84"/>
      <c r="P1283" s="162">
        <f>+EJECUTADO[[#This Row],[MONTO SOLICITADO]]-EJECUTADO[[#This Row],[RETENCION IVA]]-EJECUTADO[[#This Row],[RETENCION ISR]]</f>
        <v>375</v>
      </c>
      <c r="Q1283" s="84" t="s">
        <v>1554</v>
      </c>
      <c r="R1283" s="84"/>
      <c r="S1283" s="153">
        <v>3377</v>
      </c>
      <c r="T1283" s="168" t="str">
        <f t="shared" si="49"/>
        <v>INVESTIGACIONES - Proyectos de investigación Disponible $24129.51 Solicitado $375 PRESUPUESTO: SI</v>
      </c>
    </row>
    <row r="1284" spans="1:20" ht="60" x14ac:dyDescent="0.25">
      <c r="A1284" s="6">
        <f t="shared" si="50"/>
        <v>1167</v>
      </c>
      <c r="B1284" s="21">
        <v>45386</v>
      </c>
      <c r="C1284" s="126" t="s">
        <v>2055</v>
      </c>
      <c r="D1284" s="65" t="s">
        <v>2910</v>
      </c>
      <c r="E1284" s="65" t="s">
        <v>2911</v>
      </c>
      <c r="F1284" t="s">
        <v>1159</v>
      </c>
      <c r="G1284" s="161">
        <f>MONTH(EJECUTADO[[#This Row],[FECHA]])</f>
        <v>4</v>
      </c>
      <c r="H1284" s="163" t="str">
        <f>MID(EJECUTADO[[#This Row],[CUENTA]],1,4)</f>
        <v>E-24</v>
      </c>
      <c r="I1284" s="163" t="str">
        <f>INDEX(CATALOGO[Descripción],MATCH(EJECUTADO[[#This Row],[APLICACIÓN]]&amp;"-00-00-00",CATALOGO[Código],0))</f>
        <v>NUEVO INGRESO</v>
      </c>
      <c r="J12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Renta de local $ 2,917.85 DEICE</v>
      </c>
      <c r="K1284" s="161" t="str">
        <f>IF((EJECUTADO[[#This Row],[MONTO DISPONIBLE ]]-EJECUTADO[[#This Row],[MONTO SOLICITADO]])&gt;=0,"PRESUPUESTO: SI","PRESUPUESTO: NO")</f>
        <v>PRESUPUESTO: SI</v>
      </c>
      <c r="L1284" s="162">
        <f>SUMIF(PRESUPUESTO[CUENTA],EJECUTADO[[#This Row],[CUENTA]],PRESUPUESTO[MONTO])-SUMIF($F$1:F1283,EJECUTADO[[#This Row],[CUENTA]],$M$1:M1283)</f>
        <v>26078.699999999997</v>
      </c>
      <c r="M1284" s="2">
        <v>2957.66</v>
      </c>
      <c r="N1284" s="84"/>
      <c r="O1284" s="84"/>
      <c r="P1284" s="162">
        <f>+EJECUTADO[[#This Row],[MONTO SOLICITADO]]-EJECUTADO[[#This Row],[RETENCION IVA]]-EJECUTADO[[#This Row],[RETENCION ISR]]</f>
        <v>2957.66</v>
      </c>
      <c r="Q1284" s="84" t="s">
        <v>1786</v>
      </c>
      <c r="R1284" s="84"/>
      <c r="S1284" s="112">
        <v>32115</v>
      </c>
      <c r="T1284" s="168" t="str">
        <f t="shared" si="49"/>
        <v>NUEVO INGRESO - Plaza Mundo - Renta de local $ 2,917.85 DEICE Disponible $26078.7 Solicitado $2957.66 PRESUPUESTO: SI</v>
      </c>
    </row>
    <row r="1285" spans="1:20" ht="45" x14ac:dyDescent="0.25">
      <c r="A1285" s="6">
        <f t="shared" si="50"/>
        <v>1168</v>
      </c>
      <c r="B1285" s="21">
        <v>45386</v>
      </c>
      <c r="C1285" s="126" t="s">
        <v>2055</v>
      </c>
      <c r="D1285" s="65" t="s">
        <v>2912</v>
      </c>
      <c r="E1285" s="65"/>
      <c r="F1285" t="s">
        <v>1273</v>
      </c>
      <c r="G1285" s="161">
        <f>MONTH(EJECUTADO[[#This Row],[FECHA]])</f>
        <v>4</v>
      </c>
      <c r="H1285" s="163" t="str">
        <f>MID(EJECUTADO[[#This Row],[CUENTA]],1,4)</f>
        <v>E-24</v>
      </c>
      <c r="I1285" s="163" t="str">
        <f>INDEX(CATALOGO[Descripción],MATCH(EJECUTADO[[#This Row],[APLICACIÓN]]&amp;"-00-00-00",CATALOGO[Código],0))</f>
        <v>NUEVO INGRESO</v>
      </c>
      <c r="J12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Servicio internet $ 203 x 12</v>
      </c>
      <c r="K1285" s="161" t="str">
        <f>IF((EJECUTADO[[#This Row],[MONTO DISPONIBLE ]]-EJECUTADO[[#This Row],[MONTO SOLICITADO]])&gt;=0,"PRESUPUESTO: SI","PRESUPUESTO: NO")</f>
        <v>PRESUPUESTO: SI</v>
      </c>
      <c r="L1285" s="162">
        <f>SUMIF(PRESUPUESTO[CUENTA],EJECUTADO[[#This Row],[CUENTA]],PRESUPUESTO[MONTO])-SUMIF($F$1:F1284,EJECUTADO[[#This Row],[CUENTA]],$M$1:M1284)</f>
        <v>1616.75</v>
      </c>
      <c r="M1285" s="2">
        <v>209.05</v>
      </c>
      <c r="N1285" s="84"/>
      <c r="O1285" s="84"/>
      <c r="P1285" s="162">
        <f>+EJECUTADO[[#This Row],[MONTO SOLICITADO]]-EJECUTADO[[#This Row],[RETENCION IVA]]-EJECUTADO[[#This Row],[RETENCION ISR]]</f>
        <v>209.05</v>
      </c>
      <c r="Q1285" s="84" t="s">
        <v>1786</v>
      </c>
      <c r="R1285" s="84"/>
      <c r="S1285" s="112">
        <v>32114</v>
      </c>
      <c r="T1285" s="168" t="str">
        <f t="shared" si="49"/>
        <v>NUEVO INGRESO - Plaza Mundo - Servicio internet $ 203 x 12 Disponible $1616.75 Solicitado $209.05 PRESUPUESTO: SI</v>
      </c>
    </row>
    <row r="1286" spans="1:20" ht="135" x14ac:dyDescent="0.25">
      <c r="A1286" s="6">
        <f t="shared" si="50"/>
        <v>1169</v>
      </c>
      <c r="B1286" s="21">
        <v>45387</v>
      </c>
      <c r="C1286" s="126" t="s">
        <v>1389</v>
      </c>
      <c r="D1286" s="65" t="s">
        <v>2913</v>
      </c>
      <c r="E1286" s="65" t="s">
        <v>2914</v>
      </c>
      <c r="F1286" t="s">
        <v>1008</v>
      </c>
      <c r="G1286" s="161">
        <f>MONTH(EJECUTADO[[#This Row],[FECHA]])</f>
        <v>4</v>
      </c>
      <c r="H1286" s="163" t="str">
        <f>MID(EJECUTADO[[#This Row],[CUENTA]],1,4)</f>
        <v>E-19</v>
      </c>
      <c r="I1286" s="163" t="str">
        <f>INDEX(CATALOGO[Descripción],MATCH(EJECUTADO[[#This Row],[APLICACIÓN]]&amp;"-00-00-00",CATALOGO[Código],0))</f>
        <v>MANTENIMIENTO</v>
      </c>
      <c r="J12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Dir. Mantenimiento - Manto. Oficinas, Mobiliario y equipos</v>
      </c>
      <c r="K1286" s="161" t="str">
        <f>IF((EJECUTADO[[#This Row],[MONTO DISPONIBLE ]]-EJECUTADO[[#This Row],[MONTO SOLICITADO]])&gt;=0,"PRESUPUESTO: SI","PRESUPUESTO: NO")</f>
        <v>PRESUPUESTO: SI</v>
      </c>
      <c r="L1286" s="162">
        <f>SUMIF(PRESUPUESTO[CUENTA],EJECUTADO[[#This Row],[CUENTA]],PRESUPUESTO[MONTO])-SUMIF($F$1:F1285,EJECUTADO[[#This Row],[CUENTA]],$M$1:M1285)</f>
        <v>6995.07</v>
      </c>
      <c r="M1286" s="2">
        <v>82.5</v>
      </c>
      <c r="N1286" s="84"/>
      <c r="O1286" s="84">
        <v>8.25</v>
      </c>
      <c r="P1286" s="162">
        <f>+EJECUTADO[[#This Row],[MONTO SOLICITADO]]-EJECUTADO[[#This Row],[RETENCION IVA]]-EJECUTADO[[#This Row],[RETENCION ISR]]</f>
        <v>74.25</v>
      </c>
      <c r="Q1286" s="84" t="s">
        <v>1786</v>
      </c>
      <c r="R1286" s="84"/>
      <c r="S1286" s="112">
        <v>32113</v>
      </c>
      <c r="T1286" s="168" t="str">
        <f t="shared" si="49"/>
        <v>MANTENIMIENTO - Dir. Mantenimiento - Manto. Oficinas, Mobiliario y equipos Disponible $6995.07 Solicitado $82.5 PRESUPUESTO: SI</v>
      </c>
    </row>
    <row r="1287" spans="1:20" ht="60" x14ac:dyDescent="0.25">
      <c r="A1287" s="6">
        <f t="shared" si="50"/>
        <v>1170</v>
      </c>
      <c r="B1287" s="21">
        <v>45387</v>
      </c>
      <c r="C1287" s="126" t="s">
        <v>1227</v>
      </c>
      <c r="D1287" s="65" t="s">
        <v>2915</v>
      </c>
      <c r="E1287" s="65" t="s">
        <v>2916</v>
      </c>
      <c r="F1287" t="s">
        <v>1229</v>
      </c>
      <c r="G1287" s="161">
        <f>MONTH(EJECUTADO[[#This Row],[FECHA]])</f>
        <v>4</v>
      </c>
      <c r="H1287" s="163" t="str">
        <f>MID(EJECUTADO[[#This Row],[CUENTA]],1,4)</f>
        <v>E-03</v>
      </c>
      <c r="I1287" s="163" t="str">
        <f>INDEX(CATALOGO[Descripción],MATCH(EJECUTADO[[#This Row],[APLICACIÓN]]&amp;"-00-00-00",CATALOGO[Código],0))</f>
        <v>SUELDOS ADMINISTRATIVOS</v>
      </c>
      <c r="J12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SUELDOS Y SALARIOS DIRECCIÓN DE COMUNICACIONES</v>
      </c>
      <c r="K1287" s="161" t="str">
        <f>IF((EJECUTADO[[#This Row],[MONTO DISPONIBLE ]]-EJECUTADO[[#This Row],[MONTO SOLICITADO]])&gt;=0,"PRESUPUESTO: SI","PRESUPUESTO: NO")</f>
        <v>PRESUPUESTO: SI</v>
      </c>
      <c r="L1287" s="162">
        <f>SUMIF(PRESUPUESTO[CUENTA],EJECUTADO[[#This Row],[CUENTA]],PRESUPUESTO[MONTO])-SUMIF($F$1:F1286,EJECUTADO[[#This Row],[CUENTA]],$M$1:M1286)</f>
        <v>103891</v>
      </c>
      <c r="M1287" s="2">
        <v>350</v>
      </c>
      <c r="N1287" s="84"/>
      <c r="O1287" s="84">
        <v>35</v>
      </c>
      <c r="P1287" s="162">
        <f>+EJECUTADO[[#This Row],[MONTO SOLICITADO]]-EJECUTADO[[#This Row],[RETENCION IVA]]-EJECUTADO[[#This Row],[RETENCION ISR]]</f>
        <v>315</v>
      </c>
      <c r="Q1287" s="84" t="s">
        <v>1786</v>
      </c>
      <c r="R1287" s="84"/>
      <c r="S1287" s="112">
        <v>3382</v>
      </c>
      <c r="T1287" s="168" t="str">
        <f t="shared" si="49"/>
        <v>SUELDOS ADMINISTRATIVOS - SUELDOS Y SALARIOS DIRECCIÓN DE COMUNICACIONES Disponible $103891 Solicitado $350 PRESUPUESTO: SI</v>
      </c>
    </row>
    <row r="1288" spans="1:20" ht="75" x14ac:dyDescent="0.25">
      <c r="A1288" s="6">
        <f t="shared" si="50"/>
        <v>1171</v>
      </c>
      <c r="B1288" s="21">
        <v>45387</v>
      </c>
      <c r="C1288" s="126" t="s">
        <v>2917</v>
      </c>
      <c r="D1288" s="65" t="s">
        <v>2918</v>
      </c>
      <c r="E1288" s="65" t="s">
        <v>1915</v>
      </c>
      <c r="F1288" t="s">
        <v>2919</v>
      </c>
      <c r="G1288" s="161">
        <f>MONTH(EJECUTADO[[#This Row],[FECHA]])</f>
        <v>4</v>
      </c>
      <c r="H1288" s="163" t="str">
        <f>MID(EJECUTADO[[#This Row],[CUENTA]],1,4)</f>
        <v>E-32</v>
      </c>
      <c r="I1288" s="163" t="str">
        <f>INDEX(CATALOGO[Descripción],MATCH(EJECUTADO[[#This Row],[APLICACIÓN]]&amp;"-00-00-00",CATALOGO[Código],0))</f>
        <v>RELACIONES INTERNACIONALES</v>
      </c>
      <c r="J12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Promocionales para visitas</v>
      </c>
      <c r="K1288" s="161" t="str">
        <f>IF((EJECUTADO[[#This Row],[MONTO DISPONIBLE ]]-EJECUTADO[[#This Row],[MONTO SOLICITADO]])&gt;=0,"PRESUPUESTO: SI","PRESUPUESTO: NO")</f>
        <v>PRESUPUESTO: SI</v>
      </c>
      <c r="L1288" s="162">
        <f>SUMIF(PRESUPUESTO[CUENTA],EJECUTADO[[#This Row],[CUENTA]],PRESUPUESTO[MONTO])-SUMIF($F$1:F1287,EJECUTADO[[#This Row],[CUENTA]],$M$1:M1287)</f>
        <v>500</v>
      </c>
      <c r="M1288" s="2">
        <v>150</v>
      </c>
      <c r="N1288" s="84"/>
      <c r="O1288" s="84"/>
      <c r="P1288" s="162">
        <f>+EJECUTADO[[#This Row],[MONTO SOLICITADO]]-EJECUTADO[[#This Row],[RETENCION IVA]]-EJECUTADO[[#This Row],[RETENCION ISR]]</f>
        <v>150</v>
      </c>
      <c r="Q1288" s="84" t="s">
        <v>1554</v>
      </c>
      <c r="R1288" s="84"/>
      <c r="S1288" s="112">
        <v>3379</v>
      </c>
      <c r="T1288" s="168" t="str">
        <f t="shared" si="49"/>
        <v>RELACIONES INTERNACIONALES - Promocionales para visitas Disponible $500 Solicitado $150 PRESUPUESTO: SI</v>
      </c>
    </row>
    <row r="1289" spans="1:20" ht="45" x14ac:dyDescent="0.25">
      <c r="A1289" s="6">
        <f t="shared" si="50"/>
        <v>1172</v>
      </c>
      <c r="B1289" s="21">
        <v>45387</v>
      </c>
      <c r="C1289" s="126" t="s">
        <v>2920</v>
      </c>
      <c r="D1289" s="65" t="s">
        <v>2921</v>
      </c>
      <c r="E1289" s="65" t="s">
        <v>1915</v>
      </c>
      <c r="F1289" t="s">
        <v>2922</v>
      </c>
      <c r="G1289" s="161">
        <f>MONTH(EJECUTADO[[#This Row],[FECHA]])</f>
        <v>4</v>
      </c>
      <c r="H1289" s="163" t="str">
        <f>MID(EJECUTADO[[#This Row],[CUENTA]],1,4)</f>
        <v>E-29</v>
      </c>
      <c r="I1289" s="163" t="str">
        <f>INDEX(CATALOGO[Descripción],MATCH(EJECUTADO[[#This Row],[APLICACIÓN]]&amp;"-00-00-00",CATALOGO[Código],0))</f>
        <v xml:space="preserve">BIBLIOTECA </v>
      </c>
      <c r="J12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Reserch for life</v>
      </c>
      <c r="K1289" s="161" t="str">
        <f>IF((EJECUTADO[[#This Row],[MONTO DISPONIBLE ]]-EJECUTADO[[#This Row],[MONTO SOLICITADO]])&gt;=0,"PRESUPUESTO: SI","PRESUPUESTO: NO")</f>
        <v>PRESUPUESTO: SI</v>
      </c>
      <c r="L1289" s="162">
        <f>SUMIF(PRESUPUESTO[CUENTA],EJECUTADO[[#This Row],[CUENTA]],PRESUPUESTO[MONTO])-SUMIF($F$1:F1288,EJECUTADO[[#This Row],[CUENTA]],$M$1:M1288)</f>
        <v>1000</v>
      </c>
      <c r="M1289" s="2">
        <v>1000</v>
      </c>
      <c r="N1289" s="84"/>
      <c r="O1289" s="84"/>
      <c r="P1289" s="162">
        <f>+EJECUTADO[[#This Row],[MONTO SOLICITADO]]-EJECUTADO[[#This Row],[RETENCION IVA]]-EJECUTADO[[#This Row],[RETENCION ISR]]</f>
        <v>1000</v>
      </c>
      <c r="Q1289" s="84" t="s">
        <v>1554</v>
      </c>
      <c r="R1289" s="84"/>
      <c r="S1289" s="112">
        <v>3380</v>
      </c>
      <c r="T1289" s="168" t="str">
        <f t="shared" si="49"/>
        <v>BIBLIOTECA  - Reserch for life Disponible $1000 Solicitado $1000 PRESUPUESTO: SI</v>
      </c>
    </row>
    <row r="1290" spans="1:20" ht="48.75" customHeight="1" x14ac:dyDescent="0.25">
      <c r="A1290" s="6">
        <f t="shared" si="50"/>
        <v>1173</v>
      </c>
      <c r="B1290" s="21">
        <v>45387</v>
      </c>
      <c r="C1290" s="126" t="s">
        <v>2923</v>
      </c>
      <c r="D1290" s="65" t="s">
        <v>2924</v>
      </c>
      <c r="E1290" s="65" t="s">
        <v>1915</v>
      </c>
      <c r="F1290" t="s">
        <v>2925</v>
      </c>
      <c r="G1290" s="161">
        <f>MONTH(EJECUTADO[[#This Row],[FECHA]])</f>
        <v>4</v>
      </c>
      <c r="H1290" s="163" t="str">
        <f>MID(EJECUTADO[[#This Row],[CUENTA]],1,4)</f>
        <v>E-29</v>
      </c>
      <c r="I1290" s="163" t="str">
        <f>INDEX(CATALOGO[Descripción],MATCH(EJECUTADO[[#This Row],[APLICACIÓN]]&amp;"-00-00-00",CATALOGO[Código],0))</f>
        <v xml:space="preserve">BIBLIOTECA </v>
      </c>
      <c r="J12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EBSCO</v>
      </c>
      <c r="K1290" s="161" t="str">
        <f>IF((EJECUTADO[[#This Row],[MONTO DISPONIBLE ]]-EJECUTADO[[#This Row],[MONTO SOLICITADO]])&gt;=0,"PRESUPUESTO: SI","PRESUPUESTO: NO")</f>
        <v>PRESUPUESTO: SI</v>
      </c>
      <c r="L1290" s="162">
        <f>SUMIF(PRESUPUESTO[CUENTA],EJECUTADO[[#This Row],[CUENTA]],PRESUPUESTO[MONTO])-SUMIF($F$1:F1289,EJECUTADO[[#This Row],[CUENTA]],$M$1:M1289)</f>
        <v>13933</v>
      </c>
      <c r="M1290" s="2">
        <v>13933</v>
      </c>
      <c r="N1290" s="84"/>
      <c r="O1290" s="84"/>
      <c r="P1290" s="162">
        <f>+EJECUTADO[[#This Row],[MONTO SOLICITADO]]-EJECUTADO[[#This Row],[RETENCION IVA]]-EJECUTADO[[#This Row],[RETENCION ISR]]</f>
        <v>13933</v>
      </c>
      <c r="Q1290" s="84" t="s">
        <v>1554</v>
      </c>
      <c r="R1290" s="84" t="s">
        <v>2371</v>
      </c>
      <c r="S1290">
        <v>1</v>
      </c>
      <c r="T1290" s="168" t="str">
        <f t="shared" si="49"/>
        <v>BIBLIOTECA  - EBSCO Disponible $13933 Solicitado $13933 PRESUPUESTO: SI</v>
      </c>
    </row>
    <row r="1291" spans="1:20" ht="75" x14ac:dyDescent="0.25">
      <c r="A1291" s="6">
        <f t="shared" si="50"/>
        <v>1174</v>
      </c>
      <c r="B1291" s="21">
        <v>45388</v>
      </c>
      <c r="C1291" s="21" t="s">
        <v>2926</v>
      </c>
      <c r="D1291" s="65" t="s">
        <v>2927</v>
      </c>
      <c r="E1291" s="65" t="s">
        <v>2928</v>
      </c>
      <c r="F1291" t="s">
        <v>1265</v>
      </c>
      <c r="G1291" s="161">
        <f>MONTH(EJECUTADO[[#This Row],[FECHA]])</f>
        <v>4</v>
      </c>
      <c r="H1291" s="163" t="str">
        <f>MID(EJECUTADO[[#This Row],[CUENTA]],1,4)</f>
        <v>E-23</v>
      </c>
      <c r="I1291" s="163" t="str">
        <f>INDEX(CATALOGO[Descripción],MATCH(EJECUTADO[[#This Row],[APLICACIÓN]]&amp;"-00-00-00",CATALOGO[Código],0))</f>
        <v>GASTOS DE VIAJE</v>
      </c>
      <c r="J129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291" s="161" t="str">
        <f>IF((EJECUTADO[[#This Row],[MONTO DISPONIBLE ]]-EJECUTADO[[#This Row],[MONTO SOLICITADO]])&gt;=0,"PRESUPUESTO: SI","PRESUPUESTO: NO")</f>
        <v>PRESUPUESTO: SI</v>
      </c>
      <c r="L1291" s="162">
        <f>SUMIF(PRESUPUESTO[CUENTA],EJECUTADO[[#This Row],[CUENTA]],PRESUPUESTO[MONTO])-SUMIF($F$1:F1290,EJECUTADO[[#This Row],[CUENTA]],$M$1:M1290)</f>
        <v>20444.690000000002</v>
      </c>
      <c r="M1291" s="2">
        <v>2261.6799999999998</v>
      </c>
      <c r="N1291" s="84"/>
      <c r="O1291" s="84"/>
      <c r="P1291" s="162">
        <f>+EJECUTADO[[#This Row],[MONTO SOLICITADO]]-EJECUTADO[[#This Row],[RETENCION IVA]]-EJECUTADO[[#This Row],[RETENCION ISR]]</f>
        <v>2261.6799999999998</v>
      </c>
      <c r="Q1291" s="84" t="s">
        <v>1971</v>
      </c>
      <c r="R1291" s="84" t="s">
        <v>2111</v>
      </c>
      <c r="T1291" s="168" t="str">
        <f t="shared" si="49"/>
        <v>GASTOS DE VIAJE - Servicio combustible Disponible $20444.69 Solicitado $2261.68 PRESUPUESTO: SI</v>
      </c>
    </row>
    <row r="1292" spans="1:20" ht="45" x14ac:dyDescent="0.25">
      <c r="A1292" s="6">
        <f t="shared" si="50"/>
        <v>1175</v>
      </c>
      <c r="B1292" s="21">
        <v>45388</v>
      </c>
      <c r="C1292" s="126" t="s">
        <v>2157</v>
      </c>
      <c r="D1292" s="65" t="s">
        <v>2929</v>
      </c>
      <c r="E1292" s="65"/>
      <c r="G1292" s="161">
        <f>MONTH(EJECUTADO[[#This Row],[FECHA]])</f>
        <v>4</v>
      </c>
      <c r="H1292" s="163" t="str">
        <f>MID(EJECUTADO[[#This Row],[CUENTA]],1,4)</f>
        <v/>
      </c>
      <c r="I1292" s="163" t="e">
        <f>INDEX(CATALOGO[Descripción],MATCH(EJECUTADO[[#This Row],[APLICACIÓN]]&amp;"-00-00-00",CATALOGO[Código],0))</f>
        <v>#N/A</v>
      </c>
      <c r="J129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292" s="161" t="str">
        <f>IF((EJECUTADO[[#This Row],[MONTO DISPONIBLE ]]-EJECUTADO[[#This Row],[MONTO SOLICITADO]])&gt;=0,"PRESUPUESTO: SI","PRESUPUESTO: NO")</f>
        <v>PRESUPUESTO: NO</v>
      </c>
      <c r="L1292" s="162">
        <f>SUMIF(PRESUPUESTO[CUENTA],EJECUTADO[[#This Row],[CUENTA]],PRESUPUESTO[MONTO])-SUMIF($F$1:F1291,EJECUTADO[[#This Row],[CUENTA]],$M$1:M1291)</f>
        <v>0</v>
      </c>
      <c r="M1292" s="2">
        <v>1153.54</v>
      </c>
      <c r="N1292" s="84"/>
      <c r="O1292" s="84"/>
      <c r="P1292" s="162">
        <f>+EJECUTADO[[#This Row],[MONTO SOLICITADO]]-EJECUTADO[[#This Row],[RETENCION IVA]]-EJECUTADO[[#This Row],[RETENCION ISR]]</f>
        <v>1153.54</v>
      </c>
      <c r="Q1292" s="84" t="s">
        <v>1971</v>
      </c>
      <c r="R1292" s="84" t="s">
        <v>2111</v>
      </c>
      <c r="T1292" s="168" t="e">
        <f t="shared" si="49"/>
        <v>#N/A</v>
      </c>
    </row>
    <row r="1293" spans="1:20" ht="60" x14ac:dyDescent="0.25">
      <c r="A1293" s="6">
        <f t="shared" si="50"/>
        <v>1176</v>
      </c>
      <c r="B1293" s="21">
        <v>45388</v>
      </c>
      <c r="C1293" s="126" t="s">
        <v>2141</v>
      </c>
      <c r="D1293" s="65" t="s">
        <v>2930</v>
      </c>
      <c r="E1293" s="65" t="s">
        <v>2931</v>
      </c>
      <c r="F1293" t="s">
        <v>1202</v>
      </c>
      <c r="G1293" s="161">
        <f>MONTH(EJECUTADO[[#This Row],[FECHA]])</f>
        <v>4</v>
      </c>
      <c r="H1293" s="163" t="str">
        <f>MID(EJECUTADO[[#This Row],[CUENTA]],1,4)</f>
        <v>E-01</v>
      </c>
      <c r="I1293" s="163" t="str">
        <f>INDEX(CATALOGO[Descripción],MATCH(EJECUTADO[[#This Row],[APLICACIÓN]]&amp;"-00-00-00",CATALOGO[Código],0))</f>
        <v>SERVICIOS PROFESIONALES</v>
      </c>
      <c r="J129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DE VIGILANCIA</v>
      </c>
      <c r="K1293" s="161" t="str">
        <f>IF((EJECUTADO[[#This Row],[MONTO DISPONIBLE ]]-EJECUTADO[[#This Row],[MONTO SOLICITADO]])&gt;=0,"PRESUPUESTO: SI","PRESUPUESTO: NO")</f>
        <v>PRESUPUESTO: SI</v>
      </c>
      <c r="L1293" s="162">
        <f>SUMIF(PRESUPUESTO[CUENTA],EJECUTADO[[#This Row],[CUENTA]],PRESUPUESTO[MONTO])-SUMIF($F$1:F1292,EJECUTADO[[#This Row],[CUENTA]],$M$1:M1292)</f>
        <v>577890</v>
      </c>
      <c r="M1293" s="2">
        <v>64210</v>
      </c>
      <c r="N1293" s="84">
        <v>568.23</v>
      </c>
      <c r="O1293" s="84"/>
      <c r="P1293" s="162">
        <f>+EJECUTADO[[#This Row],[MONTO SOLICITADO]]-EJECUTADO[[#This Row],[RETENCION IVA]]-EJECUTADO[[#This Row],[RETENCION ISR]]</f>
        <v>63641.77</v>
      </c>
      <c r="Q1293" s="84" t="s">
        <v>1971</v>
      </c>
      <c r="R1293" s="84" t="s">
        <v>2111</v>
      </c>
      <c r="T1293" s="168" t="str">
        <f t="shared" si="49"/>
        <v>SERVICIOS PROFESIONALES - SERVICIOS DE VIGILANCIA Disponible $577890 Solicitado $64210 PRESUPUESTO: SI</v>
      </c>
    </row>
    <row r="1294" spans="1:20" ht="60" x14ac:dyDescent="0.25">
      <c r="A1294" s="6" t="s">
        <v>2932</v>
      </c>
      <c r="B1294" s="21">
        <v>45388</v>
      </c>
      <c r="C1294" s="126" t="s">
        <v>2141</v>
      </c>
      <c r="D1294" s="65" t="s">
        <v>2930</v>
      </c>
      <c r="E1294" s="65" t="s">
        <v>2931</v>
      </c>
      <c r="F1294" t="s">
        <v>1203</v>
      </c>
      <c r="G1294" s="161">
        <f>MONTH(EJECUTADO[[#This Row],[FECHA]])</f>
        <v>4</v>
      </c>
      <c r="H1294" s="163" t="str">
        <f>MID(EJECUTADO[[#This Row],[CUENTA]],1,4)</f>
        <v>E-13</v>
      </c>
      <c r="I1294" s="163" t="str">
        <f>INDEX(CATALOGO[Descripción],MATCH(EJECUTADO[[#This Row],[APLICACIÓN]]&amp;"-00-00-00",CATALOGO[Código],0))</f>
        <v>MAESTRIAS Y POSTGRADOS</v>
      </c>
      <c r="J129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SERVICIOS DE SEGURIDAD </v>
      </c>
      <c r="K1294" s="161" t="str">
        <f>IF((EJECUTADO[[#This Row],[MONTO DISPONIBLE ]]-EJECUTADO[[#This Row],[MONTO SOLICITADO]])&gt;=0,"PRESUPUESTO: SI","PRESUPUESTO: NO")</f>
        <v>PRESUPUESTO: SI</v>
      </c>
      <c r="L1294" s="162">
        <f>SUMIF(PRESUPUESTO[CUENTA],EJECUTADO[[#This Row],[CUENTA]],PRESUPUESTO[MONTO])-SUMIF($F$1:F1293,EJECUTADO[[#This Row],[CUENTA]],$M$1:M1293)</f>
        <v>110430</v>
      </c>
      <c r="M1294" s="2">
        <v>3590</v>
      </c>
      <c r="N1294" s="2">
        <v>31.77</v>
      </c>
      <c r="O1294" s="84"/>
      <c r="P1294" s="162">
        <f>+EJECUTADO[[#This Row],[MONTO SOLICITADO]]-EJECUTADO[[#This Row],[RETENCION IVA]]-EJECUTADO[[#This Row],[RETENCION ISR]]</f>
        <v>3558.23</v>
      </c>
      <c r="Q1294" s="84" t="s">
        <v>1971</v>
      </c>
      <c r="R1294" s="84" t="s">
        <v>2111</v>
      </c>
      <c r="T1294" s="168" t="str">
        <f t="shared" ref="T1294" si="53">_xlfn.CONCAT(I1294," - ",J1294," Disponible $",L1294," Solicitado $",M1294," ",K1294,)</f>
        <v>MAESTRIAS Y POSTGRADOS - SERVICIOS DE SEGURIDAD  Disponible $110430 Solicitado $3590 PRESUPUESTO: SI</v>
      </c>
    </row>
    <row r="1295" spans="1:20" ht="105" x14ac:dyDescent="0.25">
      <c r="A1295" s="6">
        <f>+A1293+1</f>
        <v>1177</v>
      </c>
      <c r="B1295" s="21">
        <v>45388</v>
      </c>
      <c r="C1295" s="126" t="s">
        <v>2147</v>
      </c>
      <c r="D1295" s="65" t="s">
        <v>2933</v>
      </c>
      <c r="E1295" s="65" t="s">
        <v>2934</v>
      </c>
      <c r="F1295" s="117" t="s">
        <v>1206</v>
      </c>
      <c r="G1295" s="161">
        <f>MONTH(EJECUTADO[[#This Row],[FECHA]])</f>
        <v>4</v>
      </c>
      <c r="H1295" s="163" t="str">
        <f>MID(EJECUTADO[[#This Row],[CUENTA]],1,4)</f>
        <v>E-11</v>
      </c>
      <c r="I1295" s="163" t="str">
        <f>INDEX(CATALOGO[Descripción],MATCH(EJECUTADO[[#This Row],[APLICACIÓN]]&amp;"-00-00-00",CATALOGO[Código],0))</f>
        <v>INVESTIGACIONES</v>
      </c>
      <c r="J12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Asesoria Montealban $ 84, 750.x12</v>
      </c>
      <c r="K1295" s="161" t="str">
        <f>IF((EJECUTADO[[#This Row],[MONTO DISPONIBLE ]]-EJECUTADO[[#This Row],[MONTO SOLICITADO]])&gt;=0,"PRESUPUESTO: SI","PRESUPUESTO: NO")</f>
        <v>PRESUPUESTO: SI</v>
      </c>
      <c r="L1295" s="162">
        <f>SUMIF(PRESUPUESTO[CUENTA],EJECUTADO[[#This Row],[CUENTA]],PRESUPUESTO[MONTO])-SUMIF($F$1:F1293,EJECUTADO[[#This Row],[CUENTA]],$M$1:M1293)</f>
        <v>761516</v>
      </c>
      <c r="M1295" s="119">
        <v>84750</v>
      </c>
      <c r="N1295" s="84"/>
      <c r="O1295" s="84"/>
      <c r="P1295" s="162">
        <f>+EJECUTADO[[#This Row],[MONTO SOLICITADO]]-EJECUTADO[[#This Row],[RETENCION IVA]]-EJECUTADO[[#This Row],[RETENCION ISR]]</f>
        <v>84750</v>
      </c>
      <c r="Q1295" s="84" t="s">
        <v>1971</v>
      </c>
      <c r="R1295" s="84" t="s">
        <v>2111</v>
      </c>
      <c r="T1295" s="168" t="str">
        <f t="shared" si="49"/>
        <v>INVESTIGACIONES - Asesoria Montealban $ 84, 750.x12 Disponible $761516 Solicitado $84750 PRESUPUESTO: SI</v>
      </c>
    </row>
    <row r="1296" spans="1:20" ht="45" x14ac:dyDescent="0.25">
      <c r="A1296" s="6" t="s">
        <v>2935</v>
      </c>
      <c r="B1296" s="21">
        <v>45388</v>
      </c>
      <c r="C1296" s="126" t="s">
        <v>2147</v>
      </c>
      <c r="D1296" s="65" t="s">
        <v>2936</v>
      </c>
      <c r="E1296" s="65" t="s">
        <v>2937</v>
      </c>
      <c r="F1296" s="117" t="s">
        <v>1208</v>
      </c>
      <c r="G1296" s="161">
        <f>MONTH(EJECUTADO[[#This Row],[FECHA]])</f>
        <v>4</v>
      </c>
      <c r="H1296" s="163" t="str">
        <f>MID(EJECUTADO[[#This Row],[CUENTA]],1,4)</f>
        <v>E-15</v>
      </c>
      <c r="I1296" s="163" t="str">
        <f>INDEX(CATALOGO[Descripción],MATCH(EJECUTADO[[#This Row],[APLICACIÓN]]&amp;"-00-00-00",CATALOGO[Código],0))</f>
        <v>ALQUILERES</v>
      </c>
      <c r="J12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Alquiler de Casa Adolfo Araujo Montealban $ 30,045.00 x 12  </v>
      </c>
      <c r="K1296" s="161" t="str">
        <f>IF((EJECUTADO[[#This Row],[MONTO DISPONIBLE ]]-EJECUTADO[[#This Row],[MONTO SOLICITADO]])&gt;=0,"PRESUPUESTO: SI","PRESUPUESTO: NO")</f>
        <v>PRESUPUESTO: SI</v>
      </c>
      <c r="L1296" s="162">
        <f>SUMIF(PRESUPUESTO[CUENTA],EJECUTADO[[#This Row],[CUENTA]],PRESUPUESTO[MONTO])-SUMIF($F$1:F1294,EJECUTADO[[#This Row],[CUENTA]],$M$1:M1294)</f>
        <v>213914.43</v>
      </c>
      <c r="M1296" s="119">
        <v>30045.19</v>
      </c>
      <c r="N1296" s="84"/>
      <c r="O1296" s="84"/>
      <c r="P1296" s="162">
        <f>+EJECUTADO[[#This Row],[MONTO SOLICITADO]]-EJECUTADO[[#This Row],[RETENCION IVA]]-EJECUTADO[[#This Row],[RETENCION ISR]]</f>
        <v>30045.19</v>
      </c>
      <c r="Q1296" s="84" t="s">
        <v>1971</v>
      </c>
      <c r="R1296" s="84" t="s">
        <v>2111</v>
      </c>
      <c r="T1296" s="168" t="str">
        <f t="shared" ref="T1296:T1297" si="54">_xlfn.CONCAT(I1296," - ",J1296," Disponible $",L1296," Solicitado $",M1296," ",K1296,)</f>
        <v>ALQUILERES - Alquiler de Casa Adolfo Araujo Montealban $ 30,045.00 x 12   Disponible $213914.43 Solicitado $30045.19 PRESUPUESTO: SI</v>
      </c>
    </row>
    <row r="1297" spans="1:20" ht="105" x14ac:dyDescent="0.25">
      <c r="A1297" s="6" t="s">
        <v>2938</v>
      </c>
      <c r="B1297" s="21">
        <v>45388</v>
      </c>
      <c r="C1297" s="126" t="s">
        <v>2147</v>
      </c>
      <c r="D1297" s="65" t="s">
        <v>2939</v>
      </c>
      <c r="E1297" s="65" t="s">
        <v>2940</v>
      </c>
      <c r="F1297" s="117" t="s">
        <v>2156</v>
      </c>
      <c r="G1297" s="161">
        <f>MONTH(EJECUTADO[[#This Row],[FECHA]])</f>
        <v>4</v>
      </c>
      <c r="H1297" s="163" t="str">
        <f>MID(EJECUTADO[[#This Row],[CUENTA]],1,4)</f>
        <v>E-15</v>
      </c>
      <c r="I1297" s="163" t="str">
        <f>INDEX(CATALOGO[Descripción],MATCH(EJECUTADO[[#This Row],[APLICACIÓN]]&amp;"-00-00-00",CATALOGO[Código],0))</f>
        <v>ALQUILERES</v>
      </c>
      <c r="J129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Montealban Casa 119 Ex Hotel $ 28,250.00 X 12</v>
      </c>
      <c r="K1297" s="161" t="str">
        <f>IF((EJECUTADO[[#This Row],[MONTO DISPONIBLE ]]-EJECUTADO[[#This Row],[MONTO SOLICITADO]])&gt;=0,"PRESUPUESTO: SI","PRESUPUESTO: NO")</f>
        <v>PRESUPUESTO: SI</v>
      </c>
      <c r="L1297" s="162">
        <f>SUMIF(PRESUPUESTO[CUENTA],EJECUTADO[[#This Row],[CUENTA]],PRESUPUESTO[MONTO])-SUMIF($F$1:F1295,EJECUTADO[[#This Row],[CUENTA]],$M$1:M1295)</f>
        <v>310750</v>
      </c>
      <c r="M1297" s="119">
        <v>28250</v>
      </c>
      <c r="N1297" s="84"/>
      <c r="O1297" s="84"/>
      <c r="P1297" s="162">
        <f>+EJECUTADO[[#This Row],[MONTO SOLICITADO]]-EJECUTADO[[#This Row],[RETENCION IVA]]-EJECUTADO[[#This Row],[RETENCION ISR]]</f>
        <v>28250</v>
      </c>
      <c r="Q1297" s="84" t="s">
        <v>1971</v>
      </c>
      <c r="R1297" s="84" t="s">
        <v>2111</v>
      </c>
      <c r="T1297" s="168" t="str">
        <f t="shared" si="54"/>
        <v>ALQUILERES - Montealban Casa 119 Ex Hotel $ 28,250.00 X 12 Disponible $310750 Solicitado $28250 PRESUPUESTO: SI</v>
      </c>
    </row>
    <row r="1298" spans="1:20" ht="30" x14ac:dyDescent="0.25">
      <c r="A1298" s="6">
        <f>+A1295+1</f>
        <v>1178</v>
      </c>
      <c r="B1298" s="21">
        <v>45388</v>
      </c>
      <c r="C1298" s="126" t="s">
        <v>1998</v>
      </c>
      <c r="D1298" s="65" t="s">
        <v>2941</v>
      </c>
      <c r="E1298" s="65"/>
      <c r="G1298" s="161">
        <f>MONTH(EJECUTADO[[#This Row],[FECHA]])</f>
        <v>4</v>
      </c>
      <c r="H1298" s="163" t="str">
        <f>MID(EJECUTADO[[#This Row],[CUENTA]],1,4)</f>
        <v/>
      </c>
      <c r="I1298" s="163" t="e">
        <f>INDEX(CATALOGO[Descripción],MATCH(EJECUTADO[[#This Row],[APLICACIÓN]]&amp;"-00-00-00",CATALOGO[Código],0))</f>
        <v>#N/A</v>
      </c>
      <c r="J12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298" s="161" t="str">
        <f>IF((EJECUTADO[[#This Row],[MONTO DISPONIBLE ]]-EJECUTADO[[#This Row],[MONTO SOLICITADO]])&gt;=0,"PRESUPUESTO: SI","PRESUPUESTO: NO")</f>
        <v>PRESUPUESTO: NO</v>
      </c>
      <c r="L1298" s="162">
        <f>SUMIF(PRESUPUESTO[CUENTA],EJECUTADO[[#This Row],[CUENTA]],PRESUPUESTO[MONTO])-SUMIF($F$1:F1295,EJECUTADO[[#This Row],[CUENTA]],$M$1:M1295)</f>
        <v>0</v>
      </c>
      <c r="M1298" s="2">
        <v>4232.17</v>
      </c>
      <c r="N1298" s="84"/>
      <c r="O1298" s="84"/>
      <c r="P1298" s="162">
        <f>+EJECUTADO[[#This Row],[MONTO SOLICITADO]]-EJECUTADO[[#This Row],[RETENCION IVA]]-EJECUTADO[[#This Row],[RETENCION ISR]]</f>
        <v>4232.17</v>
      </c>
      <c r="Q1298" s="84" t="s">
        <v>1971</v>
      </c>
      <c r="R1298" s="84" t="s">
        <v>2111</v>
      </c>
      <c r="T1298" s="168" t="e">
        <f t="shared" si="49"/>
        <v>#N/A</v>
      </c>
    </row>
    <row r="1299" spans="1:20" s="117" customFormat="1" ht="105" x14ac:dyDescent="0.25">
      <c r="A1299" s="115">
        <f t="shared" si="50"/>
        <v>1179</v>
      </c>
      <c r="B1299" s="118">
        <v>45388</v>
      </c>
      <c r="C1299" s="129" t="s">
        <v>2214</v>
      </c>
      <c r="D1299" s="116" t="s">
        <v>2942</v>
      </c>
      <c r="E1299" s="116" t="s">
        <v>2943</v>
      </c>
      <c r="F1299" s="185" t="s">
        <v>1126</v>
      </c>
      <c r="G1299" s="178">
        <f>MONTH(EJECUTADO[[#This Row],[FECHA]])</f>
        <v>4</v>
      </c>
      <c r="H1299" s="179" t="str">
        <f>MID(EJECUTADO[[#This Row],[CUENTA]],1,4)</f>
        <v>E-15</v>
      </c>
      <c r="I1299" s="179" t="str">
        <f>INDEX(CATALOGO[Descripción],MATCH(EJECUTADO[[#This Row],[APLICACIÓN]]&amp;"-00-00-00",CATALOGO[Código],0))</f>
        <v>ALQUILERES</v>
      </c>
      <c r="J1299" s="178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1299" s="178" t="str">
        <f>IF((EJECUTADO[[#This Row],[MONTO DISPONIBLE ]]-EJECUTADO[[#This Row],[MONTO SOLICITADO]])&gt;=0,"PRESUPUESTO: SI","PRESUPUESTO: NO")</f>
        <v>PRESUPUESTO: SI</v>
      </c>
      <c r="L1299" s="165">
        <f>SUMIF(PRESUPUESTO[CUENTA],EJECUTADO[[#This Row],[CUENTA]],PRESUPUESTO[MONTO])-SUMIF($F$1:F1298,EJECUTADO[[#This Row],[CUENTA]],$M$1:M1298)</f>
        <v>39900</v>
      </c>
      <c r="M1299" s="119">
        <v>1200</v>
      </c>
      <c r="N1299" s="120">
        <v>10.62</v>
      </c>
      <c r="O1299" s="120"/>
      <c r="P1299" s="165">
        <f>+EJECUTADO[[#This Row],[MONTO SOLICITADO]]-EJECUTADO[[#This Row],[RETENCION IVA]]-EJECUTADO[[#This Row],[RETENCION ISR]]</f>
        <v>1189.3800000000001</v>
      </c>
      <c r="Q1299" s="120" t="s">
        <v>1971</v>
      </c>
      <c r="R1299" s="120" t="s">
        <v>2111</v>
      </c>
      <c r="T1299" s="180" t="str">
        <f t="shared" si="49"/>
        <v>ALQUILERES - Alquiler de edificio Thomas Jefferson Disponible $39900 Solicitado $1200 PRESUPUESTO: SI</v>
      </c>
    </row>
    <row r="1300" spans="1:20" ht="45" x14ac:dyDescent="0.25">
      <c r="A1300" s="6">
        <f t="shared" si="50"/>
        <v>1180</v>
      </c>
      <c r="B1300" s="21">
        <v>45388</v>
      </c>
      <c r="C1300" s="126" t="s">
        <v>1584</v>
      </c>
      <c r="D1300" s="65" t="s">
        <v>2944</v>
      </c>
      <c r="E1300" s="65" t="s">
        <v>2945</v>
      </c>
      <c r="F1300" t="s">
        <v>1003</v>
      </c>
      <c r="G1300" s="161">
        <f>MONTH(EJECUTADO[[#This Row],[FECHA]])</f>
        <v>4</v>
      </c>
      <c r="H1300" s="163" t="str">
        <f>MID(EJECUTADO[[#This Row],[CUENTA]],1,4)</f>
        <v>E-13</v>
      </c>
      <c r="I1300" s="163" t="str">
        <f>INDEX(CATALOGO[Descripción],MATCH(EJECUTADO[[#This Row],[APLICACIÓN]]&amp;"-00-00-00",CATALOGO[Código],0))</f>
        <v>MAESTRIAS Y POSTGRADOS</v>
      </c>
      <c r="J130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ASENSORES </v>
      </c>
      <c r="K1300" s="161" t="str">
        <f>IF((EJECUTADO[[#This Row],[MONTO DISPONIBLE ]]-EJECUTADO[[#This Row],[MONTO SOLICITADO]])&gt;=0,"PRESUPUESTO: SI","PRESUPUESTO: NO")</f>
        <v>PRESUPUESTO: SI</v>
      </c>
      <c r="L1300" s="162">
        <f>SUMIF(PRESUPUESTO[CUENTA],EJECUTADO[[#This Row],[CUENTA]],PRESUPUESTO[MONTO])-SUMIF($F$1:F1299,EJECUTADO[[#This Row],[CUENTA]],$M$1:M1299)</f>
        <v>1837.6</v>
      </c>
      <c r="M1300" s="2">
        <v>271.2</v>
      </c>
      <c r="N1300" s="84">
        <v>2.4</v>
      </c>
      <c r="O1300" s="84">
        <v>24</v>
      </c>
      <c r="P1300" s="162">
        <f>+EJECUTADO[[#This Row],[MONTO SOLICITADO]]-EJECUTADO[[#This Row],[RETENCION IVA]]-EJECUTADO[[#This Row],[RETENCION ISR]]</f>
        <v>244.8</v>
      </c>
      <c r="Q1300" s="84" t="s">
        <v>1971</v>
      </c>
      <c r="R1300" s="84" t="s">
        <v>2111</v>
      </c>
      <c r="T1300" s="168" t="str">
        <f t="shared" si="49"/>
        <v>MAESTRIAS Y POSTGRADOS - MANTENIMIENTO ASENSORES  Disponible $1837.6 Solicitado $271.2 PRESUPUESTO: SI</v>
      </c>
    </row>
    <row r="1301" spans="1:20" ht="120" x14ac:dyDescent="0.25">
      <c r="A1301" s="6">
        <f t="shared" si="50"/>
        <v>1181</v>
      </c>
      <c r="B1301" s="21">
        <v>45388</v>
      </c>
      <c r="C1301" s="126" t="s">
        <v>1018</v>
      </c>
      <c r="D1301" s="65" t="s">
        <v>2946</v>
      </c>
      <c r="E1301" s="65" t="s">
        <v>2947</v>
      </c>
      <c r="F1301" s="37" t="s">
        <v>1020</v>
      </c>
      <c r="G1301" s="161">
        <f>MONTH(EJECUTADO[[#This Row],[FECHA]])</f>
        <v>4</v>
      </c>
      <c r="H1301" s="163" t="str">
        <f>MID(EJECUTADO[[#This Row],[CUENTA]],1,4)</f>
        <v>E-31</v>
      </c>
      <c r="I1301" s="163" t="str">
        <f>INDEX(CATALOGO[Descripción],MATCH(EJECUTADO[[#This Row],[APLICACIÓN]]&amp;"-00-00-00",CATALOGO[Código],0))</f>
        <v>DONACIONES</v>
      </c>
      <c r="J130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Asociacion Padre Vito Guarato $ 114.00 x 12</v>
      </c>
      <c r="K1301" s="161" t="str">
        <f>IF((EJECUTADO[[#This Row],[MONTO DISPONIBLE ]]-EJECUTADO[[#This Row],[MONTO SOLICITADO]])&gt;=0,"PRESUPUESTO: SI","PRESUPUESTO: NO")</f>
        <v>PRESUPUESTO: SI</v>
      </c>
      <c r="L1301" s="162">
        <f>SUMIF(PRESUPUESTO[CUENTA],EJECUTADO[[#This Row],[CUENTA]],PRESUPUESTO[MONTO])-SUMIF($F$1:F1300,EJECUTADO[[#This Row],[CUENTA]],$M$1:M1300)</f>
        <v>796.55</v>
      </c>
      <c r="M1301" s="2">
        <v>114.29</v>
      </c>
      <c r="N1301" s="84"/>
      <c r="O1301" s="84"/>
      <c r="P1301" s="162">
        <f>+EJECUTADO[[#This Row],[MONTO SOLICITADO]]-EJECUTADO[[#This Row],[RETENCION IVA]]-EJECUTADO[[#This Row],[RETENCION ISR]]</f>
        <v>114.29</v>
      </c>
      <c r="Q1301" s="84" t="s">
        <v>1971</v>
      </c>
      <c r="R1301" s="84" t="s">
        <v>2111</v>
      </c>
      <c r="T1301" s="168" t="str">
        <f t="shared" si="49"/>
        <v>DONACIONES - Asociacion Padre Vito Guarato $ 114.00 x 12 Disponible $796.55 Solicitado $114.29 PRESUPUESTO: SI</v>
      </c>
    </row>
    <row r="1302" spans="1:20" ht="105" x14ac:dyDescent="0.25">
      <c r="A1302" s="6">
        <f t="shared" si="50"/>
        <v>1182</v>
      </c>
      <c r="B1302" s="21">
        <v>45388</v>
      </c>
      <c r="C1302" s="126" t="s">
        <v>2193</v>
      </c>
      <c r="D1302" s="65" t="s">
        <v>2948</v>
      </c>
      <c r="E1302" s="65" t="s">
        <v>2949</v>
      </c>
      <c r="F1302" t="s">
        <v>1126</v>
      </c>
      <c r="G1302" s="161">
        <f>MONTH(EJECUTADO[[#This Row],[FECHA]])</f>
        <v>4</v>
      </c>
      <c r="H1302" s="163" t="str">
        <f>MID(EJECUTADO[[#This Row],[CUENTA]],1,4)</f>
        <v>E-15</v>
      </c>
      <c r="I1302" s="163" t="str">
        <f>INDEX(CATALOGO[Descripción],MATCH(EJECUTADO[[#This Row],[APLICACIÓN]]&amp;"-00-00-00",CATALOGO[Código],0))</f>
        <v>ALQUILERES</v>
      </c>
      <c r="J13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Alquiler de edificio Thomas Jefferson</v>
      </c>
      <c r="K1302" s="161" t="str">
        <f>IF((EJECUTADO[[#This Row],[MONTO DISPONIBLE ]]-EJECUTADO[[#This Row],[MONTO SOLICITADO]])&gt;=0,"PRESUPUESTO: SI","PRESUPUESTO: NO")</f>
        <v>PRESUPUESTO: SI</v>
      </c>
      <c r="L1302" s="162">
        <f>SUMIF(PRESUPUESTO[CUENTA],EJECUTADO[[#This Row],[CUENTA]],PRESUPUESTO[MONTO])-SUMIF($F$1:F1301,EJECUTADO[[#This Row],[CUENTA]],$M$1:M1301)</f>
        <v>38700</v>
      </c>
      <c r="M1302" s="2">
        <v>1100</v>
      </c>
      <c r="N1302" s="84">
        <f>973.45*0.01</f>
        <v>9.7345000000000006</v>
      </c>
      <c r="O1302" s="84">
        <f>973.45*10%</f>
        <v>97.345000000000013</v>
      </c>
      <c r="P1302" s="162">
        <f>+EJECUTADO[[#This Row],[MONTO SOLICITADO]]-EJECUTADO[[#This Row],[RETENCION IVA]]-EJECUTADO[[#This Row],[RETENCION ISR]]</f>
        <v>992.92049999999995</v>
      </c>
      <c r="Q1302" s="84" t="s">
        <v>1971</v>
      </c>
      <c r="R1302" s="84" t="s">
        <v>2111</v>
      </c>
      <c r="T1302" s="168" t="str">
        <f t="shared" si="49"/>
        <v>ALQUILERES - Alquiler de edificio Thomas Jefferson Disponible $38700 Solicitado $1100 PRESUPUESTO: SI</v>
      </c>
    </row>
    <row r="1303" spans="1:20" ht="105" x14ac:dyDescent="0.25">
      <c r="A1303" s="6">
        <f t="shared" si="50"/>
        <v>1183</v>
      </c>
      <c r="B1303" s="21">
        <v>45388</v>
      </c>
      <c r="C1303" s="126" t="s">
        <v>2950</v>
      </c>
      <c r="D1303" s="65" t="s">
        <v>2951</v>
      </c>
      <c r="E1303" s="65" t="s">
        <v>2952</v>
      </c>
      <c r="F1303" t="s">
        <v>1232</v>
      </c>
      <c r="G1303" s="161">
        <f>MONTH(EJECUTADO[[#This Row],[FECHA]])</f>
        <v>4</v>
      </c>
      <c r="H1303" s="163" t="str">
        <f>MID(EJECUTADO[[#This Row],[CUENTA]],1,4)</f>
        <v>E-11</v>
      </c>
      <c r="I1303" s="163" t="str">
        <f>INDEX(CATALOGO[Descripción],MATCH(EJECUTADO[[#This Row],[APLICACIÓN]]&amp;"-00-00-00",CATALOGO[Código],0))</f>
        <v>INVESTIGACIONES</v>
      </c>
      <c r="J130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INSUMOS DE OFICINA</v>
      </c>
      <c r="K1303" s="161" t="str">
        <f>IF((EJECUTADO[[#This Row],[MONTO DISPONIBLE ]]-EJECUTADO[[#This Row],[MONTO SOLICITADO]])&gt;=0,"PRESUPUESTO: SI","PRESUPUESTO: NO")</f>
        <v>PRESUPUESTO: SI</v>
      </c>
      <c r="L1303" s="162">
        <f>SUMIF(PRESUPUESTO[CUENTA],EJECUTADO[[#This Row],[CUENTA]],PRESUPUESTO[MONTO])-SUMIF($F$1:F1302,EJECUTADO[[#This Row],[CUENTA]],$M$1:M1302)</f>
        <v>3599</v>
      </c>
      <c r="M1303" s="2">
        <v>500</v>
      </c>
      <c r="N1303" s="2">
        <f t="shared" ref="N1303:N1314" si="55">M1303/1.13*(0.01)</f>
        <v>4.4247787610619476</v>
      </c>
      <c r="O1303" s="84"/>
      <c r="P1303" s="162">
        <f>+EJECUTADO[[#This Row],[MONTO SOLICITADO]]-EJECUTADO[[#This Row],[RETENCION IVA]]-EJECUTADO[[#This Row],[RETENCION ISR]]</f>
        <v>495.57522123893807</v>
      </c>
      <c r="Q1303" s="84" t="s">
        <v>1971</v>
      </c>
      <c r="R1303" s="84" t="s">
        <v>2111</v>
      </c>
      <c r="T1303" s="168" t="str">
        <f t="shared" si="49"/>
        <v>INVESTIGACIONES - INSUMOS DE OFICINA Disponible $3599 Solicitado $500 PRESUPUESTO: SI</v>
      </c>
    </row>
    <row r="1304" spans="1:20" ht="105" x14ac:dyDescent="0.25">
      <c r="A1304" s="6" t="s">
        <v>2953</v>
      </c>
      <c r="B1304" s="21">
        <v>45388</v>
      </c>
      <c r="C1304" s="126" t="s">
        <v>2950</v>
      </c>
      <c r="D1304" s="65" t="s">
        <v>2951</v>
      </c>
      <c r="E1304" s="65" t="s">
        <v>2952</v>
      </c>
      <c r="F1304" t="s">
        <v>1546</v>
      </c>
      <c r="G1304" s="161">
        <f>MONTH(EJECUTADO[[#This Row],[FECHA]])</f>
        <v>4</v>
      </c>
      <c r="H1304" s="163" t="str">
        <f>MID(EJECUTADO[[#This Row],[CUENTA]],1,4)</f>
        <v>E-12</v>
      </c>
      <c r="I1304" s="163" t="str">
        <f>INDEX(CATALOGO[Descripción],MATCH(EJECUTADO[[#This Row],[APLICACIÓN]]&amp;"-00-00-00",CATALOGO[Código],0))</f>
        <v>PROYECCION SOCIAL</v>
      </c>
      <c r="J130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Impresiones$ 500 X 12</v>
      </c>
      <c r="K1304" s="161" t="str">
        <f>IF((EJECUTADO[[#This Row],[MONTO DISPONIBLE ]]-EJECUTADO[[#This Row],[MONTO SOLICITADO]])&gt;=0,"PRESUPUESTO: SI","PRESUPUESTO: NO")</f>
        <v>PRESUPUESTO: SI</v>
      </c>
      <c r="L1304" s="162">
        <f>SUMIF(PRESUPUESTO[CUENTA],EJECUTADO[[#This Row],[CUENTA]],PRESUPUESTO[MONTO])-SUMIF($F$1:F1303,EJECUTADO[[#This Row],[CUENTA]],$M$1:M1303)</f>
        <v>4000</v>
      </c>
      <c r="M1304" s="2">
        <v>500</v>
      </c>
      <c r="N1304" s="2">
        <f t="shared" si="55"/>
        <v>4.4247787610619476</v>
      </c>
      <c r="O1304" s="84"/>
      <c r="P1304" s="162">
        <f>+EJECUTADO[[#This Row],[MONTO SOLICITADO]]-EJECUTADO[[#This Row],[RETENCION IVA]]-EJECUTADO[[#This Row],[RETENCION ISR]]</f>
        <v>495.57522123893807</v>
      </c>
      <c r="Q1304" s="84" t="s">
        <v>1971</v>
      </c>
      <c r="R1304" s="84" t="s">
        <v>2111</v>
      </c>
      <c r="T1304" s="168" t="str">
        <f t="shared" ref="T1304:T1314" si="56">_xlfn.CONCAT(I1304," - ",J1304," Disponible $",L1304," Solicitado $",M1304," ",K1304,)</f>
        <v>PROYECCION SOCIAL - Impresiones$ 500 X 12 Disponible $4000 Solicitado $500 PRESUPUESTO: SI</v>
      </c>
    </row>
    <row r="1305" spans="1:20" ht="105" x14ac:dyDescent="0.25">
      <c r="A1305" s="6" t="s">
        <v>2954</v>
      </c>
      <c r="B1305" s="21">
        <v>45388</v>
      </c>
      <c r="C1305" s="126" t="s">
        <v>2950</v>
      </c>
      <c r="D1305" s="65" t="s">
        <v>2951</v>
      </c>
      <c r="E1305" s="65" t="s">
        <v>2952</v>
      </c>
      <c r="F1305" t="s">
        <v>1234</v>
      </c>
      <c r="G1305" s="161">
        <f>MONTH(EJECUTADO[[#This Row],[FECHA]])</f>
        <v>4</v>
      </c>
      <c r="H1305" s="163" t="str">
        <f>MID(EJECUTADO[[#This Row],[CUENTA]],1,4)</f>
        <v>E-13</v>
      </c>
      <c r="I1305" s="163" t="str">
        <f>INDEX(CATALOGO[Descripción],MATCH(EJECUTADO[[#This Row],[APLICACIÓN]]&amp;"-00-00-00",CATALOGO[Código],0))</f>
        <v>MAESTRIAS Y POSTGRADOS</v>
      </c>
      <c r="J130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Impresiones$ 2400.00 X 12</v>
      </c>
      <c r="K1305" s="161" t="str">
        <f>IF((EJECUTADO[[#This Row],[MONTO DISPONIBLE ]]-EJECUTADO[[#This Row],[MONTO SOLICITADO]])&gt;=0,"PRESUPUESTO: SI","PRESUPUESTO: NO")</f>
        <v>PRESUPUESTO: SI</v>
      </c>
      <c r="L1305" s="162">
        <f>SUMIF(PRESUPUESTO[CUENTA],EJECUTADO[[#This Row],[CUENTA]],PRESUPUESTO[MONTO])-SUMIF($F$1:F1304,EJECUTADO[[#This Row],[CUENTA]],$M$1:M1304)</f>
        <v>21600</v>
      </c>
      <c r="M1305" s="2">
        <v>2400</v>
      </c>
      <c r="N1305" s="2">
        <f t="shared" si="55"/>
        <v>21.238938053097346</v>
      </c>
      <c r="O1305" s="84"/>
      <c r="P1305" s="162">
        <f>+EJECUTADO[[#This Row],[MONTO SOLICITADO]]-EJECUTADO[[#This Row],[RETENCION IVA]]-EJECUTADO[[#This Row],[RETENCION ISR]]</f>
        <v>2378.7610619469028</v>
      </c>
      <c r="Q1305" s="84" t="s">
        <v>1971</v>
      </c>
      <c r="R1305" s="84" t="s">
        <v>2111</v>
      </c>
      <c r="T1305" s="168" t="str">
        <f t="shared" si="56"/>
        <v>MAESTRIAS Y POSTGRADOS - Impresiones$ 2400.00 X 12 Disponible $21600 Solicitado $2400 PRESUPUESTO: SI</v>
      </c>
    </row>
    <row r="1306" spans="1:20" ht="105" x14ac:dyDescent="0.25">
      <c r="A1306" s="6" t="s">
        <v>2955</v>
      </c>
      <c r="B1306" s="21">
        <v>45388</v>
      </c>
      <c r="C1306" s="126" t="s">
        <v>2950</v>
      </c>
      <c r="D1306" s="65" t="s">
        <v>2951</v>
      </c>
      <c r="E1306" s="65" t="s">
        <v>2952</v>
      </c>
      <c r="F1306" t="s">
        <v>1235</v>
      </c>
      <c r="G1306" s="161">
        <f>MONTH(EJECUTADO[[#This Row],[FECHA]])</f>
        <v>4</v>
      </c>
      <c r="H1306" s="163" t="str">
        <f>MID(EJECUTADO[[#This Row],[CUENTA]],1,4)</f>
        <v>E-14</v>
      </c>
      <c r="I1306" s="163" t="str">
        <f>INDEX(CATALOGO[Descripción],MATCH(EJECUTADO[[#This Row],[APLICACIÓN]]&amp;"-00-00-00",CATALOGO[Código],0))</f>
        <v>MATERIAL DIDÁCTICO</v>
      </c>
      <c r="J13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PAPELERIA Y UTILES - FACULTAD DE CIENCIAS EMPRESARIALES  </v>
      </c>
      <c r="K1306" s="161" t="str">
        <f>IF((EJECUTADO[[#This Row],[MONTO DISPONIBLE ]]-EJECUTADO[[#This Row],[MONTO SOLICITADO]])&gt;=0,"PRESUPUESTO: SI","PRESUPUESTO: NO")</f>
        <v>PRESUPUESTO: SI</v>
      </c>
      <c r="L1306" s="162">
        <f>SUMIF(PRESUPUESTO[CUENTA],EJECUTADO[[#This Row],[CUENTA]],PRESUPUESTO[MONTO])-SUMIF($F$1:F1305,EJECUTADO[[#This Row],[CUENTA]],$M$1:M1305)</f>
        <v>31571.919999999998</v>
      </c>
      <c r="M1306" s="2">
        <v>3300</v>
      </c>
      <c r="N1306" s="2">
        <f t="shared" si="55"/>
        <v>29.20353982300885</v>
      </c>
      <c r="O1306" s="84"/>
      <c r="P1306" s="162">
        <f>+EJECUTADO[[#This Row],[MONTO SOLICITADO]]-EJECUTADO[[#This Row],[RETENCION IVA]]-EJECUTADO[[#This Row],[RETENCION ISR]]</f>
        <v>3270.7964601769913</v>
      </c>
      <c r="Q1306" s="84" t="s">
        <v>1971</v>
      </c>
      <c r="R1306" s="84" t="s">
        <v>2111</v>
      </c>
      <c r="T1306" s="168" t="str">
        <f t="shared" si="56"/>
        <v>MATERIAL DIDÁCTICO - PAPELERIA Y UTILES - FACULTAD DE CIENCIAS EMPRESARIALES   Disponible $31571.92 Solicitado $3300 PRESUPUESTO: SI</v>
      </c>
    </row>
    <row r="1307" spans="1:20" ht="105" x14ac:dyDescent="0.25">
      <c r="A1307" s="6" t="s">
        <v>2956</v>
      </c>
      <c r="B1307" s="21">
        <v>45388</v>
      </c>
      <c r="C1307" s="126" t="s">
        <v>2950</v>
      </c>
      <c r="D1307" s="65" t="s">
        <v>2951</v>
      </c>
      <c r="E1307" s="65" t="s">
        <v>2952</v>
      </c>
      <c r="F1307" t="s">
        <v>1236</v>
      </c>
      <c r="G1307" s="161">
        <f>MONTH(EJECUTADO[[#This Row],[FECHA]])</f>
        <v>4</v>
      </c>
      <c r="H1307" s="163" t="str">
        <f>MID(EJECUTADO[[#This Row],[CUENTA]],1,4)</f>
        <v>E-14</v>
      </c>
      <c r="I1307" s="163" t="str">
        <f>INDEX(CATALOGO[Descripción],MATCH(EJECUTADO[[#This Row],[APLICACIÓN]]&amp;"-00-00-00",CATALOGO[Código],0))</f>
        <v>MATERIAL DIDÁCTICO</v>
      </c>
      <c r="J13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INFORMATICA Y CC APLICADAS</v>
      </c>
      <c r="K1307" s="161" t="str">
        <f>IF((EJECUTADO[[#This Row],[MONTO DISPONIBLE ]]-EJECUTADO[[#This Row],[MONTO SOLICITADO]])&gt;=0,"PRESUPUESTO: SI","PRESUPUESTO: NO")</f>
        <v>PRESUPUESTO: SI</v>
      </c>
      <c r="L1307" s="162">
        <f>SUMIF(PRESUPUESTO[CUENTA],EJECUTADO[[#This Row],[CUENTA]],PRESUPUESTO[MONTO])-SUMIF($F$1:F1306,EJECUTADO[[#This Row],[CUENTA]],$M$1:M1306)</f>
        <v>67200</v>
      </c>
      <c r="M1307" s="2">
        <v>7300</v>
      </c>
      <c r="N1307" s="2">
        <f t="shared" si="55"/>
        <v>64.601769911504434</v>
      </c>
      <c r="O1307" s="84"/>
      <c r="P1307" s="162">
        <f>+EJECUTADO[[#This Row],[MONTO SOLICITADO]]-EJECUTADO[[#This Row],[RETENCION IVA]]-EJECUTADO[[#This Row],[RETENCION ISR]]</f>
        <v>7235.3982300884954</v>
      </c>
      <c r="Q1307" s="84" t="s">
        <v>1971</v>
      </c>
      <c r="R1307" s="84" t="s">
        <v>2111</v>
      </c>
      <c r="T1307" s="168" t="str">
        <f t="shared" si="56"/>
        <v>MATERIAL DIDÁCTICO - PAPELERIA Y UTILES - FACULTAD DE INFORMATICA Y CC APLICADAS Disponible $67200 Solicitado $7300 PRESUPUESTO: SI</v>
      </c>
    </row>
    <row r="1308" spans="1:20" ht="105" x14ac:dyDescent="0.25">
      <c r="A1308" s="6" t="s">
        <v>2957</v>
      </c>
      <c r="B1308" s="21">
        <v>45388</v>
      </c>
      <c r="C1308" s="126" t="s">
        <v>2950</v>
      </c>
      <c r="D1308" s="65" t="s">
        <v>2951</v>
      </c>
      <c r="E1308" s="65" t="s">
        <v>2952</v>
      </c>
      <c r="F1308" t="s">
        <v>1237</v>
      </c>
      <c r="G1308" s="161">
        <f>MONTH(EJECUTADO[[#This Row],[FECHA]])</f>
        <v>4</v>
      </c>
      <c r="H1308" s="163" t="str">
        <f>MID(EJECUTADO[[#This Row],[CUENTA]],1,4)</f>
        <v>E-14</v>
      </c>
      <c r="I1308" s="163" t="str">
        <f>INDEX(CATALOGO[Descripción],MATCH(EJECUTADO[[#This Row],[APLICACIÓN]]&amp;"-00-00-00",CATALOGO[Código],0))</f>
        <v>MATERIAL DIDÁCTICO</v>
      </c>
      <c r="J13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SOCIALES</v>
      </c>
      <c r="K1308" s="161" t="str">
        <f>IF((EJECUTADO[[#This Row],[MONTO DISPONIBLE ]]-EJECUTADO[[#This Row],[MONTO SOLICITADO]])&gt;=0,"PRESUPUESTO: SI","PRESUPUESTO: NO")</f>
        <v>PRESUPUESTO: SI</v>
      </c>
      <c r="L1308" s="162">
        <f>SUMIF(PRESUPUESTO[CUENTA],EJECUTADO[[#This Row],[CUENTA]],PRESUPUESTO[MONTO])-SUMIF($F$1:F1307,EJECUTADO[[#This Row],[CUENTA]],$M$1:M1307)</f>
        <v>53400</v>
      </c>
      <c r="M1308" s="2">
        <v>5800</v>
      </c>
      <c r="N1308" s="2">
        <f t="shared" si="55"/>
        <v>51.327433628318587</v>
      </c>
      <c r="O1308" s="84"/>
      <c r="P1308" s="162">
        <f>+EJECUTADO[[#This Row],[MONTO SOLICITADO]]-EJECUTADO[[#This Row],[RETENCION IVA]]-EJECUTADO[[#This Row],[RETENCION ISR]]</f>
        <v>5748.6725663716816</v>
      </c>
      <c r="Q1308" s="84" t="s">
        <v>1971</v>
      </c>
      <c r="R1308" s="84" t="s">
        <v>2111</v>
      </c>
      <c r="T1308" s="168" t="str">
        <f t="shared" si="56"/>
        <v>MATERIAL DIDÁCTICO - PAPELERIA Y UTILES - FACULTAD DE CIENCIAS SOCIALES Disponible $53400 Solicitado $5800 PRESUPUESTO: SI</v>
      </c>
    </row>
    <row r="1309" spans="1:20" ht="105" x14ac:dyDescent="0.25">
      <c r="A1309" s="6" t="s">
        <v>2958</v>
      </c>
      <c r="B1309" s="21">
        <v>45388</v>
      </c>
      <c r="C1309" s="126" t="s">
        <v>2950</v>
      </c>
      <c r="D1309" s="65" t="s">
        <v>2951</v>
      </c>
      <c r="E1309" s="65" t="s">
        <v>2952</v>
      </c>
      <c r="F1309" t="s">
        <v>1238</v>
      </c>
      <c r="G1309" s="161">
        <f>MONTH(EJECUTADO[[#This Row],[FECHA]])</f>
        <v>4</v>
      </c>
      <c r="H1309" s="163" t="str">
        <f>MID(EJECUTADO[[#This Row],[CUENTA]],1,4)</f>
        <v>E-14</v>
      </c>
      <c r="I1309" s="163" t="str">
        <f>INDEX(CATALOGO[Descripción],MATCH(EJECUTADO[[#This Row],[APLICACIÓN]]&amp;"-00-00-00",CATALOGO[Código],0))</f>
        <v>MATERIAL DIDÁCTICO</v>
      </c>
      <c r="J13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FACULTAD DE CIENCIAS JURIDICAS</v>
      </c>
      <c r="K1309" s="161" t="str">
        <f>IF((EJECUTADO[[#This Row],[MONTO DISPONIBLE ]]-EJECUTADO[[#This Row],[MONTO SOLICITADO]])&gt;=0,"PRESUPUESTO: SI","PRESUPUESTO: NO")</f>
        <v>PRESUPUESTO: SI</v>
      </c>
      <c r="L1309" s="162">
        <f>SUMIF(PRESUPUESTO[CUENTA],EJECUTADO[[#This Row],[CUENTA]],PRESUPUESTO[MONTO])-SUMIF($F$1:F1308,EJECUTADO[[#This Row],[CUENTA]],$M$1:M1308)</f>
        <v>17650</v>
      </c>
      <c r="M1309" s="2">
        <v>1900</v>
      </c>
      <c r="N1309" s="2">
        <f t="shared" si="55"/>
        <v>16.814159292035399</v>
      </c>
      <c r="O1309" s="84"/>
      <c r="P1309" s="162">
        <f>+EJECUTADO[[#This Row],[MONTO SOLICITADO]]-EJECUTADO[[#This Row],[RETENCION IVA]]-EJECUTADO[[#This Row],[RETENCION ISR]]</f>
        <v>1883.1858407079646</v>
      </c>
      <c r="Q1309" s="84" t="s">
        <v>1971</v>
      </c>
      <c r="R1309" s="84" t="s">
        <v>2111</v>
      </c>
      <c r="T1309" s="168" t="str">
        <f t="shared" si="56"/>
        <v>MATERIAL DIDÁCTICO - PAPELERIA Y UTILES - FACULTAD DE CIENCIAS JURIDICAS Disponible $17650 Solicitado $1900 PRESUPUESTO: SI</v>
      </c>
    </row>
    <row r="1310" spans="1:20" ht="105" x14ac:dyDescent="0.25">
      <c r="A1310" s="6" t="s">
        <v>2959</v>
      </c>
      <c r="B1310" s="21">
        <v>45388</v>
      </c>
      <c r="C1310" s="126" t="s">
        <v>2950</v>
      </c>
      <c r="D1310" s="65" t="s">
        <v>2951</v>
      </c>
      <c r="E1310" s="65" t="s">
        <v>2952</v>
      </c>
      <c r="F1310" t="s">
        <v>1239</v>
      </c>
      <c r="G1310" s="161">
        <f>MONTH(EJECUTADO[[#This Row],[FECHA]])</f>
        <v>4</v>
      </c>
      <c r="H1310" s="163" t="str">
        <f>MID(EJECUTADO[[#This Row],[CUENTA]],1,4)</f>
        <v>E-14</v>
      </c>
      <c r="I1310" s="163" t="str">
        <f>INDEX(CATALOGO[Descripción],MATCH(EJECUTADO[[#This Row],[APLICACIÓN]]&amp;"-00-00-00",CATALOGO[Código],0))</f>
        <v>MATERIAL DIDÁCTICO</v>
      </c>
      <c r="J13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PAPELERIA Y UTILES - OTRAS UNIDADES ACADEMICAS</v>
      </c>
      <c r="K1310" s="161" t="str">
        <f>IF((EJECUTADO[[#This Row],[MONTO DISPONIBLE ]]-EJECUTADO[[#This Row],[MONTO SOLICITADO]])&gt;=0,"PRESUPUESTO: SI","PRESUPUESTO: NO")</f>
        <v>PRESUPUESTO: SI</v>
      </c>
      <c r="L1310" s="162">
        <f>SUMIF(PRESUPUESTO[CUENTA],EJECUTADO[[#This Row],[CUENTA]],PRESUPUESTO[MONTO])-SUMIF($F$1:F1309,EJECUTADO[[#This Row],[CUENTA]],$M$1:M1309)</f>
        <v>64800</v>
      </c>
      <c r="M1310" s="2">
        <v>7200</v>
      </c>
      <c r="N1310" s="2">
        <f t="shared" si="55"/>
        <v>63.716814159292042</v>
      </c>
      <c r="O1310" s="84"/>
      <c r="P1310" s="162">
        <f>+EJECUTADO[[#This Row],[MONTO SOLICITADO]]-EJECUTADO[[#This Row],[RETENCION IVA]]-EJECUTADO[[#This Row],[RETENCION ISR]]</f>
        <v>7136.283185840708</v>
      </c>
      <c r="Q1310" s="84" t="s">
        <v>1971</v>
      </c>
      <c r="R1310" s="84" t="s">
        <v>2111</v>
      </c>
      <c r="T1310" s="168" t="str">
        <f t="shared" si="56"/>
        <v>MATERIAL DIDÁCTICO - PAPELERIA Y UTILES - OTRAS UNIDADES ACADEMICAS Disponible $64800 Solicitado $7200 PRESUPUESTO: SI</v>
      </c>
    </row>
    <row r="1311" spans="1:20" ht="105" x14ac:dyDescent="0.25">
      <c r="A1311" s="6" t="s">
        <v>2960</v>
      </c>
      <c r="B1311" s="21">
        <v>45388</v>
      </c>
      <c r="C1311" s="126" t="s">
        <v>2950</v>
      </c>
      <c r="D1311" s="65" t="s">
        <v>2951</v>
      </c>
      <c r="E1311" s="65" t="s">
        <v>2952</v>
      </c>
      <c r="F1311" t="s">
        <v>1547</v>
      </c>
      <c r="G1311" s="161">
        <f>MONTH(EJECUTADO[[#This Row],[FECHA]])</f>
        <v>4</v>
      </c>
      <c r="H1311" s="163" t="str">
        <f>MID(EJECUTADO[[#This Row],[CUENTA]],1,4)</f>
        <v>E-16</v>
      </c>
      <c r="I1311" s="163" t="str">
        <f>INDEX(CATALOGO[Descripción],MATCH(EJECUTADO[[#This Row],[APLICACIÓN]]&amp;"-00-00-00",CATALOGO[Código],0))</f>
        <v xml:space="preserve">PRE-ESPECIALIDAD </v>
      </c>
      <c r="J13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Impresiones$ 900.00.00 x 12</v>
      </c>
      <c r="K1311" s="161" t="str">
        <f>IF((EJECUTADO[[#This Row],[MONTO DISPONIBLE ]]-EJECUTADO[[#This Row],[MONTO SOLICITADO]])&gt;=0,"PRESUPUESTO: SI","PRESUPUESTO: NO")</f>
        <v>PRESUPUESTO: SI</v>
      </c>
      <c r="L1311" s="162">
        <f>SUMIF(PRESUPUESTO[CUENTA],EJECUTADO[[#This Row],[CUENTA]],PRESUPUESTO[MONTO])-SUMIF($F$1:F1310,EJECUTADO[[#This Row],[CUENTA]],$M$1:M1310)</f>
        <v>9000</v>
      </c>
      <c r="M1311" s="2">
        <v>900</v>
      </c>
      <c r="N1311" s="2">
        <f t="shared" si="55"/>
        <v>7.9646017699115053</v>
      </c>
      <c r="O1311" s="84"/>
      <c r="P1311" s="162">
        <f>+EJECUTADO[[#This Row],[MONTO SOLICITADO]]-EJECUTADO[[#This Row],[RETENCION IVA]]-EJECUTADO[[#This Row],[RETENCION ISR]]</f>
        <v>892.0353982300885</v>
      </c>
      <c r="Q1311" s="84" t="s">
        <v>1971</v>
      </c>
      <c r="R1311" s="84" t="s">
        <v>2111</v>
      </c>
      <c r="T1311" s="168" t="str">
        <f t="shared" si="56"/>
        <v>PRE-ESPECIALIDAD  - Impresiones$ 900.00.00 x 12 Disponible $9000 Solicitado $900 PRESUPUESTO: SI</v>
      </c>
    </row>
    <row r="1312" spans="1:20" ht="105" x14ac:dyDescent="0.25">
      <c r="A1312" s="6" t="s">
        <v>2961</v>
      </c>
      <c r="B1312" s="21">
        <v>45388</v>
      </c>
      <c r="C1312" s="126" t="s">
        <v>2950</v>
      </c>
      <c r="D1312" s="65" t="s">
        <v>2951</v>
      </c>
      <c r="E1312" s="65" t="s">
        <v>2952</v>
      </c>
      <c r="F1312" t="s">
        <v>1241</v>
      </c>
      <c r="G1312" s="161">
        <f>MONTH(EJECUTADO[[#This Row],[FECHA]])</f>
        <v>4</v>
      </c>
      <c r="H1312" s="163" t="str">
        <f>MID(EJECUTADO[[#This Row],[CUENTA]],1,4)</f>
        <v>E-21</v>
      </c>
      <c r="I1312" s="163" t="str">
        <f>INDEX(CATALOGO[Descripción],MATCH(EJECUTADO[[#This Row],[APLICACIÓN]]&amp;"-00-00-00",CATALOGO[Código],0))</f>
        <v>CENTRO DE FORMACION PROFESIONAL y EXT U</v>
      </c>
      <c r="J13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Impresiones$ 1500.00 x 12</v>
      </c>
      <c r="K1312" s="161" t="str">
        <f>IF((EJECUTADO[[#This Row],[MONTO DISPONIBLE ]]-EJECUTADO[[#This Row],[MONTO SOLICITADO]])&gt;=0,"PRESUPUESTO: SI","PRESUPUESTO: NO")</f>
        <v>PRESUPUESTO: SI</v>
      </c>
      <c r="L1312" s="162">
        <f>SUMIF(PRESUPUESTO[CUENTA],EJECUTADO[[#This Row],[CUENTA]],PRESUPUESTO[MONTO])-SUMIF($F$1:F1311,EJECUTADO[[#This Row],[CUENTA]],$M$1:M1311)</f>
        <v>15000</v>
      </c>
      <c r="M1312" s="2">
        <v>1500</v>
      </c>
      <c r="N1312" s="2">
        <f t="shared" si="55"/>
        <v>13.274336283185843</v>
      </c>
      <c r="O1312" s="84"/>
      <c r="P1312" s="162">
        <f>+EJECUTADO[[#This Row],[MONTO SOLICITADO]]-EJECUTADO[[#This Row],[RETENCION IVA]]-EJECUTADO[[#This Row],[RETENCION ISR]]</f>
        <v>1486.7256637168141</v>
      </c>
      <c r="Q1312" s="84" t="s">
        <v>1971</v>
      </c>
      <c r="R1312" s="84" t="s">
        <v>2111</v>
      </c>
      <c r="T1312" s="168" t="str">
        <f t="shared" si="56"/>
        <v>CENTRO DE FORMACION PROFESIONAL y EXT U - Impresiones$ 1500.00 x 12 Disponible $15000 Solicitado $1500 PRESUPUESTO: SI</v>
      </c>
    </row>
    <row r="1313" spans="1:20" ht="105" x14ac:dyDescent="0.25">
      <c r="A1313" s="6" t="s">
        <v>2962</v>
      </c>
      <c r="B1313" s="21">
        <v>45388</v>
      </c>
      <c r="C1313" s="126" t="s">
        <v>2950</v>
      </c>
      <c r="D1313" s="65" t="s">
        <v>2951</v>
      </c>
      <c r="E1313" s="65" t="s">
        <v>2952</v>
      </c>
      <c r="F1313" t="s">
        <v>1115</v>
      </c>
      <c r="G1313" s="161">
        <f>MONTH(EJECUTADO[[#This Row],[FECHA]])</f>
        <v>4</v>
      </c>
      <c r="H1313" s="163" t="str">
        <f>MID(EJECUTADO[[#This Row],[CUENTA]],1,4)</f>
        <v>E-24</v>
      </c>
      <c r="I1313" s="163" t="str">
        <f>INDEX(CATALOGO[Descripción],MATCH(EJECUTADO[[#This Row],[APLICACIÓN]]&amp;"-00-00-00",CATALOGO[Código],0))</f>
        <v>NUEVO INGRESO</v>
      </c>
      <c r="J131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Fotocopiadoras totales  $ 2,900.00 x 12</v>
      </c>
      <c r="K1313" s="161" t="str">
        <f>IF((EJECUTADO[[#This Row],[MONTO DISPONIBLE ]]-EJECUTADO[[#This Row],[MONTO SOLICITADO]])&gt;=0,"PRESUPUESTO: SI","PRESUPUESTO: NO")</f>
        <v>PRESUPUESTO: SI</v>
      </c>
      <c r="L1313" s="162">
        <f>SUMIF(PRESUPUESTO[CUENTA],EJECUTADO[[#This Row],[CUENTA]],PRESUPUESTO[MONTO])-SUMIF($F$1:F1312,EJECUTADO[[#This Row],[CUENTA]],$M$1:M1312)</f>
        <v>26091.059999999998</v>
      </c>
      <c r="M1313" s="2">
        <v>2900</v>
      </c>
      <c r="N1313" s="2">
        <f t="shared" si="55"/>
        <v>25.663716814159294</v>
      </c>
      <c r="O1313" s="84"/>
      <c r="P1313" s="162">
        <f>+EJECUTADO[[#This Row],[MONTO SOLICITADO]]-EJECUTADO[[#This Row],[RETENCION IVA]]-EJECUTADO[[#This Row],[RETENCION ISR]]</f>
        <v>2874.3362831858408</v>
      </c>
      <c r="Q1313" s="84" t="s">
        <v>1971</v>
      </c>
      <c r="R1313" s="84" t="s">
        <v>2111</v>
      </c>
      <c r="T1313" s="168" t="str">
        <f t="shared" si="56"/>
        <v>NUEVO INGRESO - Fotocopiadoras totales  $ 2,900.00 x 12 Disponible $26091.06 Solicitado $2900 PRESUPUESTO: SI</v>
      </c>
    </row>
    <row r="1314" spans="1:20" ht="105" x14ac:dyDescent="0.25">
      <c r="A1314" s="6" t="s">
        <v>2963</v>
      </c>
      <c r="B1314" s="21">
        <v>45388</v>
      </c>
      <c r="C1314" s="126" t="s">
        <v>2950</v>
      </c>
      <c r="D1314" s="65" t="s">
        <v>2951</v>
      </c>
      <c r="E1314" s="65" t="s">
        <v>2952</v>
      </c>
      <c r="F1314" t="s">
        <v>1242</v>
      </c>
      <c r="G1314" s="161">
        <f>MONTH(EJECUTADO[[#This Row],[FECHA]])</f>
        <v>4</v>
      </c>
      <c r="H1314" s="163" t="str">
        <f>MID(EJECUTADO[[#This Row],[CUENTA]],1,4)</f>
        <v>E-24</v>
      </c>
      <c r="I1314" s="163" t="str">
        <f>INDEX(CATALOGO[Descripción],MATCH(EJECUTADO[[#This Row],[APLICACIÓN]]&amp;"-00-00-00",CATALOGO[Código],0))</f>
        <v>NUEVO INGRESO</v>
      </c>
      <c r="J131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Útiles de Escritorio y otros</v>
      </c>
      <c r="K1314" s="161" t="str">
        <f>IF((EJECUTADO[[#This Row],[MONTO DISPONIBLE ]]-EJECUTADO[[#This Row],[MONTO SOLICITADO]])&gt;=0,"PRESUPUESTO: SI","PRESUPUESTO: NO")</f>
        <v>PRESUPUESTO: SI</v>
      </c>
      <c r="L1314" s="162">
        <f>SUMIF(PRESUPUESTO[CUENTA],EJECUTADO[[#This Row],[CUENTA]],PRESUPUESTO[MONTO])-SUMIF($F$1:F1313,EJECUTADO[[#This Row],[CUENTA]],$M$1:M1313)</f>
        <v>1188.49</v>
      </c>
      <c r="M1314" s="2">
        <v>600</v>
      </c>
      <c r="N1314" s="2">
        <f t="shared" si="55"/>
        <v>5.3097345132743365</v>
      </c>
      <c r="O1314" s="84"/>
      <c r="P1314" s="162">
        <f>+EJECUTADO[[#This Row],[MONTO SOLICITADO]]-EJECUTADO[[#This Row],[RETENCION IVA]]-EJECUTADO[[#This Row],[RETENCION ISR]]</f>
        <v>594.69026548672571</v>
      </c>
      <c r="Q1314" s="84" t="s">
        <v>1971</v>
      </c>
      <c r="R1314" s="84" t="s">
        <v>2111</v>
      </c>
      <c r="T1314" s="168" t="str">
        <f t="shared" si="56"/>
        <v>NUEVO INGRESO - Metrocentro - Útiles de Escritorio y otros Disponible $1188.49 Solicitado $600 PRESUPUESTO: SI</v>
      </c>
    </row>
    <row r="1315" spans="1:20" ht="105" x14ac:dyDescent="0.25">
      <c r="A1315" s="6" t="s">
        <v>2964</v>
      </c>
      <c r="B1315" s="21">
        <v>45388</v>
      </c>
      <c r="C1315" s="126" t="s">
        <v>2950</v>
      </c>
      <c r="D1315" s="65" t="s">
        <v>2951</v>
      </c>
      <c r="E1315" s="65" t="s">
        <v>2952</v>
      </c>
      <c r="F1315" t="s">
        <v>1164</v>
      </c>
      <c r="G1315" s="161">
        <f>MONTH(EJECUTADO[[#This Row],[FECHA]])</f>
        <v>4</v>
      </c>
      <c r="H1315" s="163" t="str">
        <f>MID(EJECUTADO[[#This Row],[CUENTA]],1,4)</f>
        <v>E-24</v>
      </c>
      <c r="I1315" s="163" t="str">
        <f>INDEX(CATALOGO[Descripción],MATCH(EJECUTADO[[#This Row],[APLICACIÓN]]&amp;"-00-00-00",CATALOGO[Código],0))</f>
        <v>NUEVO INGRESO</v>
      </c>
      <c r="J131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1315" s="161" t="str">
        <f>IF((EJECUTADO[[#This Row],[MONTO DISPONIBLE ]]-EJECUTADO[[#This Row],[MONTO SOLICITADO]])&gt;=0,"PRESUPUESTO: SI","PRESUPUESTO: NO")</f>
        <v>PRESUPUESTO: SI</v>
      </c>
      <c r="L1315" s="162">
        <f>SUMIF(PRESUPUESTO[CUENTA],EJECUTADO[[#This Row],[CUENTA]],PRESUPUESTO[MONTO])-SUMIF($F$1:F1314,EJECUTADO[[#This Row],[CUENTA]],$M$1:M1314)</f>
        <v>1236.72</v>
      </c>
      <c r="M1315" s="2">
        <v>600</v>
      </c>
      <c r="N1315" s="2">
        <f>M1315/1.13*(0.01)</f>
        <v>5.3097345132743365</v>
      </c>
      <c r="O1315" s="84"/>
      <c r="P1315" s="162">
        <f>+EJECUTADO[[#This Row],[MONTO SOLICITADO]]-EJECUTADO[[#This Row],[RETENCION IVA]]-EJECUTADO[[#This Row],[RETENCION ISR]]</f>
        <v>594.69026548672571</v>
      </c>
      <c r="Q1315" s="84" t="s">
        <v>1971</v>
      </c>
      <c r="R1315" s="84" t="s">
        <v>2111</v>
      </c>
      <c r="T1315" s="168" t="str">
        <f t="shared" ref="T1315:T1319" si="57">_xlfn.CONCAT(I1315," - ",J1315," Disponible $",L1315," Solicitado $",M1315," ",K1315,)</f>
        <v>NUEVO INGRESO - Plaza Mundo - Promoción centro de atención Disponible $1236.72 Solicitado $600 PRESUPUESTO: SI</v>
      </c>
    </row>
    <row r="1316" spans="1:20" ht="105" x14ac:dyDescent="0.25">
      <c r="A1316" s="6" t="s">
        <v>2965</v>
      </c>
      <c r="B1316" s="21">
        <v>45388</v>
      </c>
      <c r="C1316" s="126" t="s">
        <v>2950</v>
      </c>
      <c r="D1316" s="65" t="s">
        <v>2951</v>
      </c>
      <c r="E1316" s="65" t="s">
        <v>2952</v>
      </c>
      <c r="F1316" t="s">
        <v>2026</v>
      </c>
      <c r="G1316" s="161">
        <f>MONTH(EJECUTADO[[#This Row],[FECHA]])</f>
        <v>4</v>
      </c>
      <c r="H1316" s="163" t="str">
        <f>MID(EJECUTADO[[#This Row],[CUENTA]],1,4)</f>
        <v>E-25</v>
      </c>
      <c r="I1316" s="163" t="str">
        <f>INDEX(CATALOGO[Descripción],MATCH(EJECUTADO[[#This Row],[APLICACIÓN]]&amp;"-00-00-00",CATALOGO[Código],0))</f>
        <v>DECANATO DE ESTUDIANTES</v>
      </c>
      <c r="J131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</v>
      </c>
      <c r="K1316" s="161" t="str">
        <f>IF((EJECUTADO[[#This Row],[MONTO DISPONIBLE ]]-EJECUTADO[[#This Row],[MONTO SOLICITADO]])&gt;=0,"PRESUPUESTO: SI","PRESUPUESTO: NO")</f>
        <v>PRESUPUESTO: SI</v>
      </c>
      <c r="L1316" s="162">
        <f>SUMIF(PRESUPUESTO[CUENTA],EJECUTADO[[#This Row],[CUENTA]],PRESUPUESTO[MONTO])-SUMIF($F$1:F1315,EJECUTADO[[#This Row],[CUENTA]],$M$1:M1315)</f>
        <v>5600</v>
      </c>
      <c r="M1316" s="2">
        <v>2400</v>
      </c>
      <c r="N1316" s="2">
        <f t="shared" ref="N1316:N1319" si="58">M1316/1.13*(0.01)</f>
        <v>21.238938053097346</v>
      </c>
      <c r="O1316" s="84"/>
      <c r="P1316" s="162">
        <f>+EJECUTADO[[#This Row],[MONTO SOLICITADO]]-EJECUTADO[[#This Row],[RETENCION IVA]]-EJECUTADO[[#This Row],[RETENCION ISR]]</f>
        <v>2378.7610619469028</v>
      </c>
      <c r="Q1316" s="84" t="s">
        <v>1971</v>
      </c>
      <c r="R1316" s="84" t="s">
        <v>2111</v>
      </c>
      <c r="T1316" s="168" t="str">
        <f t="shared" si="57"/>
        <v>DECANATO DE ESTUDIANTES - IMPRESIONES Disponible $5600 Solicitado $2400 PRESUPUESTO: SI</v>
      </c>
    </row>
    <row r="1317" spans="1:20" ht="105" x14ac:dyDescent="0.25">
      <c r="A1317" s="6" t="s">
        <v>2966</v>
      </c>
      <c r="B1317" s="21">
        <v>45388</v>
      </c>
      <c r="C1317" s="126" t="s">
        <v>2950</v>
      </c>
      <c r="D1317" s="65" t="s">
        <v>2951</v>
      </c>
      <c r="E1317" s="65" t="s">
        <v>2952</v>
      </c>
      <c r="F1317" t="s">
        <v>1245</v>
      </c>
      <c r="G1317" s="161">
        <f>MONTH(EJECUTADO[[#This Row],[FECHA]])</f>
        <v>4</v>
      </c>
      <c r="H1317" s="163" t="str">
        <f>MID(EJECUTADO[[#This Row],[CUENTA]],1,4)</f>
        <v>E-27</v>
      </c>
      <c r="I1317" s="163" t="str">
        <f>INDEX(CATALOGO[Descripción],MATCH(EJECUTADO[[#This Row],[APLICACIÓN]]&amp;"-00-00-00",CATALOGO[Código],0))</f>
        <v>INSUMOS DE OFICINA</v>
      </c>
      <c r="J131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ADMINISTRATIVAS</v>
      </c>
      <c r="K1317" s="161" t="str">
        <f>IF((EJECUTADO[[#This Row],[MONTO DISPONIBLE ]]-EJECUTADO[[#This Row],[MONTO SOLICITADO]])&gt;=0,"PRESUPUESTO: SI","PRESUPUESTO: NO")</f>
        <v>PRESUPUESTO: SI</v>
      </c>
      <c r="L1317" s="162">
        <f>SUMIF(PRESUPUESTO[CUENTA],EJECUTADO[[#This Row],[CUENTA]],PRESUPUESTO[MONTO])-SUMIF($F$1:F1316,EJECUTADO[[#This Row],[CUENTA]],$M$1:M1316)</f>
        <v>51020.36</v>
      </c>
      <c r="M1317" s="2">
        <v>5880</v>
      </c>
      <c r="N1317" s="2">
        <f t="shared" si="58"/>
        <v>52.035398230088504</v>
      </c>
      <c r="O1317" s="84"/>
      <c r="P1317" s="162">
        <f>+EJECUTADO[[#This Row],[MONTO SOLICITADO]]-EJECUTADO[[#This Row],[RETENCION IVA]]-EJECUTADO[[#This Row],[RETENCION ISR]]</f>
        <v>5827.9646017699115</v>
      </c>
      <c r="Q1317" s="84" t="s">
        <v>1971</v>
      </c>
      <c r="R1317" s="84" t="s">
        <v>2111</v>
      </c>
      <c r="T1317" s="168" t="str">
        <f t="shared" si="57"/>
        <v>INSUMOS DE OFICINA - IMPRESIONES ADMINISTRATIVAS Disponible $51020.36 Solicitado $5880 PRESUPUESTO: SI</v>
      </c>
    </row>
    <row r="1318" spans="1:20" ht="105" x14ac:dyDescent="0.25">
      <c r="A1318" s="6" t="s">
        <v>2967</v>
      </c>
      <c r="B1318" s="21">
        <v>45388</v>
      </c>
      <c r="C1318" s="126" t="s">
        <v>2950</v>
      </c>
      <c r="D1318" s="65" t="s">
        <v>2951</v>
      </c>
      <c r="E1318" s="65" t="s">
        <v>2952</v>
      </c>
      <c r="F1318" t="s">
        <v>1549</v>
      </c>
      <c r="G1318" s="161">
        <f>MONTH(EJECUTADO[[#This Row],[FECHA]])</f>
        <v>4</v>
      </c>
      <c r="H1318" s="163" t="str">
        <f>MID(EJECUTADO[[#This Row],[CUENTA]],1,4)</f>
        <v>E-29</v>
      </c>
      <c r="I1318" s="163" t="str">
        <f>INDEX(CATALOGO[Descripción],MATCH(EJECUTADO[[#This Row],[APLICACIÓN]]&amp;"-00-00-00",CATALOGO[Código],0))</f>
        <v xml:space="preserve">BIBLIOTECA </v>
      </c>
      <c r="J131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$ 1,020.00 x 12</v>
      </c>
      <c r="K1318" s="161" t="str">
        <f>IF((EJECUTADO[[#This Row],[MONTO DISPONIBLE ]]-EJECUTADO[[#This Row],[MONTO SOLICITADO]])&gt;=0,"PRESUPUESTO: SI","PRESUPUESTO: NO")</f>
        <v>PRESUPUESTO: SI</v>
      </c>
      <c r="L1318" s="162">
        <f>SUMIF(PRESUPUESTO[CUENTA],EJECUTADO[[#This Row],[CUENTA]],PRESUPUESTO[MONTO])-SUMIF($F$1:F1317,EJECUTADO[[#This Row],[CUENTA]],$M$1:M1317)</f>
        <v>10200</v>
      </c>
      <c r="M1318" s="2">
        <v>1020</v>
      </c>
      <c r="N1318" s="2">
        <f t="shared" si="58"/>
        <v>9.0265486725663724</v>
      </c>
      <c r="O1318" s="84"/>
      <c r="P1318" s="162">
        <f>+EJECUTADO[[#This Row],[MONTO SOLICITADO]]-EJECUTADO[[#This Row],[RETENCION IVA]]-EJECUTADO[[#This Row],[RETENCION ISR]]</f>
        <v>1010.9734513274336</v>
      </c>
      <c r="Q1318" s="84" t="s">
        <v>1971</v>
      </c>
      <c r="R1318" s="84" t="s">
        <v>2111</v>
      </c>
      <c r="T1318" s="168" t="str">
        <f t="shared" si="57"/>
        <v>BIBLIOTECA  - Impresiones $ 1,020.00 x 12 Disponible $10200 Solicitado $1020 PRESUPUESTO: SI</v>
      </c>
    </row>
    <row r="1319" spans="1:20" ht="105" x14ac:dyDescent="0.25">
      <c r="A1319" s="6" t="s">
        <v>2968</v>
      </c>
      <c r="B1319" s="21">
        <v>45388</v>
      </c>
      <c r="C1319" s="126" t="s">
        <v>2950</v>
      </c>
      <c r="D1319" s="65" t="s">
        <v>2951</v>
      </c>
      <c r="E1319" s="65" t="s">
        <v>2952</v>
      </c>
      <c r="F1319" t="s">
        <v>1247</v>
      </c>
      <c r="G1319" s="161">
        <f>MONTH(EJECUTADO[[#This Row],[FECHA]])</f>
        <v>4</v>
      </c>
      <c r="H1319" s="163" t="str">
        <f>MID(EJECUTADO[[#This Row],[CUENTA]],1,4)</f>
        <v>E-32</v>
      </c>
      <c r="I1319" s="163" t="str">
        <f>INDEX(CATALOGO[Descripción],MATCH(EJECUTADO[[#This Row],[APLICACIÓN]]&amp;"-00-00-00",CATALOGO[Código],0))</f>
        <v>RELACIONES INTERNACIONALES</v>
      </c>
      <c r="J131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Impresiones $500.0</v>
      </c>
      <c r="K1319" s="161" t="str">
        <f>IF((EJECUTADO[[#This Row],[MONTO DISPONIBLE ]]-EJECUTADO[[#This Row],[MONTO SOLICITADO]])&gt;=0,"PRESUPUESTO: SI","PRESUPUESTO: NO")</f>
        <v>PRESUPUESTO: SI</v>
      </c>
      <c r="L1319" s="162">
        <f>SUMIF(PRESUPUESTO[CUENTA],EJECUTADO[[#This Row],[CUENTA]],PRESUPUESTO[MONTO])-SUMIF($F$1:F1318,EJECUTADO[[#This Row],[CUENTA]],$M$1:M1318)</f>
        <v>5000</v>
      </c>
      <c r="M1319" s="2">
        <v>500</v>
      </c>
      <c r="N1319" s="2">
        <f t="shared" si="58"/>
        <v>4.4247787610619476</v>
      </c>
      <c r="O1319" s="84"/>
      <c r="P1319" s="162">
        <f>+EJECUTADO[[#This Row],[MONTO SOLICITADO]]-EJECUTADO[[#This Row],[RETENCION IVA]]-EJECUTADO[[#This Row],[RETENCION ISR]]</f>
        <v>495.57522123893807</v>
      </c>
      <c r="Q1319" s="84" t="s">
        <v>1971</v>
      </c>
      <c r="R1319" s="84" t="s">
        <v>2111</v>
      </c>
      <c r="T1319" s="168" t="str">
        <f t="shared" si="57"/>
        <v>RELACIONES INTERNACIONALES - Impresiones $500.0 Disponible $5000 Solicitado $500 PRESUPUESTO: SI</v>
      </c>
    </row>
    <row r="1320" spans="1:20" ht="105" x14ac:dyDescent="0.25">
      <c r="A1320" s="6">
        <f>+A1303+1</f>
        <v>1184</v>
      </c>
      <c r="B1320" s="21">
        <v>45388</v>
      </c>
      <c r="C1320" s="126" t="s">
        <v>2118</v>
      </c>
      <c r="D1320" s="65" t="s">
        <v>2969</v>
      </c>
      <c r="E1320" s="65" t="s">
        <v>2970</v>
      </c>
      <c r="F1320" t="s">
        <v>2971</v>
      </c>
      <c r="G1320" s="161">
        <f>MONTH(EJECUTADO[[#This Row],[FECHA]])</f>
        <v>4</v>
      </c>
      <c r="H1320" s="163" t="str">
        <f>MID(EJECUTADO[[#This Row],[CUENTA]],1,4)</f>
        <v>E-08</v>
      </c>
      <c r="I1320" s="163" t="str">
        <f>INDEX(CATALOGO[Descripción],MATCH(EJECUTADO[[#This Row],[APLICACIÓN]]&amp;"-00-00-00",CATALOGO[Código],0))</f>
        <v>INVERSIONES Y PROYECTOS ESPECIALES</v>
      </c>
      <c r="J132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Proyecto de Digitalización de documentos físicos de registro académico, contabilidad y secretaria general (Un solo pago)</v>
      </c>
      <c r="K1320" s="161" t="str">
        <f>IF((EJECUTADO[[#This Row],[MONTO DISPONIBLE ]]-EJECUTADO[[#This Row],[MONTO SOLICITADO]])&gt;=0,"PRESUPUESTO: SI","PRESUPUESTO: NO")</f>
        <v>PRESUPUESTO: SI</v>
      </c>
      <c r="L1320" s="162">
        <f>SUMIF(PRESUPUESTO[CUENTA],EJECUTADO[[#This Row],[CUENTA]],PRESUPUESTO[MONTO])-SUMIF($F$1:F1303,EJECUTADO[[#This Row],[CUENTA]],$M$1:M1303)</f>
        <v>262000</v>
      </c>
      <c r="M1320" s="2">
        <v>21765.87</v>
      </c>
      <c r="N1320" s="84">
        <v>192.52</v>
      </c>
      <c r="O1320" s="84"/>
      <c r="P1320" s="162">
        <f>+EJECUTADO[[#This Row],[MONTO SOLICITADO]]-EJECUTADO[[#This Row],[RETENCION IVA]]-EJECUTADO[[#This Row],[RETENCION ISR]]</f>
        <v>21573.35</v>
      </c>
      <c r="Q1320" s="84" t="s">
        <v>1971</v>
      </c>
      <c r="R1320" s="84" t="s">
        <v>2111</v>
      </c>
      <c r="T1320" s="168" t="str">
        <f t="shared" si="49"/>
        <v>INVERSIONES Y PROYECTOS ESPECIALES - Proyecto de Digitalización de documentos físicos de registro académico, contabilidad y secretaria general (Un solo pago) Disponible $262000 Solicitado $21765.87 PRESUPUESTO: SI</v>
      </c>
    </row>
    <row r="1321" spans="1:20" ht="30" x14ac:dyDescent="0.25">
      <c r="A1321" s="6">
        <f t="shared" si="50"/>
        <v>1185</v>
      </c>
      <c r="B1321" s="21">
        <v>45388</v>
      </c>
      <c r="C1321" s="126" t="s">
        <v>2824</v>
      </c>
      <c r="D1321" s="65" t="s">
        <v>2972</v>
      </c>
      <c r="E1321" s="65"/>
      <c r="G1321" s="161">
        <f>MONTH(EJECUTADO[[#This Row],[FECHA]])</f>
        <v>4</v>
      </c>
      <c r="H1321" s="163" t="str">
        <f>MID(EJECUTADO[[#This Row],[CUENTA]],1,4)</f>
        <v/>
      </c>
      <c r="I1321" s="163" t="e">
        <f>INDEX(CATALOGO[Descripción],MATCH(EJECUTADO[[#This Row],[APLICACIÓN]]&amp;"-00-00-00",CATALOGO[Código],0))</f>
        <v>#N/A</v>
      </c>
      <c r="J132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1" s="161" t="str">
        <f>IF((EJECUTADO[[#This Row],[MONTO DISPONIBLE ]]-EJECUTADO[[#This Row],[MONTO SOLICITADO]])&gt;=0,"PRESUPUESTO: SI","PRESUPUESTO: NO")</f>
        <v>PRESUPUESTO: NO</v>
      </c>
      <c r="L1321" s="162">
        <f>SUMIF(PRESUPUESTO[CUENTA],EJECUTADO[[#This Row],[CUENTA]],PRESUPUESTO[MONTO])-SUMIF($F$1:F1320,EJECUTADO[[#This Row],[CUENTA]],$M$1:M1320)</f>
        <v>0</v>
      </c>
      <c r="M1321" s="2">
        <v>1214.75</v>
      </c>
      <c r="N1321" s="84"/>
      <c r="O1321" s="84"/>
      <c r="P1321" s="162">
        <f>+EJECUTADO[[#This Row],[MONTO SOLICITADO]]-EJECUTADO[[#This Row],[RETENCION IVA]]-EJECUTADO[[#This Row],[RETENCION ISR]]</f>
        <v>1214.75</v>
      </c>
      <c r="Q1321" s="84" t="s">
        <v>1971</v>
      </c>
      <c r="R1321" s="84" t="s">
        <v>2111</v>
      </c>
      <c r="T1321" s="168" t="e">
        <f t="shared" si="49"/>
        <v>#N/A</v>
      </c>
    </row>
    <row r="1322" spans="1:20" ht="30" x14ac:dyDescent="0.25">
      <c r="A1322" s="6">
        <f t="shared" si="50"/>
        <v>1186</v>
      </c>
      <c r="B1322" s="21">
        <v>45388</v>
      </c>
      <c r="C1322" s="126" t="s">
        <v>2189</v>
      </c>
      <c r="D1322" s="65" t="s">
        <v>2973</v>
      </c>
      <c r="E1322" s="65"/>
      <c r="G1322" s="161">
        <f>MONTH(EJECUTADO[[#This Row],[FECHA]])</f>
        <v>4</v>
      </c>
      <c r="H1322" s="163" t="str">
        <f>MID(EJECUTADO[[#This Row],[CUENTA]],1,4)</f>
        <v/>
      </c>
      <c r="I1322" s="163" t="e">
        <f>INDEX(CATALOGO[Descripción],MATCH(EJECUTADO[[#This Row],[APLICACIÓN]]&amp;"-00-00-00",CATALOGO[Código],0))</f>
        <v>#N/A</v>
      </c>
      <c r="J132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2" s="161" t="str">
        <f>IF((EJECUTADO[[#This Row],[MONTO DISPONIBLE ]]-EJECUTADO[[#This Row],[MONTO SOLICITADO]])&gt;=0,"PRESUPUESTO: SI","PRESUPUESTO: NO")</f>
        <v>PRESUPUESTO: NO</v>
      </c>
      <c r="L1322" s="162">
        <f>SUMIF(PRESUPUESTO[CUENTA],EJECUTADO[[#This Row],[CUENTA]],PRESUPUESTO[MONTO])-SUMIF($F$1:F1321,EJECUTADO[[#This Row],[CUENTA]],$M$1:M1321)</f>
        <v>0</v>
      </c>
      <c r="M1322" s="2">
        <v>1130</v>
      </c>
      <c r="N1322" s="84"/>
      <c r="O1322" s="84"/>
      <c r="P1322" s="162">
        <f>+EJECUTADO[[#This Row],[MONTO SOLICITADO]]-EJECUTADO[[#This Row],[RETENCION IVA]]-EJECUTADO[[#This Row],[RETENCION ISR]]</f>
        <v>1130</v>
      </c>
      <c r="Q1322" s="84" t="s">
        <v>1971</v>
      </c>
      <c r="R1322" s="84" t="s">
        <v>2111</v>
      </c>
      <c r="T1322" s="168" t="e">
        <f t="shared" si="49"/>
        <v>#N/A</v>
      </c>
    </row>
    <row r="1323" spans="1:20" ht="30" x14ac:dyDescent="0.25">
      <c r="A1323" s="6">
        <f t="shared" si="50"/>
        <v>1187</v>
      </c>
      <c r="B1323" s="21">
        <v>45388</v>
      </c>
      <c r="C1323" s="126" t="s">
        <v>2974</v>
      </c>
      <c r="D1323" s="65" t="s">
        <v>2975</v>
      </c>
      <c r="E1323" s="65"/>
      <c r="G1323" s="161">
        <f>MONTH(EJECUTADO[[#This Row],[FECHA]])</f>
        <v>4</v>
      </c>
      <c r="H1323" s="163" t="str">
        <f>MID(EJECUTADO[[#This Row],[CUENTA]],1,4)</f>
        <v/>
      </c>
      <c r="I1323" s="163" t="e">
        <f>INDEX(CATALOGO[Descripción],MATCH(EJECUTADO[[#This Row],[APLICACIÓN]]&amp;"-00-00-00",CATALOGO[Código],0))</f>
        <v>#N/A</v>
      </c>
      <c r="J13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3" s="161" t="str">
        <f>IF((EJECUTADO[[#This Row],[MONTO DISPONIBLE ]]-EJECUTADO[[#This Row],[MONTO SOLICITADO]])&gt;=0,"PRESUPUESTO: SI","PRESUPUESTO: NO")</f>
        <v>PRESUPUESTO: NO</v>
      </c>
      <c r="L1323" s="162">
        <f>SUMIF(PRESUPUESTO[CUENTA],EJECUTADO[[#This Row],[CUENTA]],PRESUPUESTO[MONTO])-SUMIF($F$1:F1322,EJECUTADO[[#This Row],[CUENTA]],$M$1:M1322)</f>
        <v>0</v>
      </c>
      <c r="M1323" s="2">
        <v>678</v>
      </c>
      <c r="N1323" s="84"/>
      <c r="O1323" s="84"/>
      <c r="P1323" s="162">
        <f>+EJECUTADO[[#This Row],[MONTO SOLICITADO]]-EJECUTADO[[#This Row],[RETENCION IVA]]-EJECUTADO[[#This Row],[RETENCION ISR]]</f>
        <v>678</v>
      </c>
      <c r="Q1323" s="84" t="s">
        <v>1971</v>
      </c>
      <c r="R1323" s="84" t="s">
        <v>2111</v>
      </c>
      <c r="T1323" s="168" t="e">
        <f t="shared" si="49"/>
        <v>#N/A</v>
      </c>
    </row>
    <row r="1324" spans="1:20" ht="75" x14ac:dyDescent="0.25">
      <c r="A1324" s="6">
        <f t="shared" si="50"/>
        <v>1188</v>
      </c>
      <c r="B1324" s="21">
        <v>45388</v>
      </c>
      <c r="C1324" s="126" t="s">
        <v>2126</v>
      </c>
      <c r="D1324" s="65" t="s">
        <v>2976</v>
      </c>
      <c r="E1324" s="65" t="s">
        <v>2977</v>
      </c>
      <c r="F1324" t="s">
        <v>1055</v>
      </c>
      <c r="G1324" s="161">
        <f>MONTH(EJECUTADO[[#This Row],[FECHA]])</f>
        <v>4</v>
      </c>
      <c r="H1324" s="163" t="str">
        <f>MID(EJECUTADO[[#This Row],[CUENTA]],1,4)</f>
        <v>E-07</v>
      </c>
      <c r="I1324" s="163" t="str">
        <f>INDEX(CATALOGO[Descripción],MATCH(EJECUTADO[[#This Row],[APLICACIÓN]]&amp;"-00-00-00",CATALOGO[Código],0))</f>
        <v>SERVICIOS TECNOLOGICOS</v>
      </c>
      <c r="J132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Enlace ComercialDigicel   Internet Alumnos $ 3,560.00 x 12 </v>
      </c>
      <c r="K1324" s="161" t="str">
        <f>IF((EJECUTADO[[#This Row],[MONTO DISPONIBLE ]]-EJECUTADO[[#This Row],[MONTO SOLICITADO]])&gt;=0,"PRESUPUESTO: SI","PRESUPUESTO: NO")</f>
        <v>PRESUPUESTO: SI</v>
      </c>
      <c r="L1324" s="162">
        <f>SUMIF(PRESUPUESTO[CUENTA],EJECUTADO[[#This Row],[CUENTA]],PRESUPUESTO[MONTO])-SUMIF($F$1:F1323,EJECUTADO[[#This Row],[CUENTA]],$M$1:M1323)</f>
        <v>30496</v>
      </c>
      <c r="M1324" s="2">
        <v>3051</v>
      </c>
      <c r="N1324" s="84">
        <v>27</v>
      </c>
      <c r="O1324" s="84"/>
      <c r="P1324" s="162">
        <f>+EJECUTADO[[#This Row],[MONTO SOLICITADO]]-EJECUTADO[[#This Row],[RETENCION IVA]]-EJECUTADO[[#This Row],[RETENCION ISR]]</f>
        <v>3024</v>
      </c>
      <c r="Q1324" s="84" t="s">
        <v>1971</v>
      </c>
      <c r="R1324" s="84" t="s">
        <v>2111</v>
      </c>
      <c r="T1324" s="168" t="str">
        <f t="shared" si="49"/>
        <v>SERVICIOS TECNOLOGICOS - Enlace ComercialDigicel   Internet Alumnos $ 3,560.00 x 12  Disponible $30496 Solicitado $3051 PRESUPUESTO: SI</v>
      </c>
    </row>
    <row r="1325" spans="1:20" ht="45" x14ac:dyDescent="0.25">
      <c r="A1325" s="6">
        <f t="shared" si="50"/>
        <v>1189</v>
      </c>
      <c r="B1325" s="21">
        <v>45388</v>
      </c>
      <c r="C1325" s="126" t="s">
        <v>2978</v>
      </c>
      <c r="D1325" s="65" t="s">
        <v>2979</v>
      </c>
      <c r="E1325" s="65"/>
      <c r="G1325" s="161">
        <f>MONTH(EJECUTADO[[#This Row],[FECHA]])</f>
        <v>4</v>
      </c>
      <c r="H1325" s="163" t="str">
        <f>MID(EJECUTADO[[#This Row],[CUENTA]],1,4)</f>
        <v/>
      </c>
      <c r="I1325" s="163" t="e">
        <f>INDEX(CATALOGO[Descripción],MATCH(EJECUTADO[[#This Row],[APLICACIÓN]]&amp;"-00-00-00",CATALOGO[Código],0))</f>
        <v>#N/A</v>
      </c>
      <c r="J132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5" s="161" t="str">
        <f>IF((EJECUTADO[[#This Row],[MONTO DISPONIBLE ]]-EJECUTADO[[#This Row],[MONTO SOLICITADO]])&gt;=0,"PRESUPUESTO: SI","PRESUPUESTO: NO")</f>
        <v>PRESUPUESTO: NO</v>
      </c>
      <c r="L1325" s="162">
        <f>SUMIF(PRESUPUESTO[CUENTA],EJECUTADO[[#This Row],[CUENTA]],PRESUPUESTO[MONTO])-SUMIF($F$1:F1324,EJECUTADO[[#This Row],[CUENTA]],$M$1:M1324)</f>
        <v>0</v>
      </c>
      <c r="M1325" s="2">
        <v>1710.6</v>
      </c>
      <c r="N1325" s="84"/>
      <c r="O1325" s="84"/>
      <c r="P1325" s="162">
        <f>+EJECUTADO[[#This Row],[MONTO SOLICITADO]]-EJECUTADO[[#This Row],[RETENCION IVA]]-EJECUTADO[[#This Row],[RETENCION ISR]]</f>
        <v>1710.6</v>
      </c>
      <c r="Q1325" s="84" t="s">
        <v>1971</v>
      </c>
      <c r="R1325" s="84" t="s">
        <v>2111</v>
      </c>
      <c r="T1325" s="168" t="e">
        <f t="shared" si="49"/>
        <v>#N/A</v>
      </c>
    </row>
    <row r="1326" spans="1:20" ht="60" x14ac:dyDescent="0.25">
      <c r="A1326" s="6">
        <f t="shared" si="50"/>
        <v>1190</v>
      </c>
      <c r="B1326" s="21">
        <v>45388</v>
      </c>
      <c r="C1326" s="126" t="s">
        <v>2980</v>
      </c>
      <c r="D1326" s="65" t="s">
        <v>2981</v>
      </c>
      <c r="E1326" s="65" t="s">
        <v>2982</v>
      </c>
      <c r="F1326" t="s">
        <v>1058</v>
      </c>
      <c r="G1326" s="161">
        <f>MONTH(EJECUTADO[[#This Row],[FECHA]])</f>
        <v>4</v>
      </c>
      <c r="H1326" s="163" t="str">
        <f>MID(EJECUTADO[[#This Row],[CUENTA]],1,4)</f>
        <v>E-13</v>
      </c>
      <c r="I1326" s="163" t="str">
        <f>INDEX(CATALOGO[Descripción],MATCH(EJECUTADO[[#This Row],[APLICACIÓN]]&amp;"-00-00-00",CATALOGO[Código],0))</f>
        <v>MAESTRIAS Y POSTGRADOS</v>
      </c>
      <c r="J132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MANTENIMIENTO AIRE ACONDICIONADO </v>
      </c>
      <c r="K1326" s="161" t="str">
        <f>IF((EJECUTADO[[#This Row],[MONTO DISPONIBLE ]]-EJECUTADO[[#This Row],[MONTO SOLICITADO]])&gt;=0,"PRESUPUESTO: SI","PRESUPUESTO: NO")</f>
        <v>PRESUPUESTO: SI</v>
      </c>
      <c r="L1326" s="162">
        <f>SUMIF(PRESUPUESTO[CUENTA],EJECUTADO[[#This Row],[CUENTA]],PRESUPUESTO[MONTO])-SUMIF($F$1:F1325,EJECUTADO[[#This Row],[CUENTA]],$M$1:M1325)</f>
        <v>667.35</v>
      </c>
      <c r="M1326" s="2">
        <v>451</v>
      </c>
      <c r="N1326" s="84"/>
      <c r="O1326" s="84"/>
      <c r="P1326" s="162">
        <f>+EJECUTADO[[#This Row],[MONTO SOLICITADO]]-EJECUTADO[[#This Row],[RETENCION IVA]]-EJECUTADO[[#This Row],[RETENCION ISR]]</f>
        <v>451</v>
      </c>
      <c r="Q1326" s="84" t="s">
        <v>1971</v>
      </c>
      <c r="R1326" s="84" t="s">
        <v>2111</v>
      </c>
      <c r="T1326" s="168" t="str">
        <f t="shared" si="49"/>
        <v>MAESTRIAS Y POSTGRADOS - MANTENIMIENTO AIRE ACONDICIONADO  Disponible $667.35 Solicitado $451 PRESUPUESTO: SI</v>
      </c>
    </row>
    <row r="1327" spans="1:20" ht="75" x14ac:dyDescent="0.25">
      <c r="A1327" s="6">
        <f t="shared" si="50"/>
        <v>1191</v>
      </c>
      <c r="B1327" s="21">
        <v>45388</v>
      </c>
      <c r="C1327" s="126" t="s">
        <v>2980</v>
      </c>
      <c r="D1327" s="65" t="s">
        <v>2983</v>
      </c>
      <c r="E1327" s="65" t="s">
        <v>2984</v>
      </c>
      <c r="F1327" t="s">
        <v>1559</v>
      </c>
      <c r="G1327" s="161">
        <f>MONTH(EJECUTADO[[#This Row],[FECHA]])</f>
        <v>4</v>
      </c>
      <c r="H1327" s="163" t="str">
        <f>MID(EJECUTADO[[#This Row],[CUENTA]],1,4)</f>
        <v>E-19</v>
      </c>
      <c r="I1327" s="163" t="str">
        <f>INDEX(CATALOGO[Descripción],MATCH(EJECUTADO[[#This Row],[APLICACIÓN]]&amp;"-00-00-00",CATALOGO[Código],0))</f>
        <v>MANTENIMIENTO</v>
      </c>
      <c r="J132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Contrato de Mantenimiento Aires Acondicionados </v>
      </c>
      <c r="K1327" s="161" t="str">
        <f>IF((EJECUTADO[[#This Row],[MONTO DISPONIBLE ]]-EJECUTADO[[#This Row],[MONTO SOLICITADO]])&gt;=0,"PRESUPUESTO: SI","PRESUPUESTO: NO")</f>
        <v>PRESUPUESTO: SI</v>
      </c>
      <c r="L1327" s="162">
        <f>SUMIF(PRESUPUESTO[CUENTA],EJECUTADO[[#This Row],[CUENTA]],PRESUPUESTO[MONTO])-SUMIF($F$1:F1326,EJECUTADO[[#This Row],[CUENTA]],$M$1:M1326)</f>
        <v>29439.3</v>
      </c>
      <c r="M1327" s="2">
        <v>2717</v>
      </c>
      <c r="N1327" s="84">
        <v>24.04</v>
      </c>
      <c r="O1327" s="84"/>
      <c r="P1327" s="162">
        <f>+EJECUTADO[[#This Row],[MONTO SOLICITADO]]-EJECUTADO[[#This Row],[RETENCION IVA]]-EJECUTADO[[#This Row],[RETENCION ISR]]</f>
        <v>2692.96</v>
      </c>
      <c r="Q1327" s="84" t="s">
        <v>1971</v>
      </c>
      <c r="R1327" s="84" t="s">
        <v>2111</v>
      </c>
      <c r="T1327" s="168" t="str">
        <f t="shared" si="49"/>
        <v>MANTENIMIENTO - Dir. Mantenimiento - Contrato de Mantenimiento Aires Acondicionados  Disponible $29439.3 Solicitado $2717 PRESUPUESTO: SI</v>
      </c>
    </row>
    <row r="1328" spans="1:20" ht="30" x14ac:dyDescent="0.25">
      <c r="A1328" s="6">
        <f t="shared" si="50"/>
        <v>1192</v>
      </c>
      <c r="B1328" s="21">
        <v>45390</v>
      </c>
      <c r="C1328" s="126" t="s">
        <v>2985</v>
      </c>
      <c r="D1328" s="65" t="s">
        <v>2986</v>
      </c>
      <c r="E1328" s="65"/>
      <c r="G1328" s="161">
        <f>MONTH(EJECUTADO[[#This Row],[FECHA]])</f>
        <v>4</v>
      </c>
      <c r="H1328" s="163" t="str">
        <f>MID(EJECUTADO[[#This Row],[CUENTA]],1,4)</f>
        <v/>
      </c>
      <c r="I1328" s="163" t="e">
        <f>INDEX(CATALOGO[Descripción],MATCH(EJECUTADO[[#This Row],[APLICACIÓN]]&amp;"-00-00-00",CATALOGO[Código],0))</f>
        <v>#N/A</v>
      </c>
      <c r="J132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8" s="161" t="str">
        <f>IF((EJECUTADO[[#This Row],[MONTO DISPONIBLE ]]-EJECUTADO[[#This Row],[MONTO SOLICITADO]])&gt;=0,"PRESUPUESTO: SI","PRESUPUESTO: NO")</f>
        <v>PRESUPUESTO: NO</v>
      </c>
      <c r="L1328" s="162">
        <f>SUMIF(PRESUPUESTO[CUENTA],EJECUTADO[[#This Row],[CUENTA]],PRESUPUESTO[MONTO])-SUMIF($F$1:F1327,EJECUTADO[[#This Row],[CUENTA]],$M$1:M1327)</f>
        <v>0</v>
      </c>
      <c r="M1328" s="2">
        <v>450</v>
      </c>
      <c r="N1328" s="84"/>
      <c r="O1328" s="84"/>
      <c r="P1328" s="162">
        <f>+EJECUTADO[[#This Row],[MONTO SOLICITADO]]-EJECUTADO[[#This Row],[RETENCION IVA]]-EJECUTADO[[#This Row],[RETENCION ISR]]</f>
        <v>450</v>
      </c>
      <c r="Q1328" s="84" t="s">
        <v>1971</v>
      </c>
      <c r="R1328" s="84" t="s">
        <v>995</v>
      </c>
      <c r="T1328" s="168" t="e">
        <f t="shared" si="49"/>
        <v>#N/A</v>
      </c>
    </row>
    <row r="1329" spans="1:20" ht="90" x14ac:dyDescent="0.25">
      <c r="A1329" s="6">
        <f t="shared" si="50"/>
        <v>1193</v>
      </c>
      <c r="B1329" s="21">
        <v>45390</v>
      </c>
      <c r="C1329" s="126" t="s">
        <v>1152</v>
      </c>
      <c r="D1329" s="65" t="s">
        <v>2987</v>
      </c>
      <c r="E1329" s="65"/>
      <c r="G1329" s="161">
        <f>MONTH(EJECUTADO[[#This Row],[FECHA]])</f>
        <v>4</v>
      </c>
      <c r="H1329" s="163" t="str">
        <f>MID(EJECUTADO[[#This Row],[CUENTA]],1,4)</f>
        <v/>
      </c>
      <c r="I1329" s="163" t="e">
        <f>INDEX(CATALOGO[Descripción],MATCH(EJECUTADO[[#This Row],[APLICACIÓN]]&amp;"-00-00-00",CATALOGO[Código],0))</f>
        <v>#N/A</v>
      </c>
      <c r="J132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29" s="161" t="str">
        <f>IF((EJECUTADO[[#This Row],[MONTO DISPONIBLE ]]-EJECUTADO[[#This Row],[MONTO SOLICITADO]])&gt;=0,"PRESUPUESTO: SI","PRESUPUESTO: NO")</f>
        <v>PRESUPUESTO: NO</v>
      </c>
      <c r="L1329" s="162">
        <f>SUMIF(PRESUPUESTO[CUENTA],EJECUTADO[[#This Row],[CUENTA]],PRESUPUESTO[MONTO])-SUMIF($F$1:F1328,EJECUTADO[[#This Row],[CUENTA]],$M$1:M1328)</f>
        <v>0</v>
      </c>
      <c r="M1329" s="2">
        <v>330.9</v>
      </c>
      <c r="N1329" s="84"/>
      <c r="O1329" s="84"/>
      <c r="P1329" s="162">
        <f>+EJECUTADO[[#This Row],[MONTO SOLICITADO]]-EJECUTADO[[#This Row],[RETENCION IVA]]-EJECUTADO[[#This Row],[RETENCION ISR]]</f>
        <v>330.9</v>
      </c>
      <c r="Q1329" s="84" t="s">
        <v>1971</v>
      </c>
      <c r="R1329" s="84" t="s">
        <v>995</v>
      </c>
      <c r="T1329" s="168" t="e">
        <f t="shared" si="49"/>
        <v>#N/A</v>
      </c>
    </row>
    <row r="1330" spans="1:20" ht="60" x14ac:dyDescent="0.25">
      <c r="A1330" s="6">
        <f t="shared" si="50"/>
        <v>1194</v>
      </c>
      <c r="B1330" s="21">
        <v>45388</v>
      </c>
      <c r="C1330" s="126" t="s">
        <v>2673</v>
      </c>
      <c r="D1330" s="65" t="s">
        <v>167</v>
      </c>
      <c r="E1330" s="65"/>
      <c r="F1330" t="s">
        <v>1852</v>
      </c>
      <c r="G1330" s="161">
        <f>MONTH(EJECUTADO[[#This Row],[FECHA]])</f>
        <v>4</v>
      </c>
      <c r="H1330" s="163" t="str">
        <f>MID(EJECUTADO[[#This Row],[CUENTA]],1,4)</f>
        <v>E-06</v>
      </c>
      <c r="I1330" s="163" t="str">
        <f>INDEX(CATALOGO[Descripción],MATCH(EJECUTADO[[#This Row],[APLICACIÓN]]&amp;"-00-00-00",CATALOGO[Código],0))</f>
        <v>HORAS CLASES</v>
      </c>
      <c r="J133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EMPRESARIALES</v>
      </c>
      <c r="K1330" s="161" t="str">
        <f>IF((EJECUTADO[[#This Row],[MONTO DISPONIBLE ]]-EJECUTADO[[#This Row],[MONTO SOLICITADO]])&gt;=0,"PRESUPUESTO: SI","PRESUPUESTO: NO")</f>
        <v>PRESUPUESTO: SI</v>
      </c>
      <c r="L1330" s="162">
        <f>SUMIF(PRESUPUESTO[CUENTA],EJECUTADO[[#This Row],[CUENTA]],PRESUPUESTO[MONTO])-SUMIF($F$1:F1329,EJECUTADO[[#This Row],[CUENTA]],$M$1:M1329)</f>
        <v>331899.21000000002</v>
      </c>
      <c r="M1330" s="2">
        <v>30595.8</v>
      </c>
      <c r="N1330" s="84"/>
      <c r="O1330" s="84"/>
      <c r="P1330" s="162">
        <f>+EJECUTADO[[#This Row],[MONTO SOLICITADO]]-EJECUTADO[[#This Row],[RETENCION IVA]]-EJECUTADO[[#This Row],[RETENCION ISR]]</f>
        <v>30595.8</v>
      </c>
      <c r="Q1330" s="84"/>
      <c r="R1330" s="84"/>
      <c r="S1330">
        <v>1</v>
      </c>
      <c r="T1330" s="168" t="str">
        <f t="shared" si="49"/>
        <v>HORAS CLASES - HORAS CLASE FACULTAD DE CIENCIAS EMPRESARIALES Disponible $331899.21 Solicitado $30595.8 PRESUPUESTO: SI</v>
      </c>
    </row>
    <row r="1331" spans="1:20" ht="60" x14ac:dyDescent="0.25">
      <c r="A1331" s="6">
        <f t="shared" si="50"/>
        <v>1195</v>
      </c>
      <c r="B1331" s="21">
        <v>45388</v>
      </c>
      <c r="C1331" s="126" t="s">
        <v>2673</v>
      </c>
      <c r="D1331" s="65" t="s">
        <v>168</v>
      </c>
      <c r="E1331" s="65"/>
      <c r="F1331" t="s">
        <v>1855</v>
      </c>
      <c r="G1331" s="161">
        <f>MONTH(EJECUTADO[[#This Row],[FECHA]])</f>
        <v>4</v>
      </c>
      <c r="H1331" s="163" t="str">
        <f>MID(EJECUTADO[[#This Row],[CUENTA]],1,4)</f>
        <v>E-06</v>
      </c>
      <c r="I1331" s="163" t="str">
        <f>INDEX(CATALOGO[Descripción],MATCH(EJECUTADO[[#This Row],[APLICACIÓN]]&amp;"-00-00-00",CATALOGO[Código],0))</f>
        <v>HORAS CLASES</v>
      </c>
      <c r="J133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INFORMATICA Y CC APLICADAS</v>
      </c>
      <c r="K1331" s="161" t="str">
        <f>IF((EJECUTADO[[#This Row],[MONTO DISPONIBLE ]]-EJECUTADO[[#This Row],[MONTO SOLICITADO]])&gt;=0,"PRESUPUESTO: SI","PRESUPUESTO: NO")</f>
        <v>PRESUPUESTO: SI</v>
      </c>
      <c r="L1331" s="162">
        <f>SUMIF(PRESUPUESTO[CUENTA],EJECUTADO[[#This Row],[CUENTA]],PRESUPUESTO[MONTO])-SUMIF($F$1:F1330,EJECUTADO[[#This Row],[CUENTA]],$M$1:M1330)</f>
        <v>488155.13</v>
      </c>
      <c r="M1331" s="2">
        <v>50883.86</v>
      </c>
      <c r="N1331" s="84"/>
      <c r="O1331" s="84"/>
      <c r="P1331" s="162">
        <f>+EJECUTADO[[#This Row],[MONTO SOLICITADO]]-EJECUTADO[[#This Row],[RETENCION IVA]]-EJECUTADO[[#This Row],[RETENCION ISR]]</f>
        <v>50883.86</v>
      </c>
      <c r="Q1331" s="84"/>
      <c r="R1331" s="84"/>
      <c r="S1331">
        <v>1</v>
      </c>
      <c r="T1331" s="168" t="str">
        <f t="shared" si="49"/>
        <v>HORAS CLASES - HORAS CLASE FACULTAD DE INFORMATICA Y CC APLICADAS Disponible $488155.13 Solicitado $50883.86 PRESUPUESTO: SI</v>
      </c>
    </row>
    <row r="1332" spans="1:20" ht="45" x14ac:dyDescent="0.25">
      <c r="A1332" s="6">
        <f t="shared" si="50"/>
        <v>1196</v>
      </c>
      <c r="B1332" s="21">
        <v>45388</v>
      </c>
      <c r="C1332" s="126" t="s">
        <v>2673</v>
      </c>
      <c r="D1332" s="65" t="s">
        <v>169</v>
      </c>
      <c r="E1332" s="65"/>
      <c r="F1332" t="s">
        <v>1864</v>
      </c>
      <c r="G1332" s="161">
        <f>MONTH(EJECUTADO[[#This Row],[FECHA]])</f>
        <v>4</v>
      </c>
      <c r="H1332" s="163" t="str">
        <f>MID(EJECUTADO[[#This Row],[CUENTA]],1,4)</f>
        <v>E-06</v>
      </c>
      <c r="I1332" s="163" t="str">
        <f>INDEX(CATALOGO[Descripción],MATCH(EJECUTADO[[#This Row],[APLICACIÓN]]&amp;"-00-00-00",CATALOGO[Código],0))</f>
        <v>HORAS CLASES</v>
      </c>
      <c r="J133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SOCIALES</v>
      </c>
      <c r="K1332" s="161" t="str">
        <f>IF((EJECUTADO[[#This Row],[MONTO DISPONIBLE ]]-EJECUTADO[[#This Row],[MONTO SOLICITADO]])&gt;=0,"PRESUPUESTO: SI","PRESUPUESTO: NO")</f>
        <v>PRESUPUESTO: SI</v>
      </c>
      <c r="L1332" s="162">
        <f>SUMIF(PRESUPUESTO[CUENTA],EJECUTADO[[#This Row],[CUENTA]],PRESUPUESTO[MONTO])-SUMIF($F$1:F1331,EJECUTADO[[#This Row],[CUENTA]],$M$1:M1331)</f>
        <v>418133.03</v>
      </c>
      <c r="M1332" s="2">
        <v>40849.019999999997</v>
      </c>
      <c r="N1332" s="84"/>
      <c r="O1332" s="84"/>
      <c r="P1332" s="162">
        <f>+EJECUTADO[[#This Row],[MONTO SOLICITADO]]-EJECUTADO[[#This Row],[RETENCION IVA]]-EJECUTADO[[#This Row],[RETENCION ISR]]</f>
        <v>40849.019999999997</v>
      </c>
      <c r="Q1332" s="84"/>
      <c r="R1332" s="84"/>
      <c r="S1332">
        <v>1</v>
      </c>
      <c r="T1332" s="168" t="str">
        <f t="shared" si="49"/>
        <v>HORAS CLASES - HORAS CLASE FACULTAD DE CIENCIAS SOCIALES Disponible $418133.03 Solicitado $40849.02 PRESUPUESTO: SI</v>
      </c>
    </row>
    <row r="1333" spans="1:20" ht="45" x14ac:dyDescent="0.25">
      <c r="A1333" s="6">
        <f t="shared" si="50"/>
        <v>1197</v>
      </c>
      <c r="B1333" s="21">
        <v>45388</v>
      </c>
      <c r="C1333" s="126" t="s">
        <v>2673</v>
      </c>
      <c r="D1333" s="65" t="s">
        <v>170</v>
      </c>
      <c r="E1333" s="65"/>
      <c r="F1333" t="s">
        <v>1873</v>
      </c>
      <c r="G1333" s="161">
        <f>MONTH(EJECUTADO[[#This Row],[FECHA]])</f>
        <v>4</v>
      </c>
      <c r="H1333" s="163" t="str">
        <f>MID(EJECUTADO[[#This Row],[CUENTA]],1,4)</f>
        <v>E-06</v>
      </c>
      <c r="I1333" s="163" t="str">
        <f>INDEX(CATALOGO[Descripción],MATCH(EJECUTADO[[#This Row],[APLICACIÓN]]&amp;"-00-00-00",CATALOGO[Código],0))</f>
        <v>HORAS CLASES</v>
      </c>
      <c r="J133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FACULTAD DE CIENCIAS JURIDICAS</v>
      </c>
      <c r="K1333" s="161" t="str">
        <f>IF((EJECUTADO[[#This Row],[MONTO DISPONIBLE ]]-EJECUTADO[[#This Row],[MONTO SOLICITADO]])&gt;=0,"PRESUPUESTO: SI","PRESUPUESTO: NO")</f>
        <v>PRESUPUESTO: SI</v>
      </c>
      <c r="L1333" s="162">
        <f>SUMIF(PRESUPUESTO[CUENTA],EJECUTADO[[#This Row],[CUENTA]],PRESUPUESTO[MONTO])-SUMIF($F$1:F1332,EJECUTADO[[#This Row],[CUENTA]],$M$1:M1332)</f>
        <v>121123.35</v>
      </c>
      <c r="M1333" s="2">
        <v>15078.96</v>
      </c>
      <c r="N1333" s="84"/>
      <c r="O1333" s="84"/>
      <c r="P1333" s="162">
        <f>+EJECUTADO[[#This Row],[MONTO SOLICITADO]]-EJECUTADO[[#This Row],[RETENCION IVA]]-EJECUTADO[[#This Row],[RETENCION ISR]]</f>
        <v>15078.96</v>
      </c>
      <c r="Q1333" s="84"/>
      <c r="R1333" s="84"/>
      <c r="S1333">
        <v>1</v>
      </c>
      <c r="T1333" s="168" t="str">
        <f t="shared" si="49"/>
        <v>HORAS CLASES - HORAS CLASE FACULTAD DE CIENCIAS JURIDICAS Disponible $121123.35 Solicitado $15078.96 PRESUPUESTO: SI</v>
      </c>
    </row>
    <row r="1334" spans="1:20" ht="30" x14ac:dyDescent="0.25">
      <c r="A1334" s="6">
        <f t="shared" si="50"/>
        <v>1198</v>
      </c>
      <c r="B1334" s="21">
        <v>45388</v>
      </c>
      <c r="C1334" s="126" t="s">
        <v>2673</v>
      </c>
      <c r="D1334" s="65" t="s">
        <v>343</v>
      </c>
      <c r="E1334" s="65"/>
      <c r="F1334" t="s">
        <v>1884</v>
      </c>
      <c r="G1334" s="161">
        <f>MONTH(EJECUTADO[[#This Row],[FECHA]])</f>
        <v>4</v>
      </c>
      <c r="H1334" s="163" t="str">
        <f>MID(EJECUTADO[[#This Row],[CUENTA]],1,4)</f>
        <v>E-13</v>
      </c>
      <c r="I1334" s="163" t="str">
        <f>INDEX(CATALOGO[Descripción],MATCH(EJECUTADO[[#This Row],[APLICACIÓN]]&amp;"-00-00-00",CATALOGO[Código],0))</f>
        <v>MAESTRIAS Y POSTGRADOS</v>
      </c>
      <c r="J133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 módulos</v>
      </c>
      <c r="K1334" s="161" t="str">
        <f>IF((EJECUTADO[[#This Row],[MONTO DISPONIBLE ]]-EJECUTADO[[#This Row],[MONTO SOLICITADO]])&gt;=0,"PRESUPUESTO: SI","PRESUPUESTO: NO")</f>
        <v>PRESUPUESTO: SI</v>
      </c>
      <c r="L1334" s="162">
        <f>SUMIF(PRESUPUESTO[CUENTA],EJECUTADO[[#This Row],[CUENTA]],PRESUPUESTO[MONTO])-SUMIF($F$1:F1333,EJECUTADO[[#This Row],[CUENTA]],$M$1:M1333)</f>
        <v>93438.399999999994</v>
      </c>
      <c r="M1334" s="2">
        <v>21406.400000000001</v>
      </c>
      <c r="N1334" s="84"/>
      <c r="O1334" s="84"/>
      <c r="P1334" s="162">
        <f>+EJECUTADO[[#This Row],[MONTO SOLICITADO]]-EJECUTADO[[#This Row],[RETENCION IVA]]-EJECUTADO[[#This Row],[RETENCION ISR]]</f>
        <v>21406.400000000001</v>
      </c>
      <c r="Q1334" s="84"/>
      <c r="R1334" s="84"/>
      <c r="S1334">
        <v>1</v>
      </c>
      <c r="T1334" s="168" t="str">
        <f t="shared" si="49"/>
        <v>MAESTRIAS Y POSTGRADOS - Horas Clase  módulos Disponible $93438.4 Solicitado $21406.4 PRESUPUESTO: SI</v>
      </c>
    </row>
    <row r="1335" spans="1:20" ht="45" x14ac:dyDescent="0.25">
      <c r="A1335" s="6">
        <f t="shared" si="50"/>
        <v>1199</v>
      </c>
      <c r="B1335" s="21">
        <v>45388</v>
      </c>
      <c r="C1335" s="126" t="s">
        <v>2673</v>
      </c>
      <c r="D1335" s="65" t="s">
        <v>344</v>
      </c>
      <c r="E1335" s="65"/>
      <c r="F1335" t="s">
        <v>1880</v>
      </c>
      <c r="G1335" s="161">
        <f>MONTH(EJECUTADO[[#This Row],[FECHA]])</f>
        <v>4</v>
      </c>
      <c r="H1335" s="163" t="str">
        <f>MID(EJECUTADO[[#This Row],[CUENTA]],1,4)</f>
        <v>E-13</v>
      </c>
      <c r="I1335" s="163" t="str">
        <f>INDEX(CATALOGO[Descripción],MATCH(EJECUTADO[[#This Row],[APLICACIÓN]]&amp;"-00-00-00",CATALOGO[Código],0))</f>
        <v>MAESTRIAS Y POSTGRADOS</v>
      </c>
      <c r="J133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Horas clase Procesos de Graduación</v>
      </c>
      <c r="K1335" s="161" t="str">
        <f>IF((EJECUTADO[[#This Row],[MONTO DISPONIBLE ]]-EJECUTADO[[#This Row],[MONTO SOLICITADO]])&gt;=0,"PRESUPUESTO: SI","PRESUPUESTO: NO")</f>
        <v>PRESUPUESTO: SI</v>
      </c>
      <c r="L1335" s="162">
        <f>SUMIF(PRESUPUESTO[CUENTA],EJECUTADO[[#This Row],[CUENTA]],PRESUPUESTO[MONTO])-SUMIF($F$1:F1334,EJECUTADO[[#This Row],[CUENTA]],$M$1:M1334)</f>
        <v>14784</v>
      </c>
      <c r="M1335" s="2">
        <v>2540</v>
      </c>
      <c r="N1335" s="84"/>
      <c r="O1335" s="84"/>
      <c r="P1335" s="162">
        <f>+EJECUTADO[[#This Row],[MONTO SOLICITADO]]-EJECUTADO[[#This Row],[RETENCION IVA]]-EJECUTADO[[#This Row],[RETENCION ISR]]</f>
        <v>2540</v>
      </c>
      <c r="Q1335" s="84"/>
      <c r="R1335" s="84"/>
      <c r="S1335">
        <v>1</v>
      </c>
      <c r="T1335" s="168" t="str">
        <f t="shared" si="49"/>
        <v>MAESTRIAS Y POSTGRADOS - Horas clase Procesos de Graduación Disponible $14784 Solicitado $2540 PRESUPUESTO: SI</v>
      </c>
    </row>
    <row r="1336" spans="1:20" ht="30" x14ac:dyDescent="0.25">
      <c r="A1336" s="6">
        <f t="shared" si="50"/>
        <v>1200</v>
      </c>
      <c r="B1336" s="21">
        <v>45388</v>
      </c>
      <c r="C1336" s="126" t="s">
        <v>2673</v>
      </c>
      <c r="D1336" s="65" t="s">
        <v>376</v>
      </c>
      <c r="E1336" s="65"/>
      <c r="F1336" t="s">
        <v>1882</v>
      </c>
      <c r="G1336" s="161">
        <f>MONTH(EJECUTADO[[#This Row],[FECHA]])</f>
        <v>4</v>
      </c>
      <c r="H1336" s="163" t="str">
        <f>MID(EJECUTADO[[#This Row],[CUENTA]],1,4)</f>
        <v>E-13</v>
      </c>
      <c r="I1336" s="163" t="str">
        <f>INDEX(CATALOGO[Descripción],MATCH(EJECUTADO[[#This Row],[APLICACIÓN]]&amp;"-00-00-00",CATALOGO[Código],0))</f>
        <v>MAESTRIAS Y POSTGRADOS</v>
      </c>
      <c r="J133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POSTGRADOS - HORA CLASE</v>
      </c>
      <c r="K1336" s="161" t="str">
        <f>IF((EJECUTADO[[#This Row],[MONTO DISPONIBLE ]]-EJECUTADO[[#This Row],[MONTO SOLICITADO]])&gt;=0,"PRESUPUESTO: SI","PRESUPUESTO: NO")</f>
        <v>PRESUPUESTO: NO</v>
      </c>
      <c r="L1336" s="162">
        <f>SUMIF(PRESUPUESTO[CUENTA],EJECUTADO[[#This Row],[CUENTA]],PRESUPUESTO[MONTO])-SUMIF($F$1:F1335,EJECUTADO[[#This Row],[CUENTA]],$M$1:M1335)</f>
        <v>5020</v>
      </c>
      <c r="M1336" s="2">
        <f>800+7130</f>
        <v>7930</v>
      </c>
      <c r="N1336" s="84"/>
      <c r="O1336" s="84"/>
      <c r="P1336" s="162">
        <f>+EJECUTADO[[#This Row],[MONTO SOLICITADO]]-EJECUTADO[[#This Row],[RETENCION IVA]]-EJECUTADO[[#This Row],[RETENCION ISR]]</f>
        <v>7930</v>
      </c>
      <c r="Q1336" s="84"/>
      <c r="R1336" s="84"/>
      <c r="S1336">
        <v>1</v>
      </c>
      <c r="T1336" s="168" t="str">
        <f t="shared" si="49"/>
        <v>MAESTRIAS Y POSTGRADOS - POSTGRADOS - HORA CLASE Disponible $5020 Solicitado $7930 PRESUPUESTO: NO</v>
      </c>
    </row>
    <row r="1337" spans="1:20" ht="30" x14ac:dyDescent="0.25">
      <c r="A1337" s="6">
        <f t="shared" si="50"/>
        <v>1201</v>
      </c>
      <c r="B1337" s="21">
        <v>45388</v>
      </c>
      <c r="C1337" s="126" t="s">
        <v>2673</v>
      </c>
      <c r="D1337" s="65" t="s">
        <v>450</v>
      </c>
      <c r="E1337" s="65"/>
      <c r="F1337" t="s">
        <v>1756</v>
      </c>
      <c r="G1337" s="161">
        <f>MONTH(EJECUTADO[[#This Row],[FECHA]])</f>
        <v>4</v>
      </c>
      <c r="H1337" s="163" t="str">
        <f>MID(EJECUTADO[[#This Row],[CUENTA]],1,4)</f>
        <v>E-16</v>
      </c>
      <c r="I1337" s="163" t="str">
        <f>INDEX(CATALOGO[Descripción],MATCH(EJECUTADO[[#This Row],[APLICACIÓN]]&amp;"-00-00-00",CATALOGO[Código],0))</f>
        <v xml:space="preserve">PRE-ESPECIALIDAD </v>
      </c>
      <c r="J133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Hora Clase - Modulos</v>
      </c>
      <c r="K1337" s="161" t="str">
        <f>IF((EJECUTADO[[#This Row],[MONTO DISPONIBLE ]]-EJECUTADO[[#This Row],[MONTO SOLICITADO]])&gt;=0,"PRESUPUESTO: SI","PRESUPUESTO: NO")</f>
        <v>PRESUPUESTO: SI</v>
      </c>
      <c r="L1337" s="162">
        <f>SUMIF(PRESUPUESTO[CUENTA],EJECUTADO[[#This Row],[CUENTA]],PRESUPUESTO[MONTO])-SUMIF($F$1:F1336,EJECUTADO[[#This Row],[CUENTA]],$M$1:M1336)</f>
        <v>315228.01</v>
      </c>
      <c r="M1337" s="2">
        <v>10869</v>
      </c>
      <c r="N1337" s="84"/>
      <c r="O1337" s="84"/>
      <c r="P1337" s="162">
        <f>+EJECUTADO[[#This Row],[MONTO SOLICITADO]]-EJECUTADO[[#This Row],[RETENCION IVA]]-EJECUTADO[[#This Row],[RETENCION ISR]]</f>
        <v>10869</v>
      </c>
      <c r="Q1337" s="84"/>
      <c r="R1337" s="84"/>
      <c r="S1337">
        <v>1</v>
      </c>
      <c r="T1337" s="168" t="str">
        <f t="shared" si="49"/>
        <v>PRE-ESPECIALIDAD  - Hora Clase - Modulos Disponible $315228.01 Solicitado $10869 PRESUPUESTO: SI</v>
      </c>
    </row>
    <row r="1338" spans="1:20" ht="30" x14ac:dyDescent="0.25">
      <c r="A1338" s="6">
        <f t="shared" si="50"/>
        <v>1202</v>
      </c>
      <c r="B1338" s="21">
        <v>45388</v>
      </c>
      <c r="C1338" s="126" t="s">
        <v>2673</v>
      </c>
      <c r="D1338" s="65" t="s">
        <v>451</v>
      </c>
      <c r="E1338" s="65"/>
      <c r="F1338" t="s">
        <v>2988</v>
      </c>
      <c r="G1338" s="161">
        <f>MONTH(EJECUTADO[[#This Row],[FECHA]])</f>
        <v>4</v>
      </c>
      <c r="H1338" s="163" t="str">
        <f>MID(EJECUTADO[[#This Row],[CUENTA]],1,4)</f>
        <v>E-13</v>
      </c>
      <c r="I1338" s="163" t="str">
        <f>INDEX(CATALOGO[Descripción],MATCH(EJECUTADO[[#This Row],[APLICACIÓN]]&amp;"-00-00-00",CATALOGO[Código],0))</f>
        <v>MAESTRIAS Y POSTGRADOS</v>
      </c>
      <c r="J133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Coordinador Robótica $ 800 x 12</v>
      </c>
      <c r="K1338" s="161" t="str">
        <f>IF((EJECUTADO[[#This Row],[MONTO DISPONIBLE ]]-EJECUTADO[[#This Row],[MONTO SOLICITADO]])&gt;=0,"PRESUPUESTO: SI","PRESUPUESTO: NO")</f>
        <v>PRESUPUESTO: SI</v>
      </c>
      <c r="L1338" s="162">
        <f>SUMIF(PRESUPUESTO[CUENTA],EJECUTADO[[#This Row],[CUENTA]],PRESUPUESTO[MONTO])-SUMIF($F$1:F1337,EJECUTADO[[#This Row],[CUENTA]],$M$1:M1337)</f>
        <v>9600</v>
      </c>
      <c r="M1338" s="2">
        <v>800</v>
      </c>
      <c r="N1338" s="84"/>
      <c r="O1338" s="84"/>
      <c r="P1338" s="162">
        <f>+EJECUTADO[[#This Row],[MONTO SOLICITADO]]-EJECUTADO[[#This Row],[RETENCION IVA]]-EJECUTADO[[#This Row],[RETENCION ISR]]</f>
        <v>800</v>
      </c>
      <c r="Q1338" s="84"/>
      <c r="R1338" s="84"/>
      <c r="S1338">
        <v>1</v>
      </c>
      <c r="T1338" s="168" t="str">
        <f t="shared" ref="T1338:T1404" si="59">_xlfn.CONCAT(I1338," - ",J1338," Disponible $",L1338," Solicitado $",M1338," ",K1338,)</f>
        <v>MAESTRIAS Y POSTGRADOS - Coordinador Robótica $ 800 x 12 Disponible $9600 Solicitado $800 PRESUPUESTO: SI</v>
      </c>
    </row>
    <row r="1339" spans="1:20" ht="60" x14ac:dyDescent="0.25">
      <c r="A1339" s="6">
        <f t="shared" si="50"/>
        <v>1203</v>
      </c>
      <c r="B1339" s="21">
        <v>45352</v>
      </c>
      <c r="C1339" s="126" t="s">
        <v>2989</v>
      </c>
      <c r="D1339" s="65" t="s">
        <v>2546</v>
      </c>
      <c r="E1339" s="65" t="s">
        <v>2547</v>
      </c>
      <c r="F1339" t="s">
        <v>1752</v>
      </c>
      <c r="G1339" s="161">
        <f>MONTH(EJECUTADO[[#This Row],[FECHA]])</f>
        <v>3</v>
      </c>
      <c r="H1339" s="163" t="str">
        <f>MID(EJECUTADO[[#This Row],[CUENTA]],1,4)</f>
        <v>E-02</v>
      </c>
      <c r="I1339" s="163" t="str">
        <f>INDEX(CATALOGO[Descripción],MATCH(EJECUTADO[[#This Row],[APLICACIÓN]]&amp;"-00-00-00",CATALOGO[Código],0))</f>
        <v>PRESTAMOS BANCARIOS</v>
      </c>
      <c r="J133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39" s="161" t="str">
        <f>IF((EJECUTADO[[#This Row],[MONTO DISPONIBLE ]]-EJECUTADO[[#This Row],[MONTO SOLICITADO]])&gt;=0,"PRESUPUESTO: SI","PRESUPUESTO: NO")</f>
        <v>PRESUPUESTO: SI</v>
      </c>
      <c r="L1339" s="162">
        <f>SUMIF(PRESUPUESTO[CUENTA],EJECUTADO[[#This Row],[CUENTA]],PRESUPUESTO[MONTO])-SUMIF($F$1:F1338,EJECUTADO[[#This Row],[CUENTA]],$M$1:M1338)</f>
        <v>106214.63</v>
      </c>
      <c r="M1339" s="2">
        <v>2.83</v>
      </c>
      <c r="N1339" s="84"/>
      <c r="O1339" s="84"/>
      <c r="P1339" s="162">
        <f>+EJECUTADO[[#This Row],[MONTO SOLICITADO]]-EJECUTADO[[#This Row],[RETENCION IVA]]-EJECUTADO[[#This Row],[RETENCION ISR]]</f>
        <v>2.83</v>
      </c>
      <c r="Q1339" s="84"/>
      <c r="R1339" s="84"/>
      <c r="S1339">
        <v>1</v>
      </c>
      <c r="T1339" s="168" t="str">
        <f t="shared" si="59"/>
        <v>PRESTAMOS BANCARIOS - COMISIONES BANCARIOS Disponible $106214.63 Solicitado $2.83 PRESUPUESTO: SI</v>
      </c>
    </row>
    <row r="1340" spans="1:20" ht="75" x14ac:dyDescent="0.25">
      <c r="A1340" s="6">
        <f t="shared" si="50"/>
        <v>1204</v>
      </c>
      <c r="B1340" s="21">
        <v>45352</v>
      </c>
      <c r="C1340" s="126" t="s">
        <v>2990</v>
      </c>
      <c r="D1340" s="65" t="s">
        <v>2619</v>
      </c>
      <c r="E1340" s="65" t="s">
        <v>2620</v>
      </c>
      <c r="F1340" t="s">
        <v>1752</v>
      </c>
      <c r="G1340" s="161">
        <f>MONTH(EJECUTADO[[#This Row],[FECHA]])</f>
        <v>3</v>
      </c>
      <c r="H1340" s="163" t="str">
        <f>MID(EJECUTADO[[#This Row],[CUENTA]],1,4)</f>
        <v>E-02</v>
      </c>
      <c r="I1340" s="163" t="str">
        <f>INDEX(CATALOGO[Descripción],MATCH(EJECUTADO[[#This Row],[APLICACIÓN]]&amp;"-00-00-00",CATALOGO[Código],0))</f>
        <v>PRESTAMOS BANCARIOS</v>
      </c>
      <c r="J134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0" s="161" t="str">
        <f>IF((EJECUTADO[[#This Row],[MONTO DISPONIBLE ]]-EJECUTADO[[#This Row],[MONTO SOLICITADO]])&gt;=0,"PRESUPUESTO: SI","PRESUPUESTO: NO")</f>
        <v>PRESUPUESTO: SI</v>
      </c>
      <c r="L1340" s="162">
        <f>SUMIF(PRESUPUESTO[CUENTA],EJECUTADO[[#This Row],[CUENTA]],PRESUPUESTO[MONTO])-SUMIF($F$1:F1339,EJECUTADO[[#This Row],[CUENTA]],$M$1:M1339)</f>
        <v>106211.8</v>
      </c>
      <c r="M1340" s="2">
        <v>125.76</v>
      </c>
      <c r="N1340" s="84"/>
      <c r="O1340" s="84"/>
      <c r="P1340" s="162">
        <f>+EJECUTADO[[#This Row],[MONTO SOLICITADO]]-EJECUTADO[[#This Row],[RETENCION IVA]]-EJECUTADO[[#This Row],[RETENCION ISR]]</f>
        <v>125.76</v>
      </c>
      <c r="Q1340" s="84"/>
      <c r="R1340" s="84"/>
      <c r="S1340">
        <v>1</v>
      </c>
      <c r="T1340" s="168" t="str">
        <f t="shared" si="59"/>
        <v>PRESTAMOS BANCARIOS - COMISIONES BANCARIOS Disponible $106211.8 Solicitado $125.76 PRESUPUESTO: SI</v>
      </c>
    </row>
    <row r="1341" spans="1:20" ht="60" x14ac:dyDescent="0.25">
      <c r="A1341" s="6">
        <f t="shared" si="50"/>
        <v>1205</v>
      </c>
      <c r="B1341" s="21">
        <v>45352</v>
      </c>
      <c r="C1341" s="126" t="s">
        <v>2990</v>
      </c>
      <c r="D1341" s="65" t="s">
        <v>2621</v>
      </c>
      <c r="E1341" s="65" t="s">
        <v>2622</v>
      </c>
      <c r="F1341" t="s">
        <v>1752</v>
      </c>
      <c r="G1341" s="161">
        <f>MONTH(EJECUTADO[[#This Row],[FECHA]])</f>
        <v>3</v>
      </c>
      <c r="H1341" s="163" t="str">
        <f>MID(EJECUTADO[[#This Row],[CUENTA]],1,4)</f>
        <v>E-02</v>
      </c>
      <c r="I1341" s="163" t="str">
        <f>INDEX(CATALOGO[Descripción],MATCH(EJECUTADO[[#This Row],[APLICACIÓN]]&amp;"-00-00-00",CATALOGO[Código],0))</f>
        <v>PRESTAMOS BANCARIOS</v>
      </c>
      <c r="J134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1" s="161" t="str">
        <f>IF((EJECUTADO[[#This Row],[MONTO DISPONIBLE ]]-EJECUTADO[[#This Row],[MONTO SOLICITADO]])&gt;=0,"PRESUPUESTO: SI","PRESUPUESTO: NO")</f>
        <v>PRESUPUESTO: SI</v>
      </c>
      <c r="L1341" s="162">
        <f>SUMIF(PRESUPUESTO[CUENTA],EJECUTADO[[#This Row],[CUENTA]],PRESUPUESTO[MONTO])-SUMIF($F$1:F1340,EJECUTADO[[#This Row],[CUENTA]],$M$1:M1340)</f>
        <v>106086.04000000001</v>
      </c>
      <c r="M1341" s="2">
        <v>27.37</v>
      </c>
      <c r="N1341" s="84"/>
      <c r="O1341" s="84"/>
      <c r="P1341" s="162">
        <f>+EJECUTADO[[#This Row],[MONTO SOLICITADO]]-EJECUTADO[[#This Row],[RETENCION IVA]]-EJECUTADO[[#This Row],[RETENCION ISR]]</f>
        <v>27.37</v>
      </c>
      <c r="Q1341" s="84"/>
      <c r="R1341" s="84"/>
      <c r="S1341">
        <v>1</v>
      </c>
      <c r="T1341" s="168" t="str">
        <f t="shared" si="59"/>
        <v>PRESTAMOS BANCARIOS - COMISIONES BANCARIOS Disponible $106086.04 Solicitado $27.37 PRESUPUESTO: SI</v>
      </c>
    </row>
    <row r="1342" spans="1:20" ht="105" x14ac:dyDescent="0.25">
      <c r="A1342" s="6">
        <f t="shared" si="50"/>
        <v>1206</v>
      </c>
      <c r="B1342" s="21">
        <v>45355</v>
      </c>
      <c r="C1342" s="126" t="s">
        <v>2991</v>
      </c>
      <c r="D1342" s="65" t="s">
        <v>2992</v>
      </c>
      <c r="E1342" s="65" t="s">
        <v>2993</v>
      </c>
      <c r="F1342" t="s">
        <v>1752</v>
      </c>
      <c r="G1342" s="161">
        <f>MONTH(EJECUTADO[[#This Row],[FECHA]])</f>
        <v>3</v>
      </c>
      <c r="H1342" s="163" t="str">
        <f>MID(EJECUTADO[[#This Row],[CUENTA]],1,4)</f>
        <v>E-02</v>
      </c>
      <c r="I1342" s="163" t="str">
        <f>INDEX(CATALOGO[Descripción],MATCH(EJECUTADO[[#This Row],[APLICACIÓN]]&amp;"-00-00-00",CATALOGO[Código],0))</f>
        <v>PRESTAMOS BANCARIOS</v>
      </c>
      <c r="J134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2" s="161" t="str">
        <f>IF((EJECUTADO[[#This Row],[MONTO DISPONIBLE ]]-EJECUTADO[[#This Row],[MONTO SOLICITADO]])&gt;=0,"PRESUPUESTO: SI","PRESUPUESTO: NO")</f>
        <v>PRESUPUESTO: SI</v>
      </c>
      <c r="L1342" s="162">
        <f>SUMIF(PRESUPUESTO[CUENTA],EJECUTADO[[#This Row],[CUENTA]],PRESUPUESTO[MONTO])-SUMIF($F$1:F1341,EJECUTADO[[#This Row],[CUENTA]],$M$1:M1341)</f>
        <v>106058.67</v>
      </c>
      <c r="M1342" s="2">
        <v>11.3</v>
      </c>
      <c r="N1342" s="84"/>
      <c r="O1342" s="84"/>
      <c r="P1342" s="162">
        <f>+EJECUTADO[[#This Row],[MONTO SOLICITADO]]-EJECUTADO[[#This Row],[RETENCION IVA]]-EJECUTADO[[#This Row],[RETENCION ISR]]</f>
        <v>11.3</v>
      </c>
      <c r="Q1342" s="84"/>
      <c r="R1342" s="84"/>
      <c r="S1342">
        <v>1</v>
      </c>
      <c r="T1342" s="168" t="str">
        <f t="shared" si="59"/>
        <v>PRESTAMOS BANCARIOS - COMISIONES BANCARIOS Disponible $106058.67 Solicitado $11.3 PRESUPUESTO: SI</v>
      </c>
    </row>
    <row r="1343" spans="1:20" ht="60" x14ac:dyDescent="0.25">
      <c r="A1343" s="6">
        <f t="shared" ref="A1343:A1408" si="60">+A1342+1</f>
        <v>1207</v>
      </c>
      <c r="B1343" s="21">
        <v>45356</v>
      </c>
      <c r="C1343" s="126" t="s">
        <v>2989</v>
      </c>
      <c r="D1343" s="65" t="s">
        <v>2548</v>
      </c>
      <c r="E1343" s="65" t="s">
        <v>2549</v>
      </c>
      <c r="F1343" t="s">
        <v>1752</v>
      </c>
      <c r="G1343" s="161">
        <f>MONTH(EJECUTADO[[#This Row],[FECHA]])</f>
        <v>3</v>
      </c>
      <c r="H1343" s="163" t="str">
        <f>MID(EJECUTADO[[#This Row],[CUENTA]],1,4)</f>
        <v>E-02</v>
      </c>
      <c r="I1343" s="163" t="str">
        <f>INDEX(CATALOGO[Descripción],MATCH(EJECUTADO[[#This Row],[APLICACIÓN]]&amp;"-00-00-00",CATALOGO[Código],0))</f>
        <v>PRESTAMOS BANCARIOS</v>
      </c>
      <c r="J134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3" s="161" t="str">
        <f>IF((EJECUTADO[[#This Row],[MONTO DISPONIBLE ]]-EJECUTADO[[#This Row],[MONTO SOLICITADO]])&gt;=0,"PRESUPUESTO: SI","PRESUPUESTO: NO")</f>
        <v>PRESUPUESTO: SI</v>
      </c>
      <c r="L1343" s="162">
        <f>SUMIF(PRESUPUESTO[CUENTA],EJECUTADO[[#This Row],[CUENTA]],PRESUPUESTO[MONTO])-SUMIF($F$1:F1342,EJECUTADO[[#This Row],[CUENTA]],$M$1:M1342)</f>
        <v>106047.37</v>
      </c>
      <c r="M1343" s="2">
        <v>2.83</v>
      </c>
      <c r="N1343" s="84"/>
      <c r="O1343" s="84"/>
      <c r="P1343" s="162">
        <f>+EJECUTADO[[#This Row],[MONTO SOLICITADO]]-EJECUTADO[[#This Row],[RETENCION IVA]]-EJECUTADO[[#This Row],[RETENCION ISR]]</f>
        <v>2.83</v>
      </c>
      <c r="Q1343" s="84"/>
      <c r="R1343" s="84"/>
      <c r="S1343">
        <v>1</v>
      </c>
      <c r="T1343" s="168" t="str">
        <f t="shared" si="59"/>
        <v>PRESTAMOS BANCARIOS - COMISIONES BANCARIOS Disponible $106047.37 Solicitado $2.83 PRESUPUESTO: SI</v>
      </c>
    </row>
    <row r="1344" spans="1:20" ht="60" x14ac:dyDescent="0.25">
      <c r="A1344" s="6">
        <f t="shared" si="60"/>
        <v>1208</v>
      </c>
      <c r="B1344" s="21">
        <v>45357</v>
      </c>
      <c r="C1344" s="126" t="s">
        <v>2989</v>
      </c>
      <c r="D1344" s="65" t="s">
        <v>2550</v>
      </c>
      <c r="E1344" s="65" t="s">
        <v>2551</v>
      </c>
      <c r="F1344" t="s">
        <v>1752</v>
      </c>
      <c r="G1344" s="161">
        <f>MONTH(EJECUTADO[[#This Row],[FECHA]])</f>
        <v>3</v>
      </c>
      <c r="H1344" s="163" t="str">
        <f>MID(EJECUTADO[[#This Row],[CUENTA]],1,4)</f>
        <v>E-02</v>
      </c>
      <c r="I1344" s="163" t="str">
        <f>INDEX(CATALOGO[Descripción],MATCH(EJECUTADO[[#This Row],[APLICACIÓN]]&amp;"-00-00-00",CATALOGO[Código],0))</f>
        <v>PRESTAMOS BANCARIOS</v>
      </c>
      <c r="J134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4" s="161" t="str">
        <f>IF((EJECUTADO[[#This Row],[MONTO DISPONIBLE ]]-EJECUTADO[[#This Row],[MONTO SOLICITADO]])&gt;=0,"PRESUPUESTO: SI","PRESUPUESTO: NO")</f>
        <v>PRESUPUESTO: SI</v>
      </c>
      <c r="L1344" s="162">
        <f>SUMIF(PRESUPUESTO[CUENTA],EJECUTADO[[#This Row],[CUENTA]],PRESUPUESTO[MONTO])-SUMIF($F$1:F1343,EJECUTADO[[#This Row],[CUENTA]],$M$1:M1343)</f>
        <v>106044.54000000001</v>
      </c>
      <c r="M1344" s="2">
        <v>2.83</v>
      </c>
      <c r="N1344" s="84"/>
      <c r="O1344" s="84"/>
      <c r="P1344" s="162">
        <f>+EJECUTADO[[#This Row],[MONTO SOLICITADO]]-EJECUTADO[[#This Row],[RETENCION IVA]]-EJECUTADO[[#This Row],[RETENCION ISR]]</f>
        <v>2.83</v>
      </c>
      <c r="Q1344" s="84"/>
      <c r="R1344" s="84"/>
      <c r="S1344">
        <v>1</v>
      </c>
      <c r="T1344" s="168" t="str">
        <f t="shared" si="59"/>
        <v>PRESTAMOS BANCARIOS - COMISIONES BANCARIOS Disponible $106044.54 Solicitado $2.83 PRESUPUESTO: SI</v>
      </c>
    </row>
    <row r="1345" spans="1:20" ht="75" x14ac:dyDescent="0.25">
      <c r="A1345" s="6">
        <f t="shared" si="60"/>
        <v>1209</v>
      </c>
      <c r="B1345" s="21">
        <v>45357</v>
      </c>
      <c r="C1345" s="126" t="s">
        <v>2991</v>
      </c>
      <c r="D1345" s="65" t="s">
        <v>2565</v>
      </c>
      <c r="E1345" s="65" t="s">
        <v>2566</v>
      </c>
      <c r="F1345" t="s">
        <v>1752</v>
      </c>
      <c r="G1345" s="161">
        <f>MONTH(EJECUTADO[[#This Row],[FECHA]])</f>
        <v>3</v>
      </c>
      <c r="H1345" s="163" t="str">
        <f>MID(EJECUTADO[[#This Row],[CUENTA]],1,4)</f>
        <v>E-02</v>
      </c>
      <c r="I1345" s="163" t="str">
        <f>INDEX(CATALOGO[Descripción],MATCH(EJECUTADO[[#This Row],[APLICACIÓN]]&amp;"-00-00-00",CATALOGO[Código],0))</f>
        <v>PRESTAMOS BANCARIOS</v>
      </c>
      <c r="J134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5" s="161" t="str">
        <f>IF((EJECUTADO[[#This Row],[MONTO DISPONIBLE ]]-EJECUTADO[[#This Row],[MONTO SOLICITADO]])&gt;=0,"PRESUPUESTO: SI","PRESUPUESTO: NO")</f>
        <v>PRESUPUESTO: SI</v>
      </c>
      <c r="L1345" s="162">
        <f>SUMIF(PRESUPUESTO[CUENTA],EJECUTADO[[#This Row],[CUENTA]],PRESUPUESTO[MONTO])-SUMIF($F$1:F1344,EJECUTADO[[#This Row],[CUENTA]],$M$1:M1344)</f>
        <v>106041.71</v>
      </c>
      <c r="M1345" s="2">
        <v>33.9</v>
      </c>
      <c r="N1345" s="84"/>
      <c r="O1345" s="84"/>
      <c r="P1345" s="162">
        <f>+EJECUTADO[[#This Row],[MONTO SOLICITADO]]-EJECUTADO[[#This Row],[RETENCION IVA]]-EJECUTADO[[#This Row],[RETENCION ISR]]</f>
        <v>33.9</v>
      </c>
      <c r="Q1345" s="84"/>
      <c r="R1345" s="84"/>
      <c r="S1345">
        <v>1</v>
      </c>
      <c r="T1345" s="168" t="str">
        <f t="shared" si="59"/>
        <v>PRESTAMOS BANCARIOS - COMISIONES BANCARIOS Disponible $106041.71 Solicitado $33.9 PRESUPUESTO: SI</v>
      </c>
    </row>
    <row r="1346" spans="1:20" ht="75" x14ac:dyDescent="0.25">
      <c r="A1346" s="6">
        <f t="shared" si="60"/>
        <v>1210</v>
      </c>
      <c r="B1346" s="21">
        <v>45358</v>
      </c>
      <c r="C1346" s="126" t="s">
        <v>2990</v>
      </c>
      <c r="D1346" s="65" t="s">
        <v>2623</v>
      </c>
      <c r="E1346" s="65" t="s">
        <v>2624</v>
      </c>
      <c r="F1346" t="s">
        <v>1752</v>
      </c>
      <c r="G1346" s="161">
        <f>MONTH(EJECUTADO[[#This Row],[FECHA]])</f>
        <v>3</v>
      </c>
      <c r="H1346" s="163" t="str">
        <f>MID(EJECUTADO[[#This Row],[CUENTA]],1,4)</f>
        <v>E-02</v>
      </c>
      <c r="I1346" s="163" t="str">
        <f>INDEX(CATALOGO[Descripción],MATCH(EJECUTADO[[#This Row],[APLICACIÓN]]&amp;"-00-00-00",CATALOGO[Código],0))</f>
        <v>PRESTAMOS BANCARIOS</v>
      </c>
      <c r="J134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6" s="161" t="str">
        <f>IF((EJECUTADO[[#This Row],[MONTO DISPONIBLE ]]-EJECUTADO[[#This Row],[MONTO SOLICITADO]])&gt;=0,"PRESUPUESTO: SI","PRESUPUESTO: NO")</f>
        <v>PRESUPUESTO: SI</v>
      </c>
      <c r="L1346" s="162">
        <f>SUMIF(PRESUPUESTO[CUENTA],EJECUTADO[[#This Row],[CUENTA]],PRESUPUESTO[MONTO])-SUMIF($F$1:F1345,EJECUTADO[[#This Row],[CUENTA]],$M$1:M1345)</f>
        <v>106007.81</v>
      </c>
      <c r="M1346" s="2">
        <v>28.25</v>
      </c>
      <c r="N1346" s="84"/>
      <c r="O1346" s="84"/>
      <c r="P1346" s="162">
        <f>+EJECUTADO[[#This Row],[MONTO SOLICITADO]]-EJECUTADO[[#This Row],[RETENCION IVA]]-EJECUTADO[[#This Row],[RETENCION ISR]]</f>
        <v>28.25</v>
      </c>
      <c r="Q1346" s="84"/>
      <c r="R1346" s="84"/>
      <c r="S1346">
        <v>1</v>
      </c>
      <c r="T1346" s="168" t="str">
        <f t="shared" si="59"/>
        <v>PRESTAMOS BANCARIOS - COMISIONES BANCARIOS Disponible $106007.81 Solicitado $28.25 PRESUPUESTO: SI</v>
      </c>
    </row>
    <row r="1347" spans="1:20" ht="60" x14ac:dyDescent="0.25">
      <c r="A1347" s="6">
        <f t="shared" si="60"/>
        <v>1211</v>
      </c>
      <c r="B1347" s="21">
        <v>45359</v>
      </c>
      <c r="C1347" s="126" t="s">
        <v>2989</v>
      </c>
      <c r="D1347" s="65" t="s">
        <v>2552</v>
      </c>
      <c r="E1347" s="65" t="s">
        <v>2553</v>
      </c>
      <c r="F1347" t="s">
        <v>1752</v>
      </c>
      <c r="G1347" s="161">
        <f>MONTH(EJECUTADO[[#This Row],[FECHA]])</f>
        <v>3</v>
      </c>
      <c r="H1347" s="163" t="str">
        <f>MID(EJECUTADO[[#This Row],[CUENTA]],1,4)</f>
        <v>E-02</v>
      </c>
      <c r="I1347" s="163" t="str">
        <f>INDEX(CATALOGO[Descripción],MATCH(EJECUTADO[[#This Row],[APLICACIÓN]]&amp;"-00-00-00",CATALOGO[Código],0))</f>
        <v>PRESTAMOS BANCARIOS</v>
      </c>
      <c r="J134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7" s="161" t="str">
        <f>IF((EJECUTADO[[#This Row],[MONTO DISPONIBLE ]]-EJECUTADO[[#This Row],[MONTO SOLICITADO]])&gt;=0,"PRESUPUESTO: SI","PRESUPUESTO: NO")</f>
        <v>PRESUPUESTO: SI</v>
      </c>
      <c r="L1347" s="162">
        <f>SUMIF(PRESUPUESTO[CUENTA],EJECUTADO[[#This Row],[CUENTA]],PRESUPUESTO[MONTO])-SUMIF($F$1:F1346,EJECUTADO[[#This Row],[CUENTA]],$M$1:M1346)</f>
        <v>105979.56</v>
      </c>
      <c r="M1347" s="2">
        <v>5.65</v>
      </c>
      <c r="N1347" s="84"/>
      <c r="O1347" s="84"/>
      <c r="P1347" s="162">
        <f>+EJECUTADO[[#This Row],[MONTO SOLICITADO]]-EJECUTADO[[#This Row],[RETENCION IVA]]-EJECUTADO[[#This Row],[RETENCION ISR]]</f>
        <v>5.65</v>
      </c>
      <c r="Q1347" s="84"/>
      <c r="R1347" s="84"/>
      <c r="S1347">
        <v>1</v>
      </c>
      <c r="T1347" s="168" t="str">
        <f t="shared" si="59"/>
        <v>PRESTAMOS BANCARIOS - COMISIONES BANCARIOS Disponible $105979.56 Solicitado $5.65 PRESUPUESTO: SI</v>
      </c>
    </row>
    <row r="1348" spans="1:20" ht="60" x14ac:dyDescent="0.25">
      <c r="A1348" s="6">
        <f t="shared" si="60"/>
        <v>1212</v>
      </c>
      <c r="B1348" s="21">
        <v>45362</v>
      </c>
      <c r="C1348" s="126" t="s">
        <v>2989</v>
      </c>
      <c r="D1348" s="65" t="s">
        <v>2554</v>
      </c>
      <c r="E1348" s="65" t="s">
        <v>2555</v>
      </c>
      <c r="F1348" t="s">
        <v>1752</v>
      </c>
      <c r="G1348" s="161">
        <f>MONTH(EJECUTADO[[#This Row],[FECHA]])</f>
        <v>3</v>
      </c>
      <c r="H1348" s="163" t="str">
        <f>MID(EJECUTADO[[#This Row],[CUENTA]],1,4)</f>
        <v>E-02</v>
      </c>
      <c r="I1348" s="163" t="str">
        <f>INDEX(CATALOGO[Descripción],MATCH(EJECUTADO[[#This Row],[APLICACIÓN]]&amp;"-00-00-00",CATALOGO[Código],0))</f>
        <v>PRESTAMOS BANCARIOS</v>
      </c>
      <c r="J134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8" s="161" t="str">
        <f>IF((EJECUTADO[[#This Row],[MONTO DISPONIBLE ]]-EJECUTADO[[#This Row],[MONTO SOLICITADO]])&gt;=0,"PRESUPUESTO: SI","PRESUPUESTO: NO")</f>
        <v>PRESUPUESTO: SI</v>
      </c>
      <c r="L1348" s="162">
        <f>SUMIF(PRESUPUESTO[CUENTA],EJECUTADO[[#This Row],[CUENTA]],PRESUPUESTO[MONTO])-SUMIF($F$1:F1347,EJECUTADO[[#This Row],[CUENTA]],$M$1:M1347)</f>
        <v>105973.91</v>
      </c>
      <c r="M1348" s="2">
        <v>2.83</v>
      </c>
      <c r="N1348" s="84"/>
      <c r="O1348" s="84"/>
      <c r="P1348" s="162">
        <f>+EJECUTADO[[#This Row],[MONTO SOLICITADO]]-EJECUTADO[[#This Row],[RETENCION IVA]]-EJECUTADO[[#This Row],[RETENCION ISR]]</f>
        <v>2.83</v>
      </c>
      <c r="Q1348" s="84"/>
      <c r="R1348" s="84"/>
      <c r="S1348">
        <v>1</v>
      </c>
      <c r="T1348" s="168" t="str">
        <f t="shared" si="59"/>
        <v>PRESTAMOS BANCARIOS - COMISIONES BANCARIOS Disponible $105973.91 Solicitado $2.83 PRESUPUESTO: SI</v>
      </c>
    </row>
    <row r="1349" spans="1:20" ht="90" x14ac:dyDescent="0.25">
      <c r="A1349" s="6">
        <f t="shared" si="60"/>
        <v>1213</v>
      </c>
      <c r="B1349" s="21">
        <v>45362</v>
      </c>
      <c r="C1349" s="126" t="s">
        <v>2991</v>
      </c>
      <c r="D1349" s="65" t="s">
        <v>2607</v>
      </c>
      <c r="E1349" s="65" t="s">
        <v>2608</v>
      </c>
      <c r="F1349" t="s">
        <v>1752</v>
      </c>
      <c r="G1349" s="161">
        <f>MONTH(EJECUTADO[[#This Row],[FECHA]])</f>
        <v>3</v>
      </c>
      <c r="H1349" s="163" t="str">
        <f>MID(EJECUTADO[[#This Row],[CUENTA]],1,4)</f>
        <v>E-02</v>
      </c>
      <c r="I1349" s="163" t="str">
        <f>INDEX(CATALOGO[Descripción],MATCH(EJECUTADO[[#This Row],[APLICACIÓN]]&amp;"-00-00-00",CATALOGO[Código],0))</f>
        <v>PRESTAMOS BANCARIOS</v>
      </c>
      <c r="J134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49" s="161" t="str">
        <f>IF((EJECUTADO[[#This Row],[MONTO DISPONIBLE ]]-EJECUTADO[[#This Row],[MONTO SOLICITADO]])&gt;=0,"PRESUPUESTO: SI","PRESUPUESTO: NO")</f>
        <v>PRESUPUESTO: SI</v>
      </c>
      <c r="L1349" s="162">
        <f>SUMIF(PRESUPUESTO[CUENTA],EJECUTADO[[#This Row],[CUENTA]],PRESUPUESTO[MONTO])-SUMIF($F$1:F1348,EJECUTADO[[#This Row],[CUENTA]],$M$1:M1348)</f>
        <v>105971.08</v>
      </c>
      <c r="M1349" s="2">
        <v>28.25</v>
      </c>
      <c r="N1349" s="84"/>
      <c r="O1349" s="84"/>
      <c r="P1349" s="162">
        <f>+EJECUTADO[[#This Row],[MONTO SOLICITADO]]-EJECUTADO[[#This Row],[RETENCION IVA]]-EJECUTADO[[#This Row],[RETENCION ISR]]</f>
        <v>28.25</v>
      </c>
      <c r="Q1349" s="84"/>
      <c r="R1349" s="84"/>
      <c r="S1349">
        <v>1</v>
      </c>
      <c r="T1349" s="168" t="str">
        <f t="shared" si="59"/>
        <v>PRESTAMOS BANCARIOS - COMISIONES BANCARIOS Disponible $105971.08 Solicitado $28.25 PRESUPUESTO: SI</v>
      </c>
    </row>
    <row r="1350" spans="1:20" ht="75" x14ac:dyDescent="0.25">
      <c r="A1350" s="6">
        <f t="shared" si="60"/>
        <v>1214</v>
      </c>
      <c r="B1350" s="21">
        <v>45362</v>
      </c>
      <c r="C1350" s="126" t="s">
        <v>2994</v>
      </c>
      <c r="D1350" s="65" t="s">
        <v>2995</v>
      </c>
      <c r="E1350" s="65" t="s">
        <v>2996</v>
      </c>
      <c r="F1350" t="s">
        <v>1752</v>
      </c>
      <c r="G1350" s="161">
        <f>MONTH(EJECUTADO[[#This Row],[FECHA]])</f>
        <v>3</v>
      </c>
      <c r="H1350" s="163" t="str">
        <f>MID(EJECUTADO[[#This Row],[CUENTA]],1,4)</f>
        <v>E-02</v>
      </c>
      <c r="I1350" s="163" t="str">
        <f>INDEX(CATALOGO[Descripción],MATCH(EJECUTADO[[#This Row],[APLICACIÓN]]&amp;"-00-00-00",CATALOGO[Código],0))</f>
        <v>PRESTAMOS BANCARIOS</v>
      </c>
      <c r="J135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0" s="161" t="str">
        <f>IF((EJECUTADO[[#This Row],[MONTO DISPONIBLE ]]-EJECUTADO[[#This Row],[MONTO SOLICITADO]])&gt;=0,"PRESUPUESTO: SI","PRESUPUESTO: NO")</f>
        <v>PRESUPUESTO: SI</v>
      </c>
      <c r="L1350" s="162">
        <f>SUMIF(PRESUPUESTO[CUENTA],EJECUTADO[[#This Row],[CUENTA]],PRESUPUESTO[MONTO])-SUMIF($F$1:F1349,EJECUTADO[[#This Row],[CUENTA]],$M$1:M1349)</f>
        <v>105942.83</v>
      </c>
      <c r="M1350" s="2">
        <v>1.92</v>
      </c>
      <c r="N1350" s="84"/>
      <c r="O1350" s="84"/>
      <c r="P1350" s="162">
        <f>+EJECUTADO[[#This Row],[MONTO SOLICITADO]]-EJECUTADO[[#This Row],[RETENCION IVA]]-EJECUTADO[[#This Row],[RETENCION ISR]]</f>
        <v>1.92</v>
      </c>
      <c r="Q1350" s="84"/>
      <c r="R1350" s="84"/>
      <c r="S1350">
        <v>1</v>
      </c>
      <c r="T1350" s="168" t="str">
        <f t="shared" si="59"/>
        <v>PRESTAMOS BANCARIOS - COMISIONES BANCARIOS Disponible $105942.83 Solicitado $1.92 PRESUPUESTO: SI</v>
      </c>
    </row>
    <row r="1351" spans="1:20" ht="75" x14ac:dyDescent="0.25">
      <c r="A1351" s="6">
        <f t="shared" si="60"/>
        <v>1215</v>
      </c>
      <c r="B1351" s="21">
        <v>45365</v>
      </c>
      <c r="C1351" s="126" t="s">
        <v>2989</v>
      </c>
      <c r="D1351" s="65" t="s">
        <v>2556</v>
      </c>
      <c r="E1351" s="65" t="s">
        <v>2557</v>
      </c>
      <c r="F1351" t="s">
        <v>1752</v>
      </c>
      <c r="G1351" s="161">
        <f>MONTH(EJECUTADO[[#This Row],[FECHA]])</f>
        <v>3</v>
      </c>
      <c r="H1351" s="163" t="str">
        <f>MID(EJECUTADO[[#This Row],[CUENTA]],1,4)</f>
        <v>E-02</v>
      </c>
      <c r="I1351" s="163" t="str">
        <f>INDEX(CATALOGO[Descripción],MATCH(EJECUTADO[[#This Row],[APLICACIÓN]]&amp;"-00-00-00",CATALOGO[Código],0))</f>
        <v>PRESTAMOS BANCARIOS</v>
      </c>
      <c r="J135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1" s="161" t="str">
        <f>IF((EJECUTADO[[#This Row],[MONTO DISPONIBLE ]]-EJECUTADO[[#This Row],[MONTO SOLICITADO]])&gt;=0,"PRESUPUESTO: SI","PRESUPUESTO: NO")</f>
        <v>PRESUPUESTO: SI</v>
      </c>
      <c r="L1351" s="162">
        <f>SUMIF(PRESUPUESTO[CUENTA],EJECUTADO[[#This Row],[CUENTA]],PRESUPUESTO[MONTO])-SUMIF($F$1:F1350,EJECUTADO[[#This Row],[CUENTA]],$M$1:M1350)</f>
        <v>105940.91</v>
      </c>
      <c r="M1351" s="2">
        <v>2.83</v>
      </c>
      <c r="N1351" s="84"/>
      <c r="O1351" s="84"/>
      <c r="P1351" s="162">
        <f>+EJECUTADO[[#This Row],[MONTO SOLICITADO]]-EJECUTADO[[#This Row],[RETENCION IVA]]-EJECUTADO[[#This Row],[RETENCION ISR]]</f>
        <v>2.83</v>
      </c>
      <c r="Q1351" s="84"/>
      <c r="R1351" s="84"/>
      <c r="S1351">
        <v>1</v>
      </c>
      <c r="T1351" s="168" t="str">
        <f t="shared" si="59"/>
        <v>PRESTAMOS BANCARIOS - COMISIONES BANCARIOS Disponible $105940.91 Solicitado $2.83 PRESUPUESTO: SI</v>
      </c>
    </row>
    <row r="1352" spans="1:20" ht="60" x14ac:dyDescent="0.25">
      <c r="A1352" s="6">
        <f t="shared" si="60"/>
        <v>1216</v>
      </c>
      <c r="B1352" s="21">
        <v>45365</v>
      </c>
      <c r="C1352" s="126" t="s">
        <v>2997</v>
      </c>
      <c r="D1352" s="65" t="s">
        <v>2998</v>
      </c>
      <c r="E1352" s="65" t="s">
        <v>2999</v>
      </c>
      <c r="F1352" t="s">
        <v>1752</v>
      </c>
      <c r="G1352" s="161">
        <f>MONTH(EJECUTADO[[#This Row],[FECHA]])</f>
        <v>3</v>
      </c>
      <c r="H1352" s="163" t="str">
        <f>MID(EJECUTADO[[#This Row],[CUENTA]],1,4)</f>
        <v>E-02</v>
      </c>
      <c r="I1352" s="163" t="str">
        <f>INDEX(CATALOGO[Descripción],MATCH(EJECUTADO[[#This Row],[APLICACIÓN]]&amp;"-00-00-00",CATALOGO[Código],0))</f>
        <v>PRESTAMOS BANCARIOS</v>
      </c>
      <c r="J135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2" s="161" t="str">
        <f>IF((EJECUTADO[[#This Row],[MONTO DISPONIBLE ]]-EJECUTADO[[#This Row],[MONTO SOLICITADO]])&gt;=0,"PRESUPUESTO: SI","PRESUPUESTO: NO")</f>
        <v>PRESUPUESTO: SI</v>
      </c>
      <c r="L1352" s="162">
        <f>SUMIF(PRESUPUESTO[CUENTA],EJECUTADO[[#This Row],[CUENTA]],PRESUPUESTO[MONTO])-SUMIF($F$1:F1351,EJECUTADO[[#This Row],[CUENTA]],$M$1:M1351)</f>
        <v>105938.08</v>
      </c>
      <c r="M1352" s="2">
        <v>128.82</v>
      </c>
      <c r="N1352" s="84"/>
      <c r="O1352" s="84"/>
      <c r="P1352" s="162">
        <f>+EJECUTADO[[#This Row],[MONTO SOLICITADO]]-EJECUTADO[[#This Row],[RETENCION IVA]]-EJECUTADO[[#This Row],[RETENCION ISR]]</f>
        <v>128.82</v>
      </c>
      <c r="Q1352" s="84"/>
      <c r="R1352" s="84"/>
      <c r="S1352">
        <v>1</v>
      </c>
      <c r="T1352" s="168" t="str">
        <f t="shared" si="59"/>
        <v>PRESTAMOS BANCARIOS - COMISIONES BANCARIOS Disponible $105938.08 Solicitado $128.82 PRESUPUESTO: SI</v>
      </c>
    </row>
    <row r="1353" spans="1:20" ht="75" x14ac:dyDescent="0.25">
      <c r="A1353" s="6">
        <f t="shared" si="60"/>
        <v>1217</v>
      </c>
      <c r="B1353" s="21">
        <v>45366</v>
      </c>
      <c r="C1353" s="126" t="s">
        <v>2989</v>
      </c>
      <c r="D1353" s="65" t="s">
        <v>2558</v>
      </c>
      <c r="E1353" s="65" t="s">
        <v>2559</v>
      </c>
      <c r="F1353" t="s">
        <v>1752</v>
      </c>
      <c r="G1353" s="161">
        <f>MONTH(EJECUTADO[[#This Row],[FECHA]])</f>
        <v>3</v>
      </c>
      <c r="H1353" s="163" t="str">
        <f>MID(EJECUTADO[[#This Row],[CUENTA]],1,4)</f>
        <v>E-02</v>
      </c>
      <c r="I1353" s="163" t="str">
        <f>INDEX(CATALOGO[Descripción],MATCH(EJECUTADO[[#This Row],[APLICACIÓN]]&amp;"-00-00-00",CATALOGO[Código],0))</f>
        <v>PRESTAMOS BANCARIOS</v>
      </c>
      <c r="J135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3" s="161" t="str">
        <f>IF((EJECUTADO[[#This Row],[MONTO DISPONIBLE ]]-EJECUTADO[[#This Row],[MONTO SOLICITADO]])&gt;=0,"PRESUPUESTO: SI","PRESUPUESTO: NO")</f>
        <v>PRESUPUESTO: SI</v>
      </c>
      <c r="L1353" s="162">
        <f>SUMIF(PRESUPUESTO[CUENTA],EJECUTADO[[#This Row],[CUENTA]],PRESUPUESTO[MONTO])-SUMIF($F$1:F1352,EJECUTADO[[#This Row],[CUENTA]],$M$1:M1352)</f>
        <v>105809.26000000001</v>
      </c>
      <c r="M1353" s="2">
        <v>2.83</v>
      </c>
      <c r="N1353" s="84"/>
      <c r="O1353" s="84"/>
      <c r="P1353" s="162">
        <f>+EJECUTADO[[#This Row],[MONTO SOLICITADO]]-EJECUTADO[[#This Row],[RETENCION IVA]]-EJECUTADO[[#This Row],[RETENCION ISR]]</f>
        <v>2.83</v>
      </c>
      <c r="Q1353" s="84"/>
      <c r="R1353" s="84"/>
      <c r="S1353">
        <v>1</v>
      </c>
      <c r="T1353" s="168" t="str">
        <f t="shared" si="59"/>
        <v>PRESTAMOS BANCARIOS - COMISIONES BANCARIOS Disponible $105809.26 Solicitado $2.83 PRESUPUESTO: SI</v>
      </c>
    </row>
    <row r="1354" spans="1:20" ht="75" x14ac:dyDescent="0.25">
      <c r="A1354" s="6">
        <f t="shared" si="60"/>
        <v>1218</v>
      </c>
      <c r="B1354" s="21">
        <v>45366</v>
      </c>
      <c r="C1354" s="126" t="s">
        <v>2990</v>
      </c>
      <c r="D1354" s="65" t="s">
        <v>2576</v>
      </c>
      <c r="E1354" s="65" t="s">
        <v>2577</v>
      </c>
      <c r="F1354" t="s">
        <v>1752</v>
      </c>
      <c r="G1354" s="161">
        <f>MONTH(EJECUTADO[[#This Row],[FECHA]])</f>
        <v>3</v>
      </c>
      <c r="H1354" s="163" t="str">
        <f>MID(EJECUTADO[[#This Row],[CUENTA]],1,4)</f>
        <v>E-02</v>
      </c>
      <c r="I1354" s="163" t="str">
        <f>INDEX(CATALOGO[Descripción],MATCH(EJECUTADO[[#This Row],[APLICACIÓN]]&amp;"-00-00-00",CATALOGO[Código],0))</f>
        <v>PRESTAMOS BANCARIOS</v>
      </c>
      <c r="J135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4" s="161" t="str">
        <f>IF((EJECUTADO[[#This Row],[MONTO DISPONIBLE ]]-EJECUTADO[[#This Row],[MONTO SOLICITADO]])&gt;=0,"PRESUPUESTO: SI","PRESUPUESTO: NO")</f>
        <v>PRESUPUESTO: SI</v>
      </c>
      <c r="L1354" s="162">
        <f>SUMIF(PRESUPUESTO[CUENTA],EJECUTADO[[#This Row],[CUENTA]],PRESUPUESTO[MONTO])-SUMIF($F$1:F1353,EJECUTADO[[#This Row],[CUENTA]],$M$1:M1353)</f>
        <v>105806.43000000001</v>
      </c>
      <c r="M1354" s="2">
        <v>1.7</v>
      </c>
      <c r="N1354" s="84"/>
      <c r="O1354" s="84"/>
      <c r="P1354" s="162">
        <f>+EJECUTADO[[#This Row],[MONTO SOLICITADO]]-EJECUTADO[[#This Row],[RETENCION IVA]]-EJECUTADO[[#This Row],[RETENCION ISR]]</f>
        <v>1.7</v>
      </c>
      <c r="Q1354" s="84"/>
      <c r="R1354" s="84"/>
      <c r="S1354">
        <v>1</v>
      </c>
      <c r="T1354" s="168" t="str">
        <f t="shared" si="59"/>
        <v>PRESTAMOS BANCARIOS - COMISIONES BANCARIOS Disponible $105806.43 Solicitado $1.7 PRESUPUESTO: SI</v>
      </c>
    </row>
    <row r="1355" spans="1:20" ht="105" x14ac:dyDescent="0.25">
      <c r="A1355" s="6">
        <f t="shared" si="60"/>
        <v>1219</v>
      </c>
      <c r="B1355" s="21">
        <v>45370</v>
      </c>
      <c r="C1355" s="126" t="s">
        <v>2994</v>
      </c>
      <c r="D1355" s="65" t="s">
        <v>3000</v>
      </c>
      <c r="E1355" s="65" t="s">
        <v>3001</v>
      </c>
      <c r="F1355" t="s">
        <v>1752</v>
      </c>
      <c r="G1355" s="161">
        <f>MONTH(EJECUTADO[[#This Row],[FECHA]])</f>
        <v>3</v>
      </c>
      <c r="H1355" s="163" t="str">
        <f>MID(EJECUTADO[[#This Row],[CUENTA]],1,4)</f>
        <v>E-02</v>
      </c>
      <c r="I1355" s="163" t="str">
        <f>INDEX(CATALOGO[Descripción],MATCH(EJECUTADO[[#This Row],[APLICACIÓN]]&amp;"-00-00-00",CATALOGO[Código],0))</f>
        <v>PRESTAMOS BANCARIOS</v>
      </c>
      <c r="J135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5" s="161" t="str">
        <f>IF((EJECUTADO[[#This Row],[MONTO DISPONIBLE ]]-EJECUTADO[[#This Row],[MONTO SOLICITADO]])&gt;=0,"PRESUPUESTO: SI","PRESUPUESTO: NO")</f>
        <v>PRESUPUESTO: SI</v>
      </c>
      <c r="L1355" s="162">
        <f>SUMIF(PRESUPUESTO[CUENTA],EJECUTADO[[#This Row],[CUENTA]],PRESUPUESTO[MONTO])-SUMIF($F$1:F1354,EJECUTADO[[#This Row],[CUENTA]],$M$1:M1354)</f>
        <v>105804.73</v>
      </c>
      <c r="M1355" s="2">
        <v>28.25</v>
      </c>
      <c r="N1355" s="84"/>
      <c r="O1355" s="84"/>
      <c r="P1355" s="162">
        <f>+EJECUTADO[[#This Row],[MONTO SOLICITADO]]-EJECUTADO[[#This Row],[RETENCION IVA]]-EJECUTADO[[#This Row],[RETENCION ISR]]</f>
        <v>28.25</v>
      </c>
      <c r="Q1355" s="84"/>
      <c r="R1355" s="84"/>
      <c r="S1355">
        <v>1</v>
      </c>
      <c r="T1355" s="168" t="str">
        <f t="shared" si="59"/>
        <v>PRESTAMOS BANCARIOS - COMISIONES BANCARIOS Disponible $105804.73 Solicitado $28.25 PRESUPUESTO: SI</v>
      </c>
    </row>
    <row r="1356" spans="1:20" ht="60" x14ac:dyDescent="0.25">
      <c r="A1356" s="6">
        <f t="shared" si="60"/>
        <v>1220</v>
      </c>
      <c r="B1356" s="21">
        <v>45373</v>
      </c>
      <c r="C1356" s="126" t="s">
        <v>2989</v>
      </c>
      <c r="D1356" s="65" t="s">
        <v>3002</v>
      </c>
      <c r="E1356" s="65" t="s">
        <v>3003</v>
      </c>
      <c r="F1356" t="s">
        <v>1752</v>
      </c>
      <c r="G1356" s="161">
        <f>MONTH(EJECUTADO[[#This Row],[FECHA]])</f>
        <v>3</v>
      </c>
      <c r="H1356" s="163" t="str">
        <f>MID(EJECUTADO[[#This Row],[CUENTA]],1,4)</f>
        <v>E-02</v>
      </c>
      <c r="I1356" s="163" t="str">
        <f>INDEX(CATALOGO[Descripción],MATCH(EJECUTADO[[#This Row],[APLICACIÓN]]&amp;"-00-00-00",CATALOGO[Código],0))</f>
        <v>PRESTAMOS BANCARIOS</v>
      </c>
      <c r="J135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6" s="161" t="str">
        <f>IF((EJECUTADO[[#This Row],[MONTO DISPONIBLE ]]-EJECUTADO[[#This Row],[MONTO SOLICITADO]])&gt;=0,"PRESUPUESTO: SI","PRESUPUESTO: NO")</f>
        <v>PRESUPUESTO: SI</v>
      </c>
      <c r="L1356" s="162">
        <f>SUMIF(PRESUPUESTO[CUENTA],EJECUTADO[[#This Row],[CUENTA]],PRESUPUESTO[MONTO])-SUMIF($F$1:F1355,EJECUTADO[[#This Row],[CUENTA]],$M$1:M1355)</f>
        <v>105776.48</v>
      </c>
      <c r="M1356" s="2">
        <v>2.83</v>
      </c>
      <c r="N1356" s="84"/>
      <c r="O1356" s="84"/>
      <c r="P1356" s="162">
        <f>+EJECUTADO[[#This Row],[MONTO SOLICITADO]]-EJECUTADO[[#This Row],[RETENCION IVA]]-EJECUTADO[[#This Row],[RETENCION ISR]]</f>
        <v>2.83</v>
      </c>
      <c r="Q1356" s="84"/>
      <c r="R1356" s="84"/>
      <c r="S1356">
        <v>1</v>
      </c>
      <c r="T1356" s="168" t="str">
        <f t="shared" si="59"/>
        <v>PRESTAMOS BANCARIOS - COMISIONES BANCARIOS Disponible $105776.48 Solicitado $2.83 PRESUPUESTO: SI</v>
      </c>
    </row>
    <row r="1357" spans="1:20" ht="60" x14ac:dyDescent="0.25">
      <c r="A1357" s="6">
        <f t="shared" si="60"/>
        <v>1221</v>
      </c>
      <c r="B1357" s="21">
        <v>45373</v>
      </c>
      <c r="C1357" s="126" t="s">
        <v>2989</v>
      </c>
      <c r="D1357" s="65" t="s">
        <v>3004</v>
      </c>
      <c r="E1357" s="65" t="s">
        <v>3005</v>
      </c>
      <c r="F1357" t="s">
        <v>1752</v>
      </c>
      <c r="G1357" s="161">
        <f>MONTH(EJECUTADO[[#This Row],[FECHA]])</f>
        <v>3</v>
      </c>
      <c r="H1357" s="163" t="str">
        <f>MID(EJECUTADO[[#This Row],[CUENTA]],1,4)</f>
        <v>E-02</v>
      </c>
      <c r="I1357" s="163" t="str">
        <f>INDEX(CATALOGO[Descripción],MATCH(EJECUTADO[[#This Row],[APLICACIÓN]]&amp;"-00-00-00",CATALOGO[Código],0))</f>
        <v>PRESTAMOS BANCARIOS</v>
      </c>
      <c r="J135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7" s="161" t="str">
        <f>IF((EJECUTADO[[#This Row],[MONTO DISPONIBLE ]]-EJECUTADO[[#This Row],[MONTO SOLICITADO]])&gt;=0,"PRESUPUESTO: SI","PRESUPUESTO: NO")</f>
        <v>PRESUPUESTO: SI</v>
      </c>
      <c r="L1357" s="162">
        <f>SUMIF(PRESUPUESTO[CUENTA],EJECUTADO[[#This Row],[CUENTA]],PRESUPUESTO[MONTO])-SUMIF($F$1:F1356,EJECUTADO[[#This Row],[CUENTA]],$M$1:M1356)</f>
        <v>105773.65</v>
      </c>
      <c r="M1357" s="2">
        <v>5.65</v>
      </c>
      <c r="N1357" s="84"/>
      <c r="O1357" s="84"/>
      <c r="P1357" s="162">
        <f>+EJECUTADO[[#This Row],[MONTO SOLICITADO]]-EJECUTADO[[#This Row],[RETENCION IVA]]-EJECUTADO[[#This Row],[RETENCION ISR]]</f>
        <v>5.65</v>
      </c>
      <c r="Q1357" s="84"/>
      <c r="R1357" s="84"/>
      <c r="S1357">
        <v>1</v>
      </c>
      <c r="T1357" s="168" t="str">
        <f t="shared" si="59"/>
        <v>PRESTAMOS BANCARIOS - COMISIONES BANCARIOS Disponible $105773.65 Solicitado $5.65 PRESUPUESTO: SI</v>
      </c>
    </row>
    <row r="1358" spans="1:20" ht="60" x14ac:dyDescent="0.25">
      <c r="A1358" s="6">
        <f t="shared" si="60"/>
        <v>1222</v>
      </c>
      <c r="B1358" s="21">
        <v>45376</v>
      </c>
      <c r="C1358" s="126" t="s">
        <v>2989</v>
      </c>
      <c r="D1358" s="65" t="s">
        <v>3006</v>
      </c>
      <c r="E1358" s="65" t="s">
        <v>3007</v>
      </c>
      <c r="F1358" t="s">
        <v>1752</v>
      </c>
      <c r="G1358" s="161">
        <f>MONTH(EJECUTADO[[#This Row],[FECHA]])</f>
        <v>3</v>
      </c>
      <c r="H1358" s="163" t="str">
        <f>MID(EJECUTADO[[#This Row],[CUENTA]],1,4)</f>
        <v>E-02</v>
      </c>
      <c r="I1358" s="163" t="str">
        <f>INDEX(CATALOGO[Descripción],MATCH(EJECUTADO[[#This Row],[APLICACIÓN]]&amp;"-00-00-00",CATALOGO[Código],0))</f>
        <v>PRESTAMOS BANCARIOS</v>
      </c>
      <c r="J135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8" s="161" t="str">
        <f>IF((EJECUTADO[[#This Row],[MONTO DISPONIBLE ]]-EJECUTADO[[#This Row],[MONTO SOLICITADO]])&gt;=0,"PRESUPUESTO: SI","PRESUPUESTO: NO")</f>
        <v>PRESUPUESTO: SI</v>
      </c>
      <c r="L1358" s="162">
        <f>SUMIF(PRESUPUESTO[CUENTA],EJECUTADO[[#This Row],[CUENTA]],PRESUPUESTO[MONTO])-SUMIF($F$1:F1357,EJECUTADO[[#This Row],[CUENTA]],$M$1:M1357)</f>
        <v>105768</v>
      </c>
      <c r="M1358" s="2">
        <v>2.83</v>
      </c>
      <c r="N1358" s="84"/>
      <c r="O1358" s="84"/>
      <c r="P1358" s="162">
        <f>+EJECUTADO[[#This Row],[MONTO SOLICITADO]]-EJECUTADO[[#This Row],[RETENCION IVA]]-EJECUTADO[[#This Row],[RETENCION ISR]]</f>
        <v>2.83</v>
      </c>
      <c r="Q1358" s="84"/>
      <c r="R1358" s="84"/>
      <c r="S1358">
        <v>1</v>
      </c>
      <c r="T1358" s="168" t="str">
        <f t="shared" si="59"/>
        <v>PRESTAMOS BANCARIOS - COMISIONES BANCARIOS Disponible $105768 Solicitado $2.83 PRESUPUESTO: SI</v>
      </c>
    </row>
    <row r="1359" spans="1:20" ht="60" x14ac:dyDescent="0.25">
      <c r="A1359" s="6">
        <f t="shared" si="60"/>
        <v>1223</v>
      </c>
      <c r="B1359" s="21">
        <v>45379</v>
      </c>
      <c r="C1359" s="126" t="s">
        <v>2997</v>
      </c>
      <c r="D1359" s="65" t="s">
        <v>3008</v>
      </c>
      <c r="E1359" s="65" t="s">
        <v>3009</v>
      </c>
      <c r="F1359" t="s">
        <v>1752</v>
      </c>
      <c r="G1359" s="161">
        <f>MONTH(EJECUTADO[[#This Row],[FECHA]])</f>
        <v>3</v>
      </c>
      <c r="H1359" s="163" t="str">
        <f>MID(EJECUTADO[[#This Row],[CUENTA]],1,4)</f>
        <v>E-02</v>
      </c>
      <c r="I1359" s="163" t="str">
        <f>INDEX(CATALOGO[Descripción],MATCH(EJECUTADO[[#This Row],[APLICACIÓN]]&amp;"-00-00-00",CATALOGO[Código],0))</f>
        <v>PRESTAMOS BANCARIOS</v>
      </c>
      <c r="J135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59" s="161" t="str">
        <f>IF((EJECUTADO[[#This Row],[MONTO DISPONIBLE ]]-EJECUTADO[[#This Row],[MONTO SOLICITADO]])&gt;=0,"PRESUPUESTO: SI","PRESUPUESTO: NO")</f>
        <v>PRESUPUESTO: SI</v>
      </c>
      <c r="L1359" s="162">
        <f>SUMIF(PRESUPUESTO[CUENTA],EJECUTADO[[#This Row],[CUENTA]],PRESUPUESTO[MONTO])-SUMIF($F$1:F1358,EJECUTADO[[#This Row],[CUENTA]],$M$1:M1358)</f>
        <v>105765.17</v>
      </c>
      <c r="M1359" s="2">
        <v>193.66</v>
      </c>
      <c r="N1359" s="84"/>
      <c r="O1359" s="84"/>
      <c r="P1359" s="162">
        <f>+EJECUTADO[[#This Row],[MONTO SOLICITADO]]-EJECUTADO[[#This Row],[RETENCION IVA]]-EJECUTADO[[#This Row],[RETENCION ISR]]</f>
        <v>193.66</v>
      </c>
      <c r="Q1359" s="84"/>
      <c r="R1359" s="84"/>
      <c r="S1359">
        <v>1</v>
      </c>
      <c r="T1359" s="168" t="str">
        <f t="shared" si="59"/>
        <v>PRESTAMOS BANCARIOS - COMISIONES BANCARIOS Disponible $105765.17 Solicitado $193.66 PRESUPUESTO: SI</v>
      </c>
    </row>
    <row r="1360" spans="1:20" ht="90" x14ac:dyDescent="0.25">
      <c r="A1360" s="6">
        <f t="shared" si="60"/>
        <v>1224</v>
      </c>
      <c r="B1360" s="21">
        <v>45381</v>
      </c>
      <c r="C1360" s="126" t="s">
        <v>3010</v>
      </c>
      <c r="D1360" s="65" t="s">
        <v>3011</v>
      </c>
      <c r="E1360" s="65" t="s">
        <v>3012</v>
      </c>
      <c r="F1360" t="s">
        <v>1752</v>
      </c>
      <c r="G1360" s="161">
        <f>MONTH(EJECUTADO[[#This Row],[FECHA]])</f>
        <v>3</v>
      </c>
      <c r="H1360" s="163" t="str">
        <f>MID(EJECUTADO[[#This Row],[CUENTA]],1,4)</f>
        <v>E-02</v>
      </c>
      <c r="I1360" s="163" t="str">
        <f>INDEX(CATALOGO[Descripción],MATCH(EJECUTADO[[#This Row],[APLICACIÓN]]&amp;"-00-00-00",CATALOGO[Código],0))</f>
        <v>PRESTAMOS BANCARIOS</v>
      </c>
      <c r="J136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0" s="161" t="str">
        <f>IF((EJECUTADO[[#This Row],[MONTO DISPONIBLE ]]-EJECUTADO[[#This Row],[MONTO SOLICITADO]])&gt;=0,"PRESUPUESTO: SI","PRESUPUESTO: NO")</f>
        <v>PRESUPUESTO: SI</v>
      </c>
      <c r="L1360" s="162">
        <f>SUMIF(PRESUPUESTO[CUENTA],EJECUTADO[[#This Row],[CUENTA]],PRESUPUESTO[MONTO])-SUMIF($F$1:F1359,EJECUTADO[[#This Row],[CUENTA]],$M$1:M1359)</f>
        <v>105571.51000000001</v>
      </c>
      <c r="M1360" s="2">
        <v>320.92</v>
      </c>
      <c r="N1360" s="84"/>
      <c r="O1360" s="84"/>
      <c r="P1360" s="162">
        <f>+EJECUTADO[[#This Row],[MONTO SOLICITADO]]-EJECUTADO[[#This Row],[RETENCION IVA]]-EJECUTADO[[#This Row],[RETENCION ISR]]</f>
        <v>320.92</v>
      </c>
      <c r="Q1360" s="84"/>
      <c r="R1360" s="84"/>
      <c r="S1360">
        <v>1</v>
      </c>
      <c r="T1360" s="168" t="str">
        <f t="shared" si="59"/>
        <v>PRESTAMOS BANCARIOS - COMISIONES BANCARIOS Disponible $105571.51 Solicitado $320.92 PRESUPUESTO: SI</v>
      </c>
    </row>
    <row r="1361" spans="1:20" ht="75" x14ac:dyDescent="0.25">
      <c r="A1361" s="6">
        <f t="shared" si="60"/>
        <v>1225</v>
      </c>
      <c r="B1361" s="21">
        <v>45382</v>
      </c>
      <c r="C1361" s="126" t="s">
        <v>3013</v>
      </c>
      <c r="D1361" s="65" t="s">
        <v>3014</v>
      </c>
      <c r="E1361" s="65" t="s">
        <v>3015</v>
      </c>
      <c r="F1361" t="s">
        <v>1752</v>
      </c>
      <c r="G1361" s="161">
        <f>MONTH(EJECUTADO[[#This Row],[FECHA]])</f>
        <v>3</v>
      </c>
      <c r="H1361" s="163" t="str">
        <f>MID(EJECUTADO[[#This Row],[CUENTA]],1,4)</f>
        <v>E-02</v>
      </c>
      <c r="I1361" s="163" t="str">
        <f>INDEX(CATALOGO[Descripción],MATCH(EJECUTADO[[#This Row],[APLICACIÓN]]&amp;"-00-00-00",CATALOGO[Código],0))</f>
        <v>PRESTAMOS BANCARIOS</v>
      </c>
      <c r="J136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1" s="161" t="str">
        <f>IF((EJECUTADO[[#This Row],[MONTO DISPONIBLE ]]-EJECUTADO[[#This Row],[MONTO SOLICITADO]])&gt;=0,"PRESUPUESTO: SI","PRESUPUESTO: NO")</f>
        <v>PRESUPUESTO: SI</v>
      </c>
      <c r="L1361" s="162">
        <f>SUMIF(PRESUPUESTO[CUENTA],EJECUTADO[[#This Row],[CUENTA]],PRESUPUESTO[MONTO])-SUMIF($F$1:F1360,EJECUTADO[[#This Row],[CUENTA]],$M$1:M1360)</f>
        <v>105250.59</v>
      </c>
      <c r="M1361" s="2">
        <v>24</v>
      </c>
      <c r="N1361" s="84"/>
      <c r="O1361" s="84"/>
      <c r="P1361" s="162">
        <f>+EJECUTADO[[#This Row],[MONTO SOLICITADO]]-EJECUTADO[[#This Row],[RETENCION IVA]]-EJECUTADO[[#This Row],[RETENCION ISR]]</f>
        <v>24</v>
      </c>
      <c r="Q1361" s="84"/>
      <c r="R1361" s="84"/>
      <c r="S1361">
        <v>1</v>
      </c>
      <c r="T1361" s="168" t="str">
        <f t="shared" si="59"/>
        <v>PRESTAMOS BANCARIOS - COMISIONES BANCARIOS Disponible $105250.59 Solicitado $24 PRESUPUESTO: SI</v>
      </c>
    </row>
    <row r="1362" spans="1:20" ht="75" x14ac:dyDescent="0.25">
      <c r="A1362" s="6">
        <f t="shared" si="60"/>
        <v>1226</v>
      </c>
      <c r="B1362" s="21">
        <v>45382</v>
      </c>
      <c r="C1362" s="126" t="s">
        <v>3013</v>
      </c>
      <c r="D1362" s="65" t="s">
        <v>3016</v>
      </c>
      <c r="E1362" s="65" t="s">
        <v>3017</v>
      </c>
      <c r="F1362" t="s">
        <v>1752</v>
      </c>
      <c r="G1362" s="161">
        <f>MONTH(EJECUTADO[[#This Row],[FECHA]])</f>
        <v>3</v>
      </c>
      <c r="H1362" s="163" t="str">
        <f>MID(EJECUTADO[[#This Row],[CUENTA]],1,4)</f>
        <v>E-02</v>
      </c>
      <c r="I1362" s="163" t="str">
        <f>INDEX(CATALOGO[Descripción],MATCH(EJECUTADO[[#This Row],[APLICACIÓN]]&amp;"-00-00-00",CATALOGO[Código],0))</f>
        <v>PRESTAMOS BANCARIOS</v>
      </c>
      <c r="J136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2" s="161" t="str">
        <f>IF((EJECUTADO[[#This Row],[MONTO DISPONIBLE ]]-EJECUTADO[[#This Row],[MONTO SOLICITADO]])&gt;=0,"PRESUPUESTO: SI","PRESUPUESTO: NO")</f>
        <v>PRESUPUESTO: SI</v>
      </c>
      <c r="L1362" s="162">
        <f>SUMIF(PRESUPUESTO[CUENTA],EJECUTADO[[#This Row],[CUENTA]],PRESUPUESTO[MONTO])-SUMIF($F$1:F1361,EJECUTADO[[#This Row],[CUENTA]],$M$1:M1361)</f>
        <v>105226.59</v>
      </c>
      <c r="M1362" s="2">
        <v>3.12</v>
      </c>
      <c r="N1362" s="84"/>
      <c r="O1362" s="84"/>
      <c r="P1362" s="162">
        <f>+EJECUTADO[[#This Row],[MONTO SOLICITADO]]-EJECUTADO[[#This Row],[RETENCION IVA]]-EJECUTADO[[#This Row],[RETENCION ISR]]</f>
        <v>3.12</v>
      </c>
      <c r="Q1362" s="84"/>
      <c r="R1362" s="84"/>
      <c r="S1362">
        <v>1</v>
      </c>
      <c r="T1362" s="168" t="str">
        <f t="shared" si="59"/>
        <v>PRESTAMOS BANCARIOS - COMISIONES BANCARIOS Disponible $105226.59 Solicitado $3.12 PRESUPUESTO: SI</v>
      </c>
    </row>
    <row r="1363" spans="1:20" ht="75" x14ac:dyDescent="0.25">
      <c r="A1363" s="6">
        <f t="shared" si="60"/>
        <v>1227</v>
      </c>
      <c r="B1363" s="21">
        <v>45382</v>
      </c>
      <c r="C1363" s="126" t="s">
        <v>2989</v>
      </c>
      <c r="D1363" s="65" t="s">
        <v>3018</v>
      </c>
      <c r="E1363" s="65" t="s">
        <v>3019</v>
      </c>
      <c r="F1363" t="s">
        <v>1752</v>
      </c>
      <c r="G1363" s="161">
        <f>MONTH(EJECUTADO[[#This Row],[FECHA]])</f>
        <v>3</v>
      </c>
      <c r="H1363" s="163" t="str">
        <f>MID(EJECUTADO[[#This Row],[CUENTA]],1,4)</f>
        <v>E-02</v>
      </c>
      <c r="I1363" s="163" t="str">
        <f>INDEX(CATALOGO[Descripción],MATCH(EJECUTADO[[#This Row],[APLICACIÓN]]&amp;"-00-00-00",CATALOGO[Código],0))</f>
        <v>PRESTAMOS BANCARIOS</v>
      </c>
      <c r="J136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3" s="161" t="str">
        <f>IF((EJECUTADO[[#This Row],[MONTO DISPONIBLE ]]-EJECUTADO[[#This Row],[MONTO SOLICITADO]])&gt;=0,"PRESUPUESTO: SI","PRESUPUESTO: NO")</f>
        <v>PRESUPUESTO: SI</v>
      </c>
      <c r="L1363" s="162">
        <f>SUMIF(PRESUPUESTO[CUENTA],EJECUTADO[[#This Row],[CUENTA]],PRESUPUESTO[MONTO])-SUMIF($F$1:F1362,EJECUTADO[[#This Row],[CUENTA]],$M$1:M1362)</f>
        <v>105223.47</v>
      </c>
      <c r="M1363" s="2">
        <v>159.33000000000001</v>
      </c>
      <c r="N1363" s="84"/>
      <c r="O1363" s="84"/>
      <c r="P1363" s="162">
        <f>+EJECUTADO[[#This Row],[MONTO SOLICITADO]]-EJECUTADO[[#This Row],[RETENCION IVA]]-EJECUTADO[[#This Row],[RETENCION ISR]]</f>
        <v>159.33000000000001</v>
      </c>
      <c r="Q1363" s="84"/>
      <c r="R1363" s="84"/>
      <c r="S1363">
        <v>1</v>
      </c>
      <c r="T1363" s="168" t="str">
        <f t="shared" si="59"/>
        <v>PRESTAMOS BANCARIOS - COMISIONES BANCARIOS Disponible $105223.47 Solicitado $159.33 PRESUPUESTO: SI</v>
      </c>
    </row>
    <row r="1364" spans="1:20" ht="45" x14ac:dyDescent="0.25">
      <c r="A1364" s="6">
        <f t="shared" si="60"/>
        <v>1228</v>
      </c>
      <c r="B1364" s="21">
        <v>45382</v>
      </c>
      <c r="C1364" s="126" t="s">
        <v>2989</v>
      </c>
      <c r="D1364" s="65" t="s">
        <v>3020</v>
      </c>
      <c r="E1364" s="65" t="s">
        <v>3021</v>
      </c>
      <c r="F1364" t="s">
        <v>1752</v>
      </c>
      <c r="G1364" s="161">
        <f>MONTH(EJECUTADO[[#This Row],[FECHA]])</f>
        <v>3</v>
      </c>
      <c r="H1364" s="163" t="str">
        <f>MID(EJECUTADO[[#This Row],[CUENTA]],1,4)</f>
        <v>E-02</v>
      </c>
      <c r="I1364" s="163" t="str">
        <f>INDEX(CATALOGO[Descripción],MATCH(EJECUTADO[[#This Row],[APLICACIÓN]]&amp;"-00-00-00",CATALOGO[Código],0))</f>
        <v>PRESTAMOS BANCARIOS</v>
      </c>
      <c r="J136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4" s="161" t="str">
        <f>IF((EJECUTADO[[#This Row],[MONTO DISPONIBLE ]]-EJECUTADO[[#This Row],[MONTO SOLICITADO]])&gt;=0,"PRESUPUESTO: SI","PRESUPUESTO: NO")</f>
        <v>PRESUPUESTO: SI</v>
      </c>
      <c r="L1364" s="162">
        <f>SUMIF(PRESUPUESTO[CUENTA],EJECUTADO[[#This Row],[CUENTA]],PRESUPUESTO[MONTO])-SUMIF($F$1:F1363,EJECUTADO[[#This Row],[CUENTA]],$M$1:M1363)</f>
        <v>105064.14</v>
      </c>
      <c r="M1364" s="2">
        <v>1815.46</v>
      </c>
      <c r="N1364" s="84"/>
      <c r="O1364" s="84"/>
      <c r="P1364" s="162">
        <f>+EJECUTADO[[#This Row],[MONTO SOLICITADO]]-EJECUTADO[[#This Row],[RETENCION IVA]]-EJECUTADO[[#This Row],[RETENCION ISR]]</f>
        <v>1815.46</v>
      </c>
      <c r="Q1364" s="84"/>
      <c r="R1364" s="84"/>
      <c r="S1364">
        <v>1</v>
      </c>
      <c r="T1364" s="168" t="str">
        <f t="shared" si="59"/>
        <v>PRESTAMOS BANCARIOS - COMISIONES BANCARIOS Disponible $105064.14 Solicitado $1815.46 PRESUPUESTO: SI</v>
      </c>
    </row>
    <row r="1365" spans="1:20" ht="75" x14ac:dyDescent="0.25">
      <c r="A1365" s="6">
        <f t="shared" si="60"/>
        <v>1229</v>
      </c>
      <c r="B1365" s="21">
        <v>45382</v>
      </c>
      <c r="C1365" s="126" t="s">
        <v>2991</v>
      </c>
      <c r="D1365" s="65" t="s">
        <v>3022</v>
      </c>
      <c r="E1365" s="65" t="s">
        <v>3023</v>
      </c>
      <c r="F1365" t="s">
        <v>1752</v>
      </c>
      <c r="G1365" s="161">
        <f>MONTH(EJECUTADO[[#This Row],[FECHA]])</f>
        <v>3</v>
      </c>
      <c r="H1365" s="163" t="str">
        <f>MID(EJECUTADO[[#This Row],[CUENTA]],1,4)</f>
        <v>E-02</v>
      </c>
      <c r="I1365" s="163" t="str">
        <f>INDEX(CATALOGO[Descripción],MATCH(EJECUTADO[[#This Row],[APLICACIÓN]]&amp;"-00-00-00",CATALOGO[Código],0))</f>
        <v>PRESTAMOS BANCARIOS</v>
      </c>
      <c r="J136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5" s="161" t="str">
        <f>IF((EJECUTADO[[#This Row],[MONTO DISPONIBLE ]]-EJECUTADO[[#This Row],[MONTO SOLICITADO]])&gt;=0,"PRESUPUESTO: SI","PRESUPUESTO: NO")</f>
        <v>PRESUPUESTO: SI</v>
      </c>
      <c r="L1365" s="162">
        <f>SUMIF(PRESUPUESTO[CUENTA],EJECUTADO[[#This Row],[CUENTA]],PRESUPUESTO[MONTO])-SUMIF($F$1:F1364,EJECUTADO[[#This Row],[CUENTA]],$M$1:M1364)</f>
        <v>103248.68</v>
      </c>
      <c r="M1365" s="2">
        <v>70.06</v>
      </c>
      <c r="N1365" s="84"/>
      <c r="O1365" s="84"/>
      <c r="P1365" s="162">
        <f>+EJECUTADO[[#This Row],[MONTO SOLICITADO]]-EJECUTADO[[#This Row],[RETENCION IVA]]-EJECUTADO[[#This Row],[RETENCION ISR]]</f>
        <v>70.06</v>
      </c>
      <c r="Q1365" s="84"/>
      <c r="R1365" s="84"/>
      <c r="S1365">
        <v>1</v>
      </c>
      <c r="T1365" s="168" t="str">
        <f t="shared" si="59"/>
        <v>PRESTAMOS BANCARIOS - COMISIONES BANCARIOS Disponible $103248.68 Solicitado $70.06 PRESUPUESTO: SI</v>
      </c>
    </row>
    <row r="1366" spans="1:20" ht="75" x14ac:dyDescent="0.25">
      <c r="A1366" s="6">
        <f t="shared" si="60"/>
        <v>1230</v>
      </c>
      <c r="B1366" s="21">
        <v>45382</v>
      </c>
      <c r="C1366" s="126" t="s">
        <v>1885</v>
      </c>
      <c r="D1366" s="65" t="s">
        <v>3024</v>
      </c>
      <c r="E1366" s="65" t="s">
        <v>3025</v>
      </c>
      <c r="F1366" t="s">
        <v>1752</v>
      </c>
      <c r="G1366" s="161">
        <f>MONTH(EJECUTADO[[#This Row],[FECHA]])</f>
        <v>3</v>
      </c>
      <c r="H1366" s="163" t="str">
        <f>MID(EJECUTADO[[#This Row],[CUENTA]],1,4)</f>
        <v>E-02</v>
      </c>
      <c r="I1366" s="163" t="str">
        <f>INDEX(CATALOGO[Descripción],MATCH(EJECUTADO[[#This Row],[APLICACIÓN]]&amp;"-00-00-00",CATALOGO[Código],0))</f>
        <v>PRESTAMOS BANCARIOS</v>
      </c>
      <c r="J136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6" s="161" t="str">
        <f>IF((EJECUTADO[[#This Row],[MONTO DISPONIBLE ]]-EJECUTADO[[#This Row],[MONTO SOLICITADO]])&gt;=0,"PRESUPUESTO: SI","PRESUPUESTO: NO")</f>
        <v>PRESUPUESTO: SI</v>
      </c>
      <c r="L1366" s="162">
        <f>SUMIF(PRESUPUESTO[CUENTA],EJECUTADO[[#This Row],[CUENTA]],PRESUPUESTO[MONTO])-SUMIF($F$1:F1365,EJECUTADO[[#This Row],[CUENTA]],$M$1:M1365)</f>
        <v>103178.62</v>
      </c>
      <c r="M1366" s="2">
        <v>79.430000000000007</v>
      </c>
      <c r="N1366" s="84"/>
      <c r="O1366" s="84"/>
      <c r="P1366" s="162">
        <f>+EJECUTADO[[#This Row],[MONTO SOLICITADO]]-EJECUTADO[[#This Row],[RETENCION IVA]]-EJECUTADO[[#This Row],[RETENCION ISR]]</f>
        <v>79.430000000000007</v>
      </c>
      <c r="Q1366" s="84"/>
      <c r="R1366" s="84"/>
      <c r="S1366">
        <v>1</v>
      </c>
      <c r="T1366" s="168" t="str">
        <f t="shared" si="59"/>
        <v>PRESTAMOS BANCARIOS - COMISIONES BANCARIOS Disponible $103178.62 Solicitado $79.43 PRESUPUESTO: SI</v>
      </c>
    </row>
    <row r="1367" spans="1:20" ht="105" x14ac:dyDescent="0.25">
      <c r="A1367" s="6">
        <f t="shared" si="60"/>
        <v>1231</v>
      </c>
      <c r="B1367" s="21">
        <v>45363</v>
      </c>
      <c r="C1367" s="126" t="s">
        <v>2991</v>
      </c>
      <c r="D1367" s="65" t="s">
        <v>3026</v>
      </c>
      <c r="E1367" s="65" t="s">
        <v>3027</v>
      </c>
      <c r="F1367" t="s">
        <v>1752</v>
      </c>
      <c r="G1367" s="161">
        <f>MONTH(EJECUTADO[[#This Row],[FECHA]])</f>
        <v>3</v>
      </c>
      <c r="H1367" s="163" t="str">
        <f>MID(EJECUTADO[[#This Row],[CUENTA]],1,4)</f>
        <v>E-02</v>
      </c>
      <c r="I1367" s="163" t="str">
        <f>INDEX(CATALOGO[Descripción],MATCH(EJECUTADO[[#This Row],[APLICACIÓN]]&amp;"-00-00-00",CATALOGO[Código],0))</f>
        <v>PRESTAMOS BANCARIOS</v>
      </c>
      <c r="J136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COMISIONES BANCARIOS</v>
      </c>
      <c r="K1367" s="161" t="str">
        <f>IF((EJECUTADO[[#This Row],[MONTO DISPONIBLE ]]-EJECUTADO[[#This Row],[MONTO SOLICITADO]])&gt;=0,"PRESUPUESTO: SI","PRESUPUESTO: NO")</f>
        <v>PRESUPUESTO: SI</v>
      </c>
      <c r="L1367" s="162">
        <f>SUMIF(PRESUPUESTO[CUENTA],EJECUTADO[[#This Row],[CUENTA]],PRESUPUESTO[MONTO])-SUMIF($F$1:F1366,EJECUTADO[[#This Row],[CUENTA]],$M$1:M1366)</f>
        <v>103099.19</v>
      </c>
      <c r="M1367" s="2"/>
      <c r="N1367" s="84"/>
      <c r="O1367" s="84"/>
      <c r="P1367" s="162">
        <f>+EJECUTADO[[#This Row],[MONTO SOLICITADO]]-EJECUTADO[[#This Row],[RETENCION IVA]]-EJECUTADO[[#This Row],[RETENCION ISR]]</f>
        <v>0</v>
      </c>
      <c r="Q1367" s="84"/>
      <c r="R1367" s="84"/>
      <c r="S1367">
        <v>1</v>
      </c>
      <c r="T1367" s="168" t="str">
        <f t="shared" si="59"/>
        <v>PRESTAMOS BANCARIOS - COMISIONES BANCARIOS Disponible $103099.19 Solicitado $ PRESUPUESTO: SI</v>
      </c>
    </row>
    <row r="1368" spans="1:20" ht="60" x14ac:dyDescent="0.25">
      <c r="A1368" s="6">
        <f t="shared" si="60"/>
        <v>1232</v>
      </c>
      <c r="B1368" s="21">
        <v>45361</v>
      </c>
      <c r="C1368" s="126" t="s">
        <v>1885</v>
      </c>
      <c r="D1368" s="65" t="s">
        <v>3028</v>
      </c>
      <c r="E1368" s="65" t="s">
        <v>3029</v>
      </c>
      <c r="F1368" t="s">
        <v>1643</v>
      </c>
      <c r="G1368" s="161">
        <f>MONTH(EJECUTADO[[#This Row],[FECHA]])</f>
        <v>3</v>
      </c>
      <c r="H1368" s="163" t="str">
        <f>MID(EJECUTADO[[#This Row],[CUENTA]],1,4)</f>
        <v>E-02</v>
      </c>
      <c r="I1368" s="163" t="str">
        <f>INDEX(CATALOGO[Descripción],MATCH(EJECUTADO[[#This Row],[APLICACIÓN]]&amp;"-00-00-00",CATALOGO[Código],0))</f>
        <v>PRESTAMOS BANCARIOS</v>
      </c>
      <c r="J136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1368" s="161" t="str">
        <f>IF((EJECUTADO[[#This Row],[MONTO DISPONIBLE ]]-EJECUTADO[[#This Row],[MONTO SOLICITADO]])&gt;=0,"PRESUPUESTO: SI","PRESUPUESTO: NO")</f>
        <v>PRESUPUESTO: SI</v>
      </c>
      <c r="L1368" s="162">
        <f>SUMIF(PRESUPUESTO[CUENTA],EJECUTADO[[#This Row],[CUENTA]],PRESUPUESTO[MONTO])-SUMIF($F$1:F1367,EJECUTADO[[#This Row],[CUENTA]],$M$1:M1367)</f>
        <v>329508.28999999998</v>
      </c>
      <c r="M1368" s="2">
        <v>18597.3</v>
      </c>
      <c r="N1368" s="84"/>
      <c r="O1368" s="84"/>
      <c r="P1368" s="162">
        <f>+EJECUTADO[[#This Row],[MONTO SOLICITADO]]-EJECUTADO[[#This Row],[RETENCION IVA]]-EJECUTADO[[#This Row],[RETENCION ISR]]</f>
        <v>18597.3</v>
      </c>
      <c r="Q1368" s="84"/>
      <c r="R1368" s="84"/>
      <c r="S1368">
        <v>1</v>
      </c>
      <c r="T1368" s="168" t="str">
        <f t="shared" si="59"/>
        <v>PRESTAMOS BANCARIOS - BANCO PROMERICA REF 784005 Disponible $329508.29 Solicitado $18597.3 PRESUPUESTO: SI</v>
      </c>
    </row>
    <row r="1369" spans="1:20" ht="75" x14ac:dyDescent="0.25">
      <c r="A1369" s="6">
        <f t="shared" si="60"/>
        <v>1233</v>
      </c>
      <c r="B1369" s="21">
        <v>45382</v>
      </c>
      <c r="C1369" s="126" t="s">
        <v>1885</v>
      </c>
      <c r="D1369" s="65" t="s">
        <v>3030</v>
      </c>
      <c r="E1369" s="65" t="s">
        <v>3029</v>
      </c>
      <c r="F1369" t="s">
        <v>1643</v>
      </c>
      <c r="G1369" s="161">
        <f>MONTH(EJECUTADO[[#This Row],[FECHA]])</f>
        <v>3</v>
      </c>
      <c r="H1369" s="163" t="str">
        <f>MID(EJECUTADO[[#This Row],[CUENTA]],1,4)</f>
        <v>E-02</v>
      </c>
      <c r="I1369" s="163" t="str">
        <f>INDEX(CATALOGO[Descripción],MATCH(EJECUTADO[[#This Row],[APLICACIÓN]]&amp;"-00-00-00",CATALOGO[Código],0))</f>
        <v>PRESTAMOS BANCARIOS</v>
      </c>
      <c r="J136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BANCO PROMERICA REF 784005</v>
      </c>
      <c r="K1369" s="161" t="str">
        <f>IF((EJECUTADO[[#This Row],[MONTO DISPONIBLE ]]-EJECUTADO[[#This Row],[MONTO SOLICITADO]])&gt;=0,"PRESUPUESTO: SI","PRESUPUESTO: NO")</f>
        <v>PRESUPUESTO: SI</v>
      </c>
      <c r="L1369" s="162">
        <f>SUMIF(PRESUPUESTO[CUENTA],EJECUTADO[[#This Row],[CUENTA]],PRESUPUESTO[MONTO])-SUMIF($F$1:F1368,EJECUTADO[[#This Row],[CUENTA]],$M$1:M1368)</f>
        <v>310910.99</v>
      </c>
      <c r="M1369" s="2">
        <f>20359.77+1226.28</f>
        <v>21586.05</v>
      </c>
      <c r="N1369" s="84"/>
      <c r="O1369" s="84"/>
      <c r="P1369" s="162">
        <f>+EJECUTADO[[#This Row],[MONTO SOLICITADO]]-EJECUTADO[[#This Row],[RETENCION IVA]]-EJECUTADO[[#This Row],[RETENCION ISR]]</f>
        <v>21586.05</v>
      </c>
      <c r="Q1369" s="84"/>
      <c r="R1369" s="84"/>
      <c r="S1369">
        <v>1</v>
      </c>
      <c r="T1369" s="168" t="str">
        <f t="shared" si="59"/>
        <v>PRESTAMOS BANCARIOS - BANCO PROMERICA REF 784005 Disponible $310910.99 Solicitado $21586.05 PRESUPUESTO: SI</v>
      </c>
    </row>
    <row r="1370" spans="1:20" ht="45" customHeight="1" x14ac:dyDescent="0.25">
      <c r="A1370" s="6">
        <f t="shared" si="60"/>
        <v>1234</v>
      </c>
      <c r="B1370" s="21">
        <v>45390</v>
      </c>
      <c r="C1370" s="126" t="s">
        <v>3031</v>
      </c>
      <c r="D1370" s="65" t="s">
        <v>3032</v>
      </c>
      <c r="E1370" s="65" t="s">
        <v>3033</v>
      </c>
      <c r="F1370" t="s">
        <v>1214</v>
      </c>
      <c r="G1370" s="161">
        <f>MONTH(EJECUTADO[[#This Row],[FECHA]])</f>
        <v>4</v>
      </c>
      <c r="H1370" s="163" t="str">
        <f>MID(EJECUTADO[[#This Row],[CUENTA]],1,4)</f>
        <v>E-19</v>
      </c>
      <c r="I1370" s="163" t="str">
        <f>INDEX(CATALOGO[Descripción],MATCH(EJECUTADO[[#This Row],[APLICACIÓN]]&amp;"-00-00-00",CATALOGO[Código],0))</f>
        <v>MANTENIMIENTO</v>
      </c>
      <c r="J137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1370" s="161" t="str">
        <f>IF((EJECUTADO[[#This Row],[MONTO DISPONIBLE ]]-EJECUTADO[[#This Row],[MONTO SOLICITADO]])&gt;=0,"PRESUPUESTO: SI","PRESUPUESTO: NO")</f>
        <v>PRESUPUESTO: SI</v>
      </c>
      <c r="L1370" s="162">
        <f>SUMIF(PRESUPUESTO[CUENTA],EJECUTADO[[#This Row],[CUENTA]],PRESUPUESTO[MONTO])-SUMIF($F$1:F1369,EJECUTADO[[#This Row],[CUENTA]],$M$1:M1369)</f>
        <v>33763.699999999997</v>
      </c>
      <c r="M1370" s="2">
        <v>1406.14</v>
      </c>
      <c r="N1370" s="84"/>
      <c r="O1370" s="84"/>
      <c r="P1370" s="162">
        <f>+EJECUTADO[[#This Row],[MONTO SOLICITADO]]-EJECUTADO[[#This Row],[RETENCION IVA]]-EJECUTADO[[#This Row],[RETENCION ISR]]</f>
        <v>1406.14</v>
      </c>
      <c r="Q1370" s="84" t="s">
        <v>1786</v>
      </c>
      <c r="R1370" s="84"/>
      <c r="S1370" s="112">
        <v>3381</v>
      </c>
      <c r="T1370" s="168" t="str">
        <f t="shared" si="59"/>
        <v>MANTENIMIENTO - Mantenimiento en talleres (Vehiculos) Disponible $33763.7 Solicitado $1406.14 PRESUPUESTO: SI</v>
      </c>
    </row>
    <row r="1371" spans="1:20" ht="30" x14ac:dyDescent="0.25">
      <c r="A1371" s="6">
        <f t="shared" si="60"/>
        <v>1235</v>
      </c>
      <c r="B1371" s="21">
        <v>45390</v>
      </c>
      <c r="C1371" s="126" t="s">
        <v>2098</v>
      </c>
      <c r="D1371" s="65" t="s">
        <v>3034</v>
      </c>
      <c r="E1371" s="65" t="s">
        <v>3035</v>
      </c>
      <c r="F1371" t="s">
        <v>1164</v>
      </c>
      <c r="G1371" s="161">
        <f>MONTH(EJECUTADO[[#This Row],[FECHA]])</f>
        <v>4</v>
      </c>
      <c r="H1371" s="163" t="str">
        <f>MID(EJECUTADO[[#This Row],[CUENTA]],1,4)</f>
        <v>E-24</v>
      </c>
      <c r="I1371" s="163" t="str">
        <f>INDEX(CATALOGO[Descripción],MATCH(EJECUTADO[[#This Row],[APLICACIÓN]]&amp;"-00-00-00",CATALOGO[Código],0))</f>
        <v>NUEVO INGRESO</v>
      </c>
      <c r="J137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Plaza Mundo - Promoción centro de atención</v>
      </c>
      <c r="K1371" s="161" t="str">
        <f>IF((EJECUTADO[[#This Row],[MONTO DISPONIBLE ]]-EJECUTADO[[#This Row],[MONTO SOLICITADO]])&gt;=0,"PRESUPUESTO: SI","PRESUPUESTO: NO")</f>
        <v>PRESUPUESTO: SI</v>
      </c>
      <c r="L1371" s="162">
        <f>SUMIF(PRESUPUESTO[CUENTA],EJECUTADO[[#This Row],[CUENTA]],PRESUPUESTO[MONTO])-SUMIF($F$1:F1370,EJECUTADO[[#This Row],[CUENTA]],$M$1:M1370)</f>
        <v>636.72000000000025</v>
      </c>
      <c r="M1371" s="2">
        <v>387.37</v>
      </c>
      <c r="N1371" s="84">
        <v>3.43</v>
      </c>
      <c r="O1371" s="84"/>
      <c r="P1371" s="162">
        <f>+EJECUTADO[[#This Row],[MONTO SOLICITADO]]-EJECUTADO[[#This Row],[RETENCION IVA]]-EJECUTADO[[#This Row],[RETENCION ISR]]</f>
        <v>383.94</v>
      </c>
      <c r="Q1371" s="84" t="s">
        <v>1786</v>
      </c>
      <c r="R1371" s="84"/>
      <c r="S1371" s="112">
        <v>32116</v>
      </c>
      <c r="T1371" s="168" t="str">
        <f t="shared" si="59"/>
        <v>NUEVO INGRESO - Plaza Mundo - Promoción centro de atención Disponible $636.72 Solicitado $387.37 PRESUPUESTO: SI</v>
      </c>
    </row>
    <row r="1372" spans="1:20" ht="39.75" customHeight="1" x14ac:dyDescent="0.25">
      <c r="A1372" s="6">
        <f t="shared" si="60"/>
        <v>1236</v>
      </c>
      <c r="B1372" s="21">
        <v>45390</v>
      </c>
      <c r="C1372" s="126" t="s">
        <v>3036</v>
      </c>
      <c r="D1372" s="65" t="s">
        <v>3037</v>
      </c>
      <c r="E1372" s="65" t="s">
        <v>3038</v>
      </c>
      <c r="F1372" t="s">
        <v>2185</v>
      </c>
      <c r="G1372" s="161">
        <f>MONTH(EJECUTADO[[#This Row],[FECHA]])</f>
        <v>4</v>
      </c>
      <c r="H1372" s="163" t="str">
        <f>MID(EJECUTADO[[#This Row],[CUENTA]],1,4)</f>
        <v>A-34</v>
      </c>
      <c r="I1372" s="163" t="str">
        <f>INDEX(CATALOGO[Descripción],MATCH(EJECUTADO[[#This Row],[APLICACIÓN]]&amp;"-00-00-00",CATALOGO[Código],0))</f>
        <v>FONDOS AJENOS</v>
      </c>
      <c r="J137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INGLES PARA UN FUTURO MEJOR</v>
      </c>
      <c r="K1372" s="161" t="str">
        <f>IF((EJECUTADO[[#This Row],[MONTO DISPONIBLE ]]-EJECUTADO[[#This Row],[MONTO SOLICITADO]])&gt;=0,"PRESUPUESTO: SI","PRESUPUESTO: NO")</f>
        <v>PRESUPUESTO: SI</v>
      </c>
      <c r="L1372" s="162">
        <f>SUMIF(PRESUPUESTO[CUENTA],EJECUTADO[[#This Row],[CUENTA]],PRESUPUESTO[MONTO])-SUMIF($F$1:F1371,EJECUTADO[[#This Row],[CUENTA]],$M$1:M1371)</f>
        <v>6949</v>
      </c>
      <c r="M1372" s="2">
        <v>1021.13</v>
      </c>
      <c r="N1372" s="84"/>
      <c r="O1372" s="84">
        <v>9.1199999999999992</v>
      </c>
      <c r="P1372" s="162">
        <f>+EJECUTADO[[#This Row],[MONTO SOLICITADO]]-EJECUTADO[[#This Row],[RETENCION IVA]]-EJECUTADO[[#This Row],[RETENCION ISR]]</f>
        <v>1012.01</v>
      </c>
      <c r="Q1372" s="84" t="s">
        <v>1554</v>
      </c>
      <c r="R1372" s="84"/>
      <c r="T1372" s="168" t="str">
        <f t="shared" si="59"/>
        <v>FONDOS AJENOS - INGLES PARA UN FUTURO MEJOR Disponible $6949 Solicitado $1021.13 PRESUPUESTO: SI</v>
      </c>
    </row>
    <row r="1373" spans="1:20" ht="30" x14ac:dyDescent="0.25">
      <c r="A1373" s="6">
        <f t="shared" si="60"/>
        <v>1237</v>
      </c>
      <c r="B1373" s="21">
        <v>45390</v>
      </c>
      <c r="C1373" s="126" t="s">
        <v>3039</v>
      </c>
      <c r="D1373" s="65" t="s">
        <v>3040</v>
      </c>
      <c r="E1373" s="65" t="s">
        <v>1915</v>
      </c>
      <c r="F1373" t="s">
        <v>1032</v>
      </c>
      <c r="G1373" s="161">
        <f>MONTH(EJECUTADO[[#This Row],[FECHA]])</f>
        <v>4</v>
      </c>
      <c r="H1373" s="163" t="str">
        <f>MID(EJECUTADO[[#This Row],[CUENTA]],1,4)</f>
        <v>E-09</v>
      </c>
      <c r="I1373" s="163" t="str">
        <f>INDEX(CATALOGO[Descripción],MATCH(EJECUTADO[[#This Row],[APLICACIÓN]]&amp;"-00-00-00",CATALOGO[Código],0))</f>
        <v>PRESTACIONES AL PERSONAL</v>
      </c>
      <c r="J137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1373" s="161" t="str">
        <f>IF((EJECUTADO[[#This Row],[MONTO DISPONIBLE ]]-EJECUTADO[[#This Row],[MONTO SOLICITADO]])&gt;=0,"PRESUPUESTO: SI","PRESUPUESTO: NO")</f>
        <v>PRESUPUESTO: SI</v>
      </c>
      <c r="L1373" s="162">
        <f>SUMIF(PRESUPUESTO[CUENTA],EJECUTADO[[#This Row],[CUENTA]],PRESUPUESTO[MONTO])-SUMIF($F$1:F1372,EJECUTADO[[#This Row],[CUENTA]],$M$1:M1372)</f>
        <v>73202.550000000017</v>
      </c>
      <c r="M1373" s="2">
        <v>733.84</v>
      </c>
      <c r="N1373" s="84"/>
      <c r="O1373" s="84"/>
      <c r="P1373" s="162">
        <f>+EJECUTADO[[#This Row],[MONTO SOLICITADO]]-EJECUTADO[[#This Row],[RETENCION IVA]]-EJECUTADO[[#This Row],[RETENCION ISR]]</f>
        <v>733.84</v>
      </c>
      <c r="Q1373" s="84" t="s">
        <v>1554</v>
      </c>
      <c r="R1373" s="84"/>
      <c r="S1373">
        <v>3387</v>
      </c>
      <c r="T1373" s="168" t="str">
        <f t="shared" si="59"/>
        <v>PRESTACIONES AL PERSONAL - Liquidaciones laborales y compensaciones Disponible $73202.55 Solicitado $733.84 PRESUPUESTO: SI</v>
      </c>
    </row>
    <row r="1374" spans="1:20" ht="30" x14ac:dyDescent="0.25">
      <c r="A1374" s="6">
        <f t="shared" si="60"/>
        <v>1238</v>
      </c>
      <c r="B1374" s="21">
        <v>45390</v>
      </c>
      <c r="C1374" s="126" t="s">
        <v>3041</v>
      </c>
      <c r="D1374" s="65" t="s">
        <v>3042</v>
      </c>
      <c r="E1374" s="65" t="s">
        <v>1915</v>
      </c>
      <c r="F1374" t="s">
        <v>1032</v>
      </c>
      <c r="G1374" s="161">
        <f>MONTH(EJECUTADO[[#This Row],[FECHA]])</f>
        <v>4</v>
      </c>
      <c r="H1374" s="163" t="str">
        <f>MID(EJECUTADO[[#This Row],[CUENTA]],1,4)</f>
        <v>E-09</v>
      </c>
      <c r="I1374" s="163" t="str">
        <f>INDEX(CATALOGO[Descripción],MATCH(EJECUTADO[[#This Row],[APLICACIÓN]]&amp;"-00-00-00",CATALOGO[Código],0))</f>
        <v>PRESTACIONES AL PERSONAL</v>
      </c>
      <c r="J137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1374" s="161" t="str">
        <f>IF((EJECUTADO[[#This Row],[MONTO DISPONIBLE ]]-EJECUTADO[[#This Row],[MONTO SOLICITADO]])&gt;=0,"PRESUPUESTO: SI","PRESUPUESTO: NO")</f>
        <v>PRESUPUESTO: SI</v>
      </c>
      <c r="L1374" s="162">
        <f>SUMIF(PRESUPUESTO[CUENTA],EJECUTADO[[#This Row],[CUENTA]],PRESUPUESTO[MONTO])-SUMIF($F$1:F1373,EJECUTADO[[#This Row],[CUENTA]],$M$1:M1373)</f>
        <v>72468.710000000021</v>
      </c>
      <c r="M1374" s="2">
        <v>1027.3599999999999</v>
      </c>
      <c r="N1374" s="84"/>
      <c r="O1374" s="84"/>
      <c r="P1374" s="162">
        <f>+EJECUTADO[[#This Row],[MONTO SOLICITADO]]-EJECUTADO[[#This Row],[RETENCION IVA]]-EJECUTADO[[#This Row],[RETENCION ISR]]</f>
        <v>1027.3599999999999</v>
      </c>
      <c r="Q1374" s="84" t="s">
        <v>1554</v>
      </c>
      <c r="R1374" s="84"/>
      <c r="S1374">
        <v>3386</v>
      </c>
      <c r="T1374" s="168" t="str">
        <f t="shared" si="59"/>
        <v>PRESTACIONES AL PERSONAL - Liquidaciones laborales y compensaciones Disponible $72468.71 Solicitado $1027.36 PRESUPUESTO: SI</v>
      </c>
    </row>
    <row r="1375" spans="1:20" ht="35.25" customHeight="1" x14ac:dyDescent="0.25">
      <c r="A1375" s="6">
        <f t="shared" si="60"/>
        <v>1239</v>
      </c>
      <c r="B1375" s="21">
        <v>45390</v>
      </c>
      <c r="C1375" s="126" t="s">
        <v>3043</v>
      </c>
      <c r="D1375" s="65" t="s">
        <v>3044</v>
      </c>
      <c r="E1375" s="65" t="s">
        <v>1915</v>
      </c>
      <c r="F1375" t="s">
        <v>1032</v>
      </c>
      <c r="G1375" s="161">
        <f>MONTH(EJECUTADO[[#This Row],[FECHA]])</f>
        <v>4</v>
      </c>
      <c r="H1375" s="163" t="str">
        <f>MID(EJECUTADO[[#This Row],[CUENTA]],1,4)</f>
        <v>E-09</v>
      </c>
      <c r="I1375" s="163" t="str">
        <f>INDEX(CATALOGO[Descripción],MATCH(EJECUTADO[[#This Row],[APLICACIÓN]]&amp;"-00-00-00",CATALOGO[Código],0))</f>
        <v>PRESTACIONES AL PERSONAL</v>
      </c>
      <c r="J137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Liquidaciones laborales y compensaciones</v>
      </c>
      <c r="K1375" s="161" t="str">
        <f>IF((EJECUTADO[[#This Row],[MONTO DISPONIBLE ]]-EJECUTADO[[#This Row],[MONTO SOLICITADO]])&gt;=0,"PRESUPUESTO: SI","PRESUPUESTO: NO")</f>
        <v>PRESUPUESTO: SI</v>
      </c>
      <c r="L1375" s="162">
        <f>SUMIF(PRESUPUESTO[CUENTA],EJECUTADO[[#This Row],[CUENTA]],PRESUPUESTO[MONTO])-SUMIF($F$1:F1374,EJECUTADO[[#This Row],[CUENTA]],$M$1:M1374)</f>
        <v>71441.350000000006</v>
      </c>
      <c r="M1375" s="2">
        <v>844.64</v>
      </c>
      <c r="N1375" s="84"/>
      <c r="O1375" s="84"/>
      <c r="P1375" s="162">
        <f>+EJECUTADO[[#This Row],[MONTO SOLICITADO]]-EJECUTADO[[#This Row],[RETENCION IVA]]-EJECUTADO[[#This Row],[RETENCION ISR]]</f>
        <v>844.64</v>
      </c>
      <c r="Q1375" s="84" t="s">
        <v>1554</v>
      </c>
      <c r="R1375" s="84"/>
      <c r="S1375">
        <v>3388</v>
      </c>
      <c r="T1375" s="168" t="str">
        <f t="shared" si="59"/>
        <v>PRESTACIONES AL PERSONAL - Liquidaciones laborales y compensaciones Disponible $71441.35 Solicitado $844.64 PRESUPUESTO: SI</v>
      </c>
    </row>
    <row r="1376" spans="1:20" ht="60" x14ac:dyDescent="0.25">
      <c r="A1376" s="6">
        <f>+A1375+1</f>
        <v>1240</v>
      </c>
      <c r="B1376" s="21">
        <v>45390</v>
      </c>
      <c r="C1376" s="126" t="s">
        <v>2871</v>
      </c>
      <c r="D1376" s="65" t="s">
        <v>3045</v>
      </c>
      <c r="E1376" s="65" t="s">
        <v>3046</v>
      </c>
      <c r="F1376" t="s">
        <v>1171</v>
      </c>
      <c r="G1376" s="161">
        <f>MONTH(EJECUTADO[[#This Row],[FECHA]])</f>
        <v>4</v>
      </c>
      <c r="H1376" s="163" t="str">
        <f>MID(EJECUTADO[[#This Row],[CUENTA]],1,4)</f>
        <v>E-24</v>
      </c>
      <c r="I1376" s="163" t="str">
        <f>INDEX(CATALOGO[Descripción],MATCH(EJECUTADO[[#This Row],[APLICACIÓN]]&amp;"-00-00-00",CATALOGO[Código],0))</f>
        <v>NUEVO INGRESO</v>
      </c>
      <c r="J137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Metrocentro - Alquiler de Local $ 3108*12 </v>
      </c>
      <c r="K1376" s="161" t="str">
        <f>IF((EJECUTADO[[#This Row],[MONTO DISPONIBLE ]]-EJECUTADO[[#This Row],[MONTO SOLICITADO]])&gt;=0,"PRESUPUESTO: SI","PRESUPUESTO: NO")</f>
        <v>PRESUPUESTO: SI</v>
      </c>
      <c r="L1376" s="162">
        <f>SUMIF(PRESUPUESTO[CUENTA],EJECUTADO[[#This Row],[CUENTA]],PRESUPUESTO[MONTO])-SUMIF($F$1:F1375,EJECUTADO[[#This Row],[CUENTA]],$M$1:M1375)</f>
        <v>30835.599999999999</v>
      </c>
      <c r="M1376" s="2">
        <v>3107.5</v>
      </c>
      <c r="N1376" s="84">
        <v>27.5</v>
      </c>
      <c r="O1376" s="84"/>
      <c r="P1376" s="162">
        <f>+EJECUTADO[[#This Row],[MONTO SOLICITADO]]-EJECUTADO[[#This Row],[RETENCION IVA]]-EJECUTADO[[#This Row],[RETENCION ISR]]</f>
        <v>3080</v>
      </c>
      <c r="Q1376" s="84" t="s">
        <v>1786</v>
      </c>
      <c r="R1376" s="84"/>
      <c r="S1376" s="153">
        <v>32117</v>
      </c>
      <c r="T1376" s="168" t="str">
        <f t="shared" si="59"/>
        <v>NUEVO INGRESO - Metrocentro - Alquiler de Local $ 3108*12  Disponible $30835.6 Solicitado $3107.5 PRESUPUESTO: SI</v>
      </c>
    </row>
    <row r="1377" spans="1:20" ht="41.25" customHeight="1" x14ac:dyDescent="0.25">
      <c r="A1377" s="187" t="s">
        <v>3047</v>
      </c>
      <c r="B1377" s="21">
        <v>45390</v>
      </c>
      <c r="C1377" s="126" t="s">
        <v>2871</v>
      </c>
      <c r="D1377" s="65" t="s">
        <v>3048</v>
      </c>
      <c r="E1377" s="65" t="s">
        <v>3049</v>
      </c>
      <c r="F1377" t="s">
        <v>1167</v>
      </c>
      <c r="G1377" s="161">
        <f>MONTH(EJECUTADO[[#This Row],[FECHA]])</f>
        <v>4</v>
      </c>
      <c r="H1377" s="163" t="str">
        <f>MID(EJECUTADO[[#This Row],[CUENTA]],1,4)</f>
        <v>E-24</v>
      </c>
      <c r="I1377" s="163" t="str">
        <f>INDEX(CATALOGO[Descripción],MATCH(EJECUTADO[[#This Row],[APLICACIÓN]]&amp;"-00-00-00",CATALOGO[Código],0))</f>
        <v>NUEVO INGRESO</v>
      </c>
      <c r="J137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Metrocentro - Mantenimiento de local $ 436.23</v>
      </c>
      <c r="K1377" s="161" t="str">
        <f>IF((EJECUTADO[[#This Row],[MONTO DISPONIBLE ]]-EJECUTADO[[#This Row],[MONTO SOLICITADO]])&gt;=0,"PRESUPUESTO: SI","PRESUPUESTO: NO")</f>
        <v>PRESUPUESTO: NO</v>
      </c>
      <c r="L1377" s="162">
        <f>SUMIF(PRESUPUESTO[CUENTA],EJECUTADO[[#This Row],[CUENTA]],PRESUPUESTO[MONTO])-SUMIF($F$1:F1376,EJECUTADO[[#This Row],[CUENTA]],$M$1:M1376)</f>
        <v>-1581.6999999999998</v>
      </c>
      <c r="M1377" s="2">
        <v>432.82</v>
      </c>
      <c r="N1377" s="188">
        <v>3.83</v>
      </c>
      <c r="O1377" s="188"/>
      <c r="P1377" s="166">
        <f>+EJECUTADO[[#This Row],[MONTO SOLICITADO]]-EJECUTADO[[#This Row],[RETENCION IVA]]-EJECUTADO[[#This Row],[RETENCION ISR]]</f>
        <v>428.99</v>
      </c>
      <c r="Q1377" s="188" t="s">
        <v>1786</v>
      </c>
      <c r="R1377" s="188"/>
      <c r="S1377" s="153">
        <v>32117</v>
      </c>
      <c r="T1377" s="176" t="str">
        <f>_xlfn.CONCAT(I1377," - ",J1377," Disponible $",L1377," Solicitado $",M1377," ",K1377,)</f>
        <v>NUEVO INGRESO - Metrocentro - Mantenimiento de local $ 436.23 Disponible $-1581.7 Solicitado $432.82 PRESUPUESTO: NO</v>
      </c>
    </row>
    <row r="1378" spans="1:20" ht="45" x14ac:dyDescent="0.25">
      <c r="A1378" s="6">
        <f>+A1376+1</f>
        <v>1241</v>
      </c>
      <c r="B1378" s="21">
        <v>45390</v>
      </c>
      <c r="C1378" s="126" t="s">
        <v>3050</v>
      </c>
      <c r="D1378" s="65" t="s">
        <v>3051</v>
      </c>
      <c r="E1378" s="65" t="s">
        <v>1915</v>
      </c>
      <c r="F1378" t="s">
        <v>3052</v>
      </c>
      <c r="G1378" s="161">
        <f>MONTH(EJECUTADO[[#This Row],[FECHA]])</f>
        <v>4</v>
      </c>
      <c r="H1378" s="163" t="str">
        <f>MID(EJECUTADO[[#This Row],[CUENTA]],1,4)</f>
        <v>E-32</v>
      </c>
      <c r="I1378" s="163" t="str">
        <f>INDEX(CATALOGO[Descripción],MATCH(EJECUTADO[[#This Row],[APLICACIÓN]]&amp;"-00-00-00",CATALOGO[Código],0))</f>
        <v>RELACIONES INTERNACIONALES</v>
      </c>
      <c r="J137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RLCU $ 3,100 mas impuestos</v>
      </c>
      <c r="K1378" s="161" t="str">
        <f>IF((EJECUTADO[[#This Row],[MONTO DISPONIBLE ]]-EJECUTADO[[#This Row],[MONTO SOLICITADO]])&gt;=0,"PRESUPUESTO: SI","PRESUPUESTO: NO")</f>
        <v>PRESUPUESTO: SI</v>
      </c>
      <c r="L1378" s="162">
        <f>SUMIF(PRESUPUESTO[CUENTA],EJECUTADO[[#This Row],[CUENTA]],PRESUPUESTO[MONTO])-SUMIF($F$1:F1376,EJECUTADO[[#This Row],[CUENTA]],$M$1:M1376)</f>
        <v>4400</v>
      </c>
      <c r="M1378" s="2">
        <v>3100</v>
      </c>
      <c r="N1378" s="84"/>
      <c r="O1378" s="84"/>
      <c r="P1378" s="162">
        <f>+EJECUTADO[[#This Row],[MONTO SOLICITADO]]-EJECUTADO[[#This Row],[RETENCION IVA]]-EJECUTADO[[#This Row],[RETENCION ISR]]</f>
        <v>3100</v>
      </c>
      <c r="Q1378" s="84" t="s">
        <v>1554</v>
      </c>
      <c r="R1378" s="84"/>
      <c r="S1378">
        <v>1</v>
      </c>
      <c r="T1378" s="168" t="str">
        <f t="shared" si="59"/>
        <v>RELACIONES INTERNACIONALES - RLCU $ 3,100 mas impuestos Disponible $4400 Solicitado $3100 PRESUPUESTO: SI</v>
      </c>
    </row>
    <row r="1379" spans="1:20" ht="60" x14ac:dyDescent="0.25">
      <c r="A1379" s="187" t="s">
        <v>3053</v>
      </c>
      <c r="B1379" s="21">
        <v>45391</v>
      </c>
      <c r="C1379" s="126" t="s">
        <v>1156</v>
      </c>
      <c r="D1379" s="65" t="s">
        <v>3054</v>
      </c>
      <c r="E1379" s="65" t="s">
        <v>3055</v>
      </c>
      <c r="F1379" t="s">
        <v>1265</v>
      </c>
      <c r="G1379" s="161">
        <f>MONTH(EJECUTADO[[#This Row],[FECHA]])</f>
        <v>4</v>
      </c>
      <c r="H1379" s="163" t="str">
        <f>MID(EJECUTADO[[#This Row],[CUENTA]],1,4)</f>
        <v>E-23</v>
      </c>
      <c r="I1379" s="163" t="str">
        <f>INDEX(CATALOGO[Descripción],MATCH(EJECUTADO[[#This Row],[APLICACIÓN]]&amp;"-00-00-00",CATALOGO[Código],0))</f>
        <v>GASTOS DE VIAJE</v>
      </c>
      <c r="J137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379" s="161" t="str">
        <f>IF((EJECUTADO[[#This Row],[MONTO DISPONIBLE ]]-EJECUTADO[[#This Row],[MONTO SOLICITADO]])&gt;=0,"PRESUPUESTO: SI","PRESUPUESTO: NO")</f>
        <v>PRESUPUESTO: SI</v>
      </c>
      <c r="L1379" s="162">
        <f>SUMIF(PRESUPUESTO[CUENTA],EJECUTADO[[#This Row],[CUENTA]],PRESUPUESTO[MONTO])-SUMIF($F$1:F1378,EJECUTADO[[#This Row],[CUENTA]],$M$1:M1378)</f>
        <v>18183.010000000002</v>
      </c>
      <c r="M1379" s="2">
        <v>70</v>
      </c>
      <c r="N1379" s="188"/>
      <c r="O1379" s="188"/>
      <c r="P1379" s="166">
        <f>+EJECUTADO[[#This Row],[MONTO SOLICITADO]]-EJECUTADO[[#This Row],[RETENCION IVA]]-EJECUTADO[[#This Row],[RETENCION ISR]]</f>
        <v>70</v>
      </c>
      <c r="Q1379" s="188" t="s">
        <v>1786</v>
      </c>
      <c r="R1379" s="188"/>
      <c r="S1379" s="134">
        <v>3385</v>
      </c>
      <c r="T1379" s="176" t="str">
        <f>_xlfn.CONCAT(I1379," - ",J1379," Disponible $",L1379," Solicitado $",M1379," ",K1379,)</f>
        <v>GASTOS DE VIAJE - Servicio combustible Disponible $18183.01 Solicitado $70 PRESUPUESTO: SI</v>
      </c>
    </row>
    <row r="1380" spans="1:20" ht="27" customHeight="1" x14ac:dyDescent="0.25">
      <c r="A1380" s="6">
        <f>+A1378+1</f>
        <v>1242</v>
      </c>
      <c r="B1380" s="21">
        <v>45391</v>
      </c>
      <c r="C1380" s="126" t="s">
        <v>1156</v>
      </c>
      <c r="D1380" s="65" t="s">
        <v>3054</v>
      </c>
      <c r="E1380" s="65" t="s">
        <v>3056</v>
      </c>
      <c r="F1380" t="s">
        <v>1154</v>
      </c>
      <c r="G1380" s="161">
        <f>MONTH(EJECUTADO[[#This Row],[FECHA]])</f>
        <v>4</v>
      </c>
      <c r="H1380" s="163" t="str">
        <f>MID(EJECUTADO[[#This Row],[CUENTA]],1,4)</f>
        <v>E-09</v>
      </c>
      <c r="I1380" s="163" t="str">
        <f>INDEX(CATALOGO[Descripción],MATCH(EJECUTADO[[#This Row],[APLICACIÓN]]&amp;"-00-00-00",CATALOGO[Código],0))</f>
        <v>PRESTACIONES AL PERSONAL</v>
      </c>
      <c r="J138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1380" s="161" t="str">
        <f>IF((EJECUTADO[[#This Row],[MONTO DISPONIBLE ]]-EJECUTADO[[#This Row],[MONTO SOLICITADO]])&gt;=0,"PRESUPUESTO: SI","PRESUPUESTO: NO")</f>
        <v>PRESUPUESTO: SI</v>
      </c>
      <c r="L1380" s="162">
        <f>SUMIF(PRESUPUESTO[CUENTA],EJECUTADO[[#This Row],[CUENTA]],PRESUPUESTO[MONTO])-SUMIF($F$1:F1378,EJECUTADO[[#This Row],[CUENTA]],$M$1:M1378)</f>
        <v>186482.04</v>
      </c>
      <c r="M1380" s="2">
        <v>1037.01</v>
      </c>
      <c r="N1380" s="84"/>
      <c r="O1380" s="84">
        <v>103.7</v>
      </c>
      <c r="P1380" s="162">
        <f>+EJECUTADO[[#This Row],[MONTO SOLICITADO]]-EJECUTADO[[#This Row],[RETENCION IVA]]-EJECUTADO[[#This Row],[RETENCION ISR]]</f>
        <v>933.31</v>
      </c>
      <c r="Q1380" s="84" t="s">
        <v>1786</v>
      </c>
      <c r="R1380" s="84"/>
      <c r="S1380" s="134">
        <v>3385</v>
      </c>
      <c r="T1380" s="168" t="str">
        <f t="shared" si="59"/>
        <v>PRESTACIONES AL PERSONAL - GASTOS MÉDICOS  Disponible $186482.04 Solicitado $1037.01 PRESUPUESTO: SI</v>
      </c>
    </row>
    <row r="1381" spans="1:20" ht="60" x14ac:dyDescent="0.25">
      <c r="A1381" s="6">
        <f t="shared" si="60"/>
        <v>1243</v>
      </c>
      <c r="B1381" s="21">
        <v>45391</v>
      </c>
      <c r="C1381" s="126" t="s">
        <v>1155</v>
      </c>
      <c r="D1381" s="65" t="s">
        <v>3054</v>
      </c>
      <c r="E1381" s="65" t="s">
        <v>3057</v>
      </c>
      <c r="F1381" t="s">
        <v>1154</v>
      </c>
      <c r="G1381" s="161">
        <f>MONTH(EJECUTADO[[#This Row],[FECHA]])</f>
        <v>4</v>
      </c>
      <c r="H1381" s="163" t="str">
        <f>MID(EJECUTADO[[#This Row],[CUENTA]],1,4)</f>
        <v>E-09</v>
      </c>
      <c r="I1381" s="163" t="str">
        <f>INDEX(CATALOGO[Descripción],MATCH(EJECUTADO[[#This Row],[APLICACIÓN]]&amp;"-00-00-00",CATALOGO[Código],0))</f>
        <v>PRESTACIONES AL PERSONAL</v>
      </c>
      <c r="J138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GASTOS MÉDICOS </v>
      </c>
      <c r="K1381" s="161" t="str">
        <f>IF((EJECUTADO[[#This Row],[MONTO DISPONIBLE ]]-EJECUTADO[[#This Row],[MONTO SOLICITADO]])&gt;=0,"PRESUPUESTO: SI","PRESUPUESTO: NO")</f>
        <v>PRESUPUESTO: SI</v>
      </c>
      <c r="L1381" s="162">
        <f>SUMIF(PRESUPUESTO[CUENTA],EJECUTADO[[#This Row],[CUENTA]],PRESUPUESTO[MONTO])-SUMIF($F$1:F1380,EJECUTADO[[#This Row],[CUENTA]],$M$1:M1380)</f>
        <v>185445.03</v>
      </c>
      <c r="M1381" s="2">
        <v>1185.1600000000001</v>
      </c>
      <c r="N1381" s="84"/>
      <c r="O1381" s="84">
        <v>118.52</v>
      </c>
      <c r="P1381" s="162">
        <f>+EJECUTADO[[#This Row],[MONTO SOLICITADO]]-EJECUTADO[[#This Row],[RETENCION IVA]]-EJECUTADO[[#This Row],[RETENCION ISR]]</f>
        <v>1066.6400000000001</v>
      </c>
      <c r="Q1381" s="84" t="s">
        <v>1786</v>
      </c>
      <c r="R1381" s="84"/>
      <c r="S1381" s="134">
        <v>3384</v>
      </c>
      <c r="T1381" s="168" t="str">
        <f t="shared" si="59"/>
        <v>PRESTACIONES AL PERSONAL - GASTOS MÉDICOS  Disponible $185445.03 Solicitado $1185.16 PRESUPUESTO: SI</v>
      </c>
    </row>
    <row r="1382" spans="1:20" ht="31.5" customHeight="1" x14ac:dyDescent="0.25">
      <c r="A1382" s="187" t="s">
        <v>3058</v>
      </c>
      <c r="B1382" s="21">
        <v>45391</v>
      </c>
      <c r="C1382" s="126" t="s">
        <v>1155</v>
      </c>
      <c r="D1382" s="65" t="s">
        <v>3054</v>
      </c>
      <c r="E1382" s="65" t="s">
        <v>3059</v>
      </c>
      <c r="F1382" t="s">
        <v>1265</v>
      </c>
      <c r="G1382" s="161">
        <f>MONTH(EJECUTADO[[#This Row],[FECHA]])</f>
        <v>4</v>
      </c>
      <c r="H1382" s="163" t="str">
        <f>MID(EJECUTADO[[#This Row],[CUENTA]],1,4)</f>
        <v>E-23</v>
      </c>
      <c r="I1382" s="163" t="str">
        <f>INDEX(CATALOGO[Descripción],MATCH(EJECUTADO[[#This Row],[APLICACIÓN]]&amp;"-00-00-00",CATALOGO[Código],0))</f>
        <v>GASTOS DE VIAJE</v>
      </c>
      <c r="J138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382" s="161" t="str">
        <f>IF((EJECUTADO[[#This Row],[MONTO DISPONIBLE ]]-EJECUTADO[[#This Row],[MONTO SOLICITADO]])&gt;=0,"PRESUPUESTO: SI","PRESUPUESTO: NO")</f>
        <v>PRESUPUESTO: SI</v>
      </c>
      <c r="L1382" s="162">
        <f>SUMIF(PRESUPUESTO[CUENTA],EJECUTADO[[#This Row],[CUENTA]],PRESUPUESTO[MONTO])-SUMIF($F$1:F1381,EJECUTADO[[#This Row],[CUENTA]],$M$1:M1381)</f>
        <v>18113.010000000002</v>
      </c>
      <c r="M1382" s="2">
        <v>80</v>
      </c>
      <c r="N1382" s="188"/>
      <c r="O1382" s="188"/>
      <c r="P1382" s="166">
        <f>+EJECUTADO[[#This Row],[MONTO SOLICITADO]]-EJECUTADO[[#This Row],[RETENCION IVA]]-EJECUTADO[[#This Row],[RETENCION ISR]]</f>
        <v>80</v>
      </c>
      <c r="Q1382" s="188" t="s">
        <v>1786</v>
      </c>
      <c r="R1382" s="188"/>
      <c r="S1382" s="134">
        <v>3384</v>
      </c>
      <c r="T1382" s="176" t="str">
        <f>_xlfn.CONCAT(I1382," - ",J1382," Disponible $",L1382," Solicitado $",M1382," ",K1382,)</f>
        <v>GASTOS DE VIAJE - Servicio combustible Disponible $18113.01 Solicitado $80 PRESUPUESTO: SI</v>
      </c>
    </row>
    <row r="1383" spans="1:20" ht="45" x14ac:dyDescent="0.25">
      <c r="A1383" s="6">
        <f>+A1381+1</f>
        <v>1244</v>
      </c>
      <c r="B1383" s="21">
        <v>45391</v>
      </c>
      <c r="C1383" s="126" t="s">
        <v>1784</v>
      </c>
      <c r="D1383" s="65" t="s">
        <v>1785</v>
      </c>
      <c r="E1383" s="65" t="s">
        <v>3060</v>
      </c>
      <c r="F1383" t="s">
        <v>1265</v>
      </c>
      <c r="G1383" s="161">
        <f>MONTH(EJECUTADO[[#This Row],[FECHA]])</f>
        <v>4</v>
      </c>
      <c r="H1383" s="163" t="str">
        <f>MID(EJECUTADO[[#This Row],[CUENTA]],1,4)</f>
        <v>E-23</v>
      </c>
      <c r="I1383" s="163" t="str">
        <f>INDEX(CATALOGO[Descripción],MATCH(EJECUTADO[[#This Row],[APLICACIÓN]]&amp;"-00-00-00",CATALOGO[Código],0))</f>
        <v>GASTOS DE VIAJE</v>
      </c>
      <c r="J1383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 combustible</v>
      </c>
      <c r="K1383" s="161" t="str">
        <f>IF((EJECUTADO[[#This Row],[MONTO DISPONIBLE ]]-EJECUTADO[[#This Row],[MONTO SOLICITADO]])&gt;=0,"PRESUPUESTO: SI","PRESUPUESTO: NO")</f>
        <v>PRESUPUESTO: SI</v>
      </c>
      <c r="L1383" s="162">
        <f>SUMIF(PRESUPUESTO[CUENTA],EJECUTADO[[#This Row],[CUENTA]],PRESUPUESTO[MONTO])-SUMIF($F$1:F1381,EJECUTADO[[#This Row],[CUENTA]],$M$1:M1381)</f>
        <v>18113.010000000002</v>
      </c>
      <c r="M1383" s="2">
        <v>400</v>
      </c>
      <c r="N1383" s="84"/>
      <c r="O1383" s="84"/>
      <c r="P1383" s="162">
        <f>+EJECUTADO[[#This Row],[MONTO SOLICITADO]]-EJECUTADO[[#This Row],[RETENCION IVA]]-EJECUTADO[[#This Row],[RETENCION ISR]]</f>
        <v>400</v>
      </c>
      <c r="Q1383" s="84" t="s">
        <v>1786</v>
      </c>
      <c r="R1383" s="84"/>
      <c r="S1383" s="112">
        <v>3383</v>
      </c>
      <c r="T1383" s="168" t="str">
        <f>_xlfn.CONCAT(I1383," - ",J1383," Disponible $",L1383," Solicitado $",M1383," ",K1383,)</f>
        <v>GASTOS DE VIAJE - Servicio combustible Disponible $18113.01 Solicitado $400 PRESUPUESTO: SI</v>
      </c>
    </row>
    <row r="1384" spans="1:20" ht="39.75" customHeight="1" x14ac:dyDescent="0.25">
      <c r="A1384" s="6">
        <f t="shared" si="60"/>
        <v>1245</v>
      </c>
      <c r="B1384" s="21">
        <v>45390</v>
      </c>
      <c r="C1384" s="126" t="s">
        <v>2746</v>
      </c>
      <c r="D1384" s="65" t="s">
        <v>3061</v>
      </c>
      <c r="E1384" s="65"/>
      <c r="F1384" t="s">
        <v>1638</v>
      </c>
      <c r="G1384" s="161">
        <f>MONTH(EJECUTADO[[#This Row],[FECHA]])</f>
        <v>4</v>
      </c>
      <c r="H1384" s="163" t="str">
        <f>MID(EJECUTADO[[#This Row],[CUENTA]],1,4)</f>
        <v>E-22</v>
      </c>
      <c r="I1384" s="163" t="str">
        <f>INDEX(CATALOGO[Descripción],MATCH(EJECUTADO[[#This Row],[APLICACIÓN]]&amp;"-00-00-00",CATALOGO[Código],0))</f>
        <v>CAPACITACIÓN AL PERSONAL</v>
      </c>
      <c r="J1384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384" s="161" t="str">
        <f>IF((EJECUTADO[[#This Row],[MONTO DISPONIBLE ]]-EJECUTADO[[#This Row],[MONTO SOLICITADO]])&gt;=0,"PRESUPUESTO: SI","PRESUPUESTO: NO")</f>
        <v>PRESUPUESTO: SI</v>
      </c>
      <c r="L1384" s="162">
        <f>SUMIF(PRESUPUESTO[CUENTA],EJECUTADO[[#This Row],[CUENTA]],PRESUPUESTO[MONTO])-SUMIF($F$1:F1383,EJECUTADO[[#This Row],[CUENTA]],$M$1:M1383)</f>
        <v>18101.669999999998</v>
      </c>
      <c r="M1384" s="2">
        <v>361.91</v>
      </c>
      <c r="N1384" s="84"/>
      <c r="O1384" s="84"/>
      <c r="P1384" s="162">
        <f>+EJECUTADO[[#This Row],[MONTO SOLICITADO]]-EJECUTADO[[#This Row],[RETENCION IVA]]-EJECUTADO[[#This Row],[RETENCION ISR]]</f>
        <v>361.91</v>
      </c>
      <c r="Q1384" s="84" t="s">
        <v>1786</v>
      </c>
      <c r="R1384" s="84"/>
      <c r="T1384" s="168" t="str">
        <f t="shared" si="59"/>
        <v>CAPACITACIÓN AL PERSONAL - Cohorte No. 2 (10 participantes) año 1 Disponible $18101.67 Solicitado $361.91 PRESUPUESTO: SI</v>
      </c>
    </row>
    <row r="1385" spans="1:20" ht="90" x14ac:dyDescent="0.25">
      <c r="A1385" s="6">
        <f t="shared" si="60"/>
        <v>1246</v>
      </c>
      <c r="B1385" s="21">
        <v>45390</v>
      </c>
      <c r="C1385" s="126" t="s">
        <v>2746</v>
      </c>
      <c r="D1385" s="65" t="s">
        <v>3062</v>
      </c>
      <c r="E1385" s="65"/>
      <c r="F1385" t="s">
        <v>1638</v>
      </c>
      <c r="G1385" s="161">
        <f>MONTH(EJECUTADO[[#This Row],[FECHA]])</f>
        <v>4</v>
      </c>
      <c r="H1385" s="163" t="str">
        <f>MID(EJECUTADO[[#This Row],[CUENTA]],1,4)</f>
        <v>E-22</v>
      </c>
      <c r="I1385" s="163" t="str">
        <f>INDEX(CATALOGO[Descripción],MATCH(EJECUTADO[[#This Row],[APLICACIÓN]]&amp;"-00-00-00",CATALOGO[Código],0))</f>
        <v>CAPACITACIÓN AL PERSONAL</v>
      </c>
      <c r="J138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385" s="161" t="str">
        <f>IF((EJECUTADO[[#This Row],[MONTO DISPONIBLE ]]-EJECUTADO[[#This Row],[MONTO SOLICITADO]])&gt;=0,"PRESUPUESTO: SI","PRESUPUESTO: NO")</f>
        <v>PRESUPUESTO: SI</v>
      </c>
      <c r="L1385" s="162">
        <f>SUMIF(PRESUPUESTO[CUENTA],EJECUTADO[[#This Row],[CUENTA]],PRESUPUESTO[MONTO])-SUMIF($F$1:F1384,EJECUTADO[[#This Row],[CUENTA]],$M$1:M1384)</f>
        <v>17739.759999999998</v>
      </c>
      <c r="M1385" s="2">
        <v>361.91</v>
      </c>
      <c r="N1385" s="84"/>
      <c r="O1385" s="84"/>
      <c r="P1385" s="162">
        <f>+EJECUTADO[[#This Row],[MONTO SOLICITADO]]-EJECUTADO[[#This Row],[RETENCION IVA]]-EJECUTADO[[#This Row],[RETENCION ISR]]</f>
        <v>361.91</v>
      </c>
      <c r="Q1385" s="84" t="s">
        <v>1786</v>
      </c>
      <c r="R1385" s="84"/>
      <c r="T1385" s="168" t="str">
        <f t="shared" si="59"/>
        <v>CAPACITACIÓN AL PERSONAL - Cohorte No. 2 (10 participantes) año 1 Disponible $17739.76 Solicitado $361.91 PRESUPUESTO: SI</v>
      </c>
    </row>
    <row r="1386" spans="1:20" ht="33" customHeight="1" x14ac:dyDescent="0.25">
      <c r="A1386" s="6">
        <f t="shared" si="60"/>
        <v>1247</v>
      </c>
      <c r="B1386" s="21">
        <v>45390</v>
      </c>
      <c r="C1386" s="126" t="s">
        <v>3063</v>
      </c>
      <c r="D1386" s="65" t="s">
        <v>3064</v>
      </c>
      <c r="E1386" s="65" t="s">
        <v>1915</v>
      </c>
      <c r="F1386" t="s">
        <v>3065</v>
      </c>
      <c r="G1386" s="161">
        <f>MONTH(EJECUTADO[[#This Row],[FECHA]])</f>
        <v>4</v>
      </c>
      <c r="H1386" s="163" t="str">
        <f>MID(EJECUTADO[[#This Row],[CUENTA]],1,4)</f>
        <v>E-29</v>
      </c>
      <c r="I1386" s="163" t="str">
        <f>INDEX(CATALOGO[Descripción],MATCH(EJECUTADO[[#This Row],[APLICACIÓN]]&amp;"-00-00-00",CATALOGO[Código],0))</f>
        <v xml:space="preserve">BIBLIOTECA </v>
      </c>
      <c r="J138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CBUES membresia 2024</v>
      </c>
      <c r="K1386" s="161" t="str">
        <f>IF((EJECUTADO[[#This Row],[MONTO DISPONIBLE ]]-EJECUTADO[[#This Row],[MONTO SOLICITADO]])&gt;=0,"PRESUPUESTO: SI","PRESUPUESTO: NO")</f>
        <v>PRESUPUESTO: SI</v>
      </c>
      <c r="L1386" s="162">
        <f>SUMIF(PRESUPUESTO[CUENTA],EJECUTADO[[#This Row],[CUENTA]],PRESUPUESTO[MONTO])-SUMIF($F$1:F1385,EJECUTADO[[#This Row],[CUENTA]],$M$1:M1385)</f>
        <v>3500</v>
      </c>
      <c r="M1386" s="2">
        <v>3500</v>
      </c>
      <c r="N1386" s="84"/>
      <c r="O1386" s="84"/>
      <c r="P1386" s="162">
        <f>+EJECUTADO[[#This Row],[MONTO SOLICITADO]]-EJECUTADO[[#This Row],[RETENCION IVA]]-EJECUTADO[[#This Row],[RETENCION ISR]]</f>
        <v>3500</v>
      </c>
      <c r="Q1386" s="84" t="s">
        <v>1554</v>
      </c>
      <c r="R1386" s="84"/>
      <c r="S1386">
        <v>3389</v>
      </c>
      <c r="T1386" s="168" t="str">
        <f t="shared" si="59"/>
        <v>BIBLIOTECA  - CBUES membresia 2024 Disponible $3500 Solicitado $3500 PRESUPUESTO: SI</v>
      </c>
    </row>
    <row r="1387" spans="1:20" ht="60" x14ac:dyDescent="0.25">
      <c r="A1387" s="6">
        <f t="shared" si="60"/>
        <v>1248</v>
      </c>
      <c r="B1387" s="21">
        <v>45391</v>
      </c>
      <c r="C1387" s="126" t="s">
        <v>1130</v>
      </c>
      <c r="D1387" s="65" t="s">
        <v>3066</v>
      </c>
      <c r="E1387" s="65" t="s">
        <v>3067</v>
      </c>
      <c r="F1387" t="s">
        <v>2224</v>
      </c>
      <c r="G1387" s="161">
        <f>MONTH(EJECUTADO[[#This Row],[FECHA]])</f>
        <v>4</v>
      </c>
      <c r="H1387" s="163" t="str">
        <f>MID(EJECUTADO[[#This Row],[CUENTA]],1,4)</f>
        <v>E-15</v>
      </c>
      <c r="I1387" s="163" t="str">
        <f>INDEX(CATALOGO[Descripción],MATCH(EJECUTADO[[#This Row],[APLICACIÓN]]&amp;"-00-00-00",CATALOGO[Código],0))</f>
        <v>ALQUILERES</v>
      </c>
      <c r="J138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Apartamento Marbella  (Noris de López)</v>
      </c>
      <c r="K1387" s="161" t="str">
        <f>IF((EJECUTADO[[#This Row],[MONTO DISPONIBLE ]]-EJECUTADO[[#This Row],[MONTO SOLICITADO]])&gt;=0,"PRESUPUESTO: SI","PRESUPUESTO: NO")</f>
        <v>PRESUPUESTO: SI</v>
      </c>
      <c r="L1387" s="162">
        <f>SUMIF(PRESUPUESTO[CUENTA],EJECUTADO[[#This Row],[CUENTA]],PRESUPUESTO[MONTO])-SUMIF($F$1:F1386,EJECUTADO[[#This Row],[CUENTA]],$M$1:M1386)</f>
        <v>16500</v>
      </c>
      <c r="M1387" s="2">
        <v>1500</v>
      </c>
      <c r="N1387" s="84"/>
      <c r="O1387" s="84">
        <v>150</v>
      </c>
      <c r="P1387" s="162">
        <f>+EJECUTADO[[#This Row],[MONTO SOLICITADO]]-EJECUTADO[[#This Row],[RETENCION IVA]]-EJECUTADO[[#This Row],[RETENCION ISR]]</f>
        <v>1350</v>
      </c>
      <c r="Q1387" s="84"/>
      <c r="R1387" s="84"/>
      <c r="T1387" s="168" t="str">
        <f t="shared" si="59"/>
        <v>ALQUILERES - Apartamento Marbella  (Noris de López) Disponible $16500 Solicitado $1500 PRESUPUESTO: SI</v>
      </c>
    </row>
    <row r="1388" spans="1:20" ht="28.5" customHeight="1" x14ac:dyDescent="0.25">
      <c r="A1388" s="6">
        <f t="shared" si="60"/>
        <v>1249</v>
      </c>
      <c r="B1388" s="21">
        <v>45391</v>
      </c>
      <c r="C1388" s="21" t="s">
        <v>2228</v>
      </c>
      <c r="D1388" s="65" t="s">
        <v>3068</v>
      </c>
      <c r="E1388" s="65" t="s">
        <v>3069</v>
      </c>
      <c r="F1388" s="68" t="s">
        <v>1258</v>
      </c>
      <c r="G1388" s="161">
        <f>MONTH(EJECUTADO[[#This Row],[FECHA]])</f>
        <v>4</v>
      </c>
      <c r="H1388" s="163" t="str">
        <f>MID(EJECUTADO[[#This Row],[CUENTA]],1,4)</f>
        <v>E-22</v>
      </c>
      <c r="I1388" s="163" t="str">
        <f>INDEX(CATALOGO[Descripción],MATCH(EJECUTADO[[#This Row],[APLICACIÓN]]&amp;"-00-00-00",CATALOGO[Código],0))</f>
        <v>CAPACITACIÓN AL PERSONAL</v>
      </c>
      <c r="J138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388" s="161" t="str">
        <f>IF((EJECUTADO[[#This Row],[MONTO DISPONIBLE ]]-EJECUTADO[[#This Row],[MONTO SOLICITADO]])&gt;=0,"PRESUPUESTO: SI","PRESUPUESTO: NO")</f>
        <v>PRESUPUESTO: NO</v>
      </c>
      <c r="L1388" s="162">
        <f>SUMIF(PRESUPUESTO[CUENTA],EJECUTADO[[#This Row],[CUENTA]],PRESUPUESTO[MONTO])-SUMIF($F$1:F1387,EJECUTADO[[#This Row],[CUENTA]],$M$1:M1387)</f>
        <v>-8166.66</v>
      </c>
      <c r="M1388" s="2">
        <v>2222.2199999999998</v>
      </c>
      <c r="N1388" s="84"/>
      <c r="O1388" s="84">
        <v>222.22</v>
      </c>
      <c r="P1388" s="162">
        <f>+EJECUTADO[[#This Row],[MONTO SOLICITADO]]-EJECUTADO[[#This Row],[RETENCION IVA]]-EJECUTADO[[#This Row],[RETENCION ISR]]</f>
        <v>1999.9999999999998</v>
      </c>
      <c r="Q1388" s="84"/>
      <c r="R1388" s="84"/>
      <c r="S1388">
        <v>810770</v>
      </c>
      <c r="T1388" s="168" t="str">
        <f t="shared" si="59"/>
        <v>CAPACITACIÓN AL PERSONAL - CAPACITACIONES TALLER PRINCIPIOS Y VALORES (DR.MALUMBRES) Disponible $-8166.66 Solicitado $2222.22 PRESUPUESTO: NO</v>
      </c>
    </row>
    <row r="1389" spans="1:20" ht="30" x14ac:dyDescent="0.25">
      <c r="A1389" s="6">
        <f t="shared" si="60"/>
        <v>1250</v>
      </c>
      <c r="B1389" s="21">
        <v>45391</v>
      </c>
      <c r="C1389" s="21" t="s">
        <v>2228</v>
      </c>
      <c r="D1389" s="65" t="s">
        <v>3070</v>
      </c>
      <c r="E1389" s="65" t="s">
        <v>3071</v>
      </c>
      <c r="F1389" s="68" t="s">
        <v>1258</v>
      </c>
      <c r="G1389" s="161">
        <f>MONTH(EJECUTADO[[#This Row],[FECHA]])</f>
        <v>4</v>
      </c>
      <c r="H1389" s="163" t="str">
        <f>MID(EJECUTADO[[#This Row],[CUENTA]],1,4)</f>
        <v>E-22</v>
      </c>
      <c r="I1389" s="163" t="str">
        <f>INDEX(CATALOGO[Descripción],MATCH(EJECUTADO[[#This Row],[APLICACIÓN]]&amp;"-00-00-00",CATALOGO[Código],0))</f>
        <v>CAPACITACIÓN AL PERSONAL</v>
      </c>
      <c r="J138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CAPACITACIONES TALLER PRINCIPIOS Y VALORES (DR.MALUMBRES)</v>
      </c>
      <c r="K1389" s="161" t="str">
        <f>IF((EJECUTADO[[#This Row],[MONTO DISPONIBLE ]]-EJECUTADO[[#This Row],[MONTO SOLICITADO]])&gt;=0,"PRESUPUESTO: SI","PRESUPUESTO: NO")</f>
        <v>PRESUPUESTO: NO</v>
      </c>
      <c r="L1389" s="162">
        <f>SUMIF(PRESUPUESTO[CUENTA],EJECUTADO[[#This Row],[CUENTA]],PRESUPUESTO[MONTO])-SUMIF($F$1:F1388,EJECUTADO[[#This Row],[CUENTA]],$M$1:M1388)</f>
        <v>-10388.879999999999</v>
      </c>
      <c r="M1389" s="2">
        <v>500</v>
      </c>
      <c r="N1389" s="84"/>
      <c r="O1389" s="84">
        <v>50</v>
      </c>
      <c r="P1389" s="162">
        <f>+EJECUTADO[[#This Row],[MONTO SOLICITADO]]-EJECUTADO[[#This Row],[RETENCION IVA]]-EJECUTADO[[#This Row],[RETENCION ISR]]</f>
        <v>450</v>
      </c>
      <c r="Q1389" s="84"/>
      <c r="R1389" s="84"/>
      <c r="S1389">
        <v>810770</v>
      </c>
      <c r="T1389" s="168" t="str">
        <f t="shared" si="59"/>
        <v>CAPACITACIÓN AL PERSONAL - CAPACITACIONES TALLER PRINCIPIOS Y VALORES (DR.MALUMBRES) Disponible $-10388.88 Solicitado $500 PRESUPUESTO: NO</v>
      </c>
    </row>
    <row r="1390" spans="1:20" ht="27" customHeight="1" x14ac:dyDescent="0.25">
      <c r="A1390" s="6">
        <f t="shared" si="60"/>
        <v>1251</v>
      </c>
      <c r="B1390" s="21">
        <v>45391</v>
      </c>
      <c r="C1390" s="126" t="s">
        <v>3072</v>
      </c>
      <c r="D1390" s="65" t="s">
        <v>3073</v>
      </c>
      <c r="E1390" s="65" t="s">
        <v>3074</v>
      </c>
      <c r="F1390" t="s">
        <v>1384</v>
      </c>
      <c r="G1390" s="161">
        <f>MONTH(EJECUTADO[[#This Row],[FECHA]])</f>
        <v>4</v>
      </c>
      <c r="H1390" s="163" t="str">
        <f>MID(EJECUTADO[[#This Row],[CUENTA]],1,4)</f>
        <v>E-19</v>
      </c>
      <c r="I1390" s="163" t="str">
        <f>INDEX(CATALOGO[Descripción],MATCH(EJECUTADO[[#This Row],[APLICACIÓN]]&amp;"-00-00-00",CATALOGO[Código],0))</f>
        <v>MANTENIMIENTO</v>
      </c>
      <c r="J139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de Limpieza</v>
      </c>
      <c r="K1390" s="161" t="str">
        <f>IF((EJECUTADO[[#This Row],[MONTO DISPONIBLE ]]-EJECUTADO[[#This Row],[MONTO SOLICITADO]])&gt;=0,"PRESUPUESTO: SI","PRESUPUESTO: NO")</f>
        <v>PRESUPUESTO: SI</v>
      </c>
      <c r="L1390" s="162">
        <f>SUMIF(PRESUPUESTO[CUENTA],EJECUTADO[[#This Row],[CUENTA]],PRESUPUESTO[MONTO])-SUMIF($F$1:F1389,EJECUTADO[[#This Row],[CUENTA]],$M$1:M1389)</f>
        <v>15420.720000000001</v>
      </c>
      <c r="M1390" s="2">
        <v>787.5</v>
      </c>
      <c r="N1390" s="84">
        <v>6.97</v>
      </c>
      <c r="O1390" s="84"/>
      <c r="P1390" s="162">
        <f>+EJECUTADO[[#This Row],[MONTO SOLICITADO]]-EJECUTADO[[#This Row],[RETENCION IVA]]-EJECUTADO[[#This Row],[RETENCION ISR]]</f>
        <v>780.53</v>
      </c>
      <c r="Q1390" s="84" t="s">
        <v>1971</v>
      </c>
      <c r="R1390" s="84" t="s">
        <v>2111</v>
      </c>
      <c r="T1390" s="168" t="str">
        <f t="shared" si="59"/>
        <v>MANTENIMIENTO - Mantenimiento de Limpieza Disponible $15420.72 Solicitado $787.5 PRESUPUESTO: SI</v>
      </c>
    </row>
    <row r="1391" spans="1:20" ht="45" x14ac:dyDescent="0.25">
      <c r="A1391" s="6">
        <f t="shared" si="60"/>
        <v>1252</v>
      </c>
      <c r="B1391" s="21">
        <v>45391</v>
      </c>
      <c r="C1391" s="126" t="s">
        <v>3075</v>
      </c>
      <c r="D1391" s="65" t="s">
        <v>3076</v>
      </c>
      <c r="E1391" s="65"/>
      <c r="G1391" s="161">
        <f>MONTH(EJECUTADO[[#This Row],[FECHA]])</f>
        <v>4</v>
      </c>
      <c r="H1391" s="163" t="str">
        <f>MID(EJECUTADO[[#This Row],[CUENTA]],1,4)</f>
        <v/>
      </c>
      <c r="I1391" s="163" t="e">
        <f>INDEX(CATALOGO[Descripción],MATCH(EJECUTADO[[#This Row],[APLICACIÓN]]&amp;"-00-00-00",CATALOGO[Código],0))</f>
        <v>#N/A</v>
      </c>
      <c r="J139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1" s="161" t="str">
        <f>IF((EJECUTADO[[#This Row],[MONTO DISPONIBLE ]]-EJECUTADO[[#This Row],[MONTO SOLICITADO]])&gt;=0,"PRESUPUESTO: SI","PRESUPUESTO: NO")</f>
        <v>PRESUPUESTO: NO</v>
      </c>
      <c r="L1391" s="162">
        <f>SUMIF(PRESUPUESTO[CUENTA],EJECUTADO[[#This Row],[CUENTA]],PRESUPUESTO[MONTO])-SUMIF($F$1:F1390,EJECUTADO[[#This Row],[CUENTA]],$M$1:M1390)</f>
        <v>0</v>
      </c>
      <c r="M1391" s="2">
        <v>675</v>
      </c>
      <c r="N1391" s="84"/>
      <c r="O1391" s="84"/>
      <c r="P1391" s="162">
        <f>+EJECUTADO[[#This Row],[MONTO SOLICITADO]]-EJECUTADO[[#This Row],[RETENCION IVA]]-EJECUTADO[[#This Row],[RETENCION ISR]]</f>
        <v>675</v>
      </c>
      <c r="Q1391" s="84" t="s">
        <v>1971</v>
      </c>
      <c r="R1391" s="84" t="s">
        <v>2111</v>
      </c>
      <c r="T1391" s="168" t="e">
        <f t="shared" si="59"/>
        <v>#N/A</v>
      </c>
    </row>
    <row r="1392" spans="1:20" ht="45" x14ac:dyDescent="0.25">
      <c r="A1392" s="6">
        <f t="shared" si="60"/>
        <v>1253</v>
      </c>
      <c r="B1392" s="21">
        <v>45391</v>
      </c>
      <c r="C1392" s="126" t="s">
        <v>2728</v>
      </c>
      <c r="D1392" s="65" t="s">
        <v>3077</v>
      </c>
      <c r="E1392" s="65"/>
      <c r="G1392" s="161">
        <f>MONTH(EJECUTADO[[#This Row],[FECHA]])</f>
        <v>4</v>
      </c>
      <c r="H1392" s="163" t="str">
        <f>MID(EJECUTADO[[#This Row],[CUENTA]],1,4)</f>
        <v/>
      </c>
      <c r="I1392" s="163" t="e">
        <f>INDEX(CATALOGO[Descripción],MATCH(EJECUTADO[[#This Row],[APLICACIÓN]]&amp;"-00-00-00",CATALOGO[Código],0))</f>
        <v>#N/A</v>
      </c>
      <c r="J139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2" s="161" t="str">
        <f>IF((EJECUTADO[[#This Row],[MONTO DISPONIBLE ]]-EJECUTADO[[#This Row],[MONTO SOLICITADO]])&gt;=0,"PRESUPUESTO: SI","PRESUPUESTO: NO")</f>
        <v>PRESUPUESTO: NO</v>
      </c>
      <c r="L1392" s="162">
        <f>SUMIF(PRESUPUESTO[CUENTA],EJECUTADO[[#This Row],[CUENTA]],PRESUPUESTO[MONTO])-SUMIF($F$1:F1391,EJECUTADO[[#This Row],[CUENTA]],$M$1:M1391)</f>
        <v>0</v>
      </c>
      <c r="M1392" s="2">
        <v>1301.06</v>
      </c>
      <c r="N1392" s="84"/>
      <c r="O1392" s="84"/>
      <c r="P1392" s="162">
        <f>+EJECUTADO[[#This Row],[MONTO SOLICITADO]]-EJECUTADO[[#This Row],[RETENCION IVA]]-EJECUTADO[[#This Row],[RETENCION ISR]]</f>
        <v>1301.06</v>
      </c>
      <c r="Q1392" s="84" t="s">
        <v>1971</v>
      </c>
      <c r="R1392" s="84" t="s">
        <v>2111</v>
      </c>
      <c r="T1392" s="168" t="e">
        <f t="shared" si="59"/>
        <v>#N/A</v>
      </c>
    </row>
    <row r="1393" spans="1:20" ht="60" x14ac:dyDescent="0.25">
      <c r="A1393" s="6">
        <f t="shared" si="60"/>
        <v>1254</v>
      </c>
      <c r="B1393" s="21">
        <v>45391</v>
      </c>
      <c r="C1393" s="126" t="s">
        <v>1727</v>
      </c>
      <c r="D1393" s="65" t="s">
        <v>3078</v>
      </c>
      <c r="E1393" s="65"/>
      <c r="G1393" s="161">
        <f>MONTH(EJECUTADO[[#This Row],[FECHA]])</f>
        <v>4</v>
      </c>
      <c r="H1393" s="163" t="str">
        <f>MID(EJECUTADO[[#This Row],[CUENTA]],1,4)</f>
        <v/>
      </c>
      <c r="I1393" s="163" t="e">
        <f>INDEX(CATALOGO[Descripción],MATCH(EJECUTADO[[#This Row],[APLICACIÓN]]&amp;"-00-00-00",CATALOGO[Código],0))</f>
        <v>#N/A</v>
      </c>
      <c r="J139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3" s="161" t="str">
        <f>IF((EJECUTADO[[#This Row],[MONTO DISPONIBLE ]]-EJECUTADO[[#This Row],[MONTO SOLICITADO]])&gt;=0,"PRESUPUESTO: SI","PRESUPUESTO: NO")</f>
        <v>PRESUPUESTO: NO</v>
      </c>
      <c r="L1393" s="162">
        <f>SUMIF(PRESUPUESTO[CUENTA],EJECUTADO[[#This Row],[CUENTA]],PRESUPUESTO[MONTO])-SUMIF($F$1:F1392,EJECUTADO[[#This Row],[CUENTA]],$M$1:M1392)</f>
        <v>0</v>
      </c>
      <c r="M1393" s="2">
        <v>1678.73</v>
      </c>
      <c r="N1393" s="84"/>
      <c r="O1393" s="84"/>
      <c r="P1393" s="162">
        <f>+EJECUTADO[[#This Row],[MONTO SOLICITADO]]-EJECUTADO[[#This Row],[RETENCION IVA]]-EJECUTADO[[#This Row],[RETENCION ISR]]</f>
        <v>1678.73</v>
      </c>
      <c r="Q1393" s="84" t="s">
        <v>1971</v>
      </c>
      <c r="R1393" s="84" t="s">
        <v>2111</v>
      </c>
      <c r="T1393" s="168" t="e">
        <f t="shared" si="59"/>
        <v>#N/A</v>
      </c>
    </row>
    <row r="1394" spans="1:20" ht="60" x14ac:dyDescent="0.25">
      <c r="A1394" s="6">
        <f t="shared" si="60"/>
        <v>1255</v>
      </c>
      <c r="B1394" s="21">
        <v>45391</v>
      </c>
      <c r="C1394" s="126" t="s">
        <v>2305</v>
      </c>
      <c r="D1394" s="65" t="s">
        <v>3079</v>
      </c>
      <c r="E1394" s="65"/>
      <c r="G1394" s="161">
        <f>MONTH(EJECUTADO[[#This Row],[FECHA]])</f>
        <v>4</v>
      </c>
      <c r="H1394" s="163" t="str">
        <f>MID(EJECUTADO[[#This Row],[CUENTA]],1,4)</f>
        <v/>
      </c>
      <c r="I1394" s="163" t="e">
        <f>INDEX(CATALOGO[Descripción],MATCH(EJECUTADO[[#This Row],[APLICACIÓN]]&amp;"-00-00-00",CATALOGO[Código],0))</f>
        <v>#N/A</v>
      </c>
      <c r="J139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4" s="161" t="str">
        <f>IF((EJECUTADO[[#This Row],[MONTO DISPONIBLE ]]-EJECUTADO[[#This Row],[MONTO SOLICITADO]])&gt;=0,"PRESUPUESTO: SI","PRESUPUESTO: NO")</f>
        <v>PRESUPUESTO: NO</v>
      </c>
      <c r="L1394" s="162">
        <f>SUMIF(PRESUPUESTO[CUENTA],EJECUTADO[[#This Row],[CUENTA]],PRESUPUESTO[MONTO])-SUMIF($F$1:F1393,EJECUTADO[[#This Row],[CUENTA]],$M$1:M1393)</f>
        <v>0</v>
      </c>
      <c r="M1394" s="2">
        <v>579.9</v>
      </c>
      <c r="N1394" s="84"/>
      <c r="O1394" s="84"/>
      <c r="P1394" s="162">
        <f>+EJECUTADO[[#This Row],[MONTO SOLICITADO]]-EJECUTADO[[#This Row],[RETENCION IVA]]-EJECUTADO[[#This Row],[RETENCION ISR]]</f>
        <v>579.9</v>
      </c>
      <c r="Q1394" s="84" t="s">
        <v>1971</v>
      </c>
      <c r="R1394" s="84" t="s">
        <v>2111</v>
      </c>
      <c r="T1394" s="168" t="e">
        <f t="shared" si="59"/>
        <v>#N/A</v>
      </c>
    </row>
    <row r="1395" spans="1:20" ht="33" customHeight="1" x14ac:dyDescent="0.25">
      <c r="A1395" s="6">
        <f t="shared" si="60"/>
        <v>1256</v>
      </c>
      <c r="B1395" s="21">
        <v>45391</v>
      </c>
      <c r="C1395" s="126" t="s">
        <v>3080</v>
      </c>
      <c r="D1395" s="65" t="s">
        <v>3081</v>
      </c>
      <c r="E1395" s="65" t="s">
        <v>3082</v>
      </c>
      <c r="F1395" t="s">
        <v>1582</v>
      </c>
      <c r="G1395" s="161">
        <f>MONTH(EJECUTADO[[#This Row],[FECHA]])</f>
        <v>4</v>
      </c>
      <c r="H1395" s="163" t="str">
        <f>MID(EJECUTADO[[#This Row],[CUENTA]],1,4)</f>
        <v>E-19</v>
      </c>
      <c r="I1395" s="163" t="str">
        <f>INDEX(CATALOGO[Descripción],MATCH(EJECUTADO[[#This Row],[APLICACIÓN]]&amp;"-00-00-00",CATALOGO[Código],0))</f>
        <v>MANTENIMIENTO</v>
      </c>
      <c r="J1395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Dir. Mantenimiento - Materiales Eléctricos </v>
      </c>
      <c r="K1395" s="161" t="str">
        <f>IF((EJECUTADO[[#This Row],[MONTO DISPONIBLE ]]-EJECUTADO[[#This Row],[MONTO SOLICITADO]])&gt;=0,"PRESUPUESTO: SI","PRESUPUESTO: NO")</f>
        <v>PRESUPUESTO: SI</v>
      </c>
      <c r="L1395" s="162">
        <f>SUMIF(PRESUPUESTO[CUENTA],EJECUTADO[[#This Row],[CUENTA]],PRESUPUESTO[MONTO])-SUMIF($F$1:F1394,EJECUTADO[[#This Row],[CUENTA]],$M$1:M1394)</f>
        <v>2690.579999999999</v>
      </c>
      <c r="M1395" s="2">
        <v>92.22</v>
      </c>
      <c r="N1395" s="84"/>
      <c r="O1395" s="84"/>
      <c r="P1395" s="162">
        <f>+EJECUTADO[[#This Row],[MONTO SOLICITADO]]-EJECUTADO[[#This Row],[RETENCION IVA]]-EJECUTADO[[#This Row],[RETENCION ISR]]</f>
        <v>92.22</v>
      </c>
      <c r="Q1395" s="84" t="s">
        <v>1971</v>
      </c>
      <c r="R1395" s="84" t="s">
        <v>2111</v>
      </c>
      <c r="T1395" s="168" t="str">
        <f t="shared" si="59"/>
        <v>MANTENIMIENTO - Dir. Mantenimiento - Materiales Eléctricos  Disponible $2690.58 Solicitado $92.22 PRESUPUESTO: SI</v>
      </c>
    </row>
    <row r="1396" spans="1:20" ht="30" x14ac:dyDescent="0.25">
      <c r="A1396" s="6">
        <f t="shared" si="60"/>
        <v>1257</v>
      </c>
      <c r="B1396" s="21">
        <v>45384</v>
      </c>
      <c r="C1396" s="126" t="s">
        <v>2856</v>
      </c>
      <c r="D1396" s="156" t="s">
        <v>3083</v>
      </c>
      <c r="E1396" s="65" t="s">
        <v>3084</v>
      </c>
      <c r="F1396" t="s">
        <v>2374</v>
      </c>
      <c r="G1396" s="161">
        <f>MONTH(EJECUTADO[[#This Row],[FECHA]])</f>
        <v>4</v>
      </c>
      <c r="H1396" s="163" t="str">
        <f>MID(EJECUTADO[[#This Row],[CUENTA]],1,4)</f>
        <v>E-01</v>
      </c>
      <c r="I1396" s="163" t="str">
        <f>INDEX(CATALOGO[Descripción],MATCH(EJECUTADO[[#This Row],[APLICACIÓN]]&amp;"-00-00-00",CATALOGO[Código],0))</f>
        <v>SERVICIOS PROFESIONALES</v>
      </c>
      <c r="J139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Servicios profesionales Lic. G de Duque</v>
      </c>
      <c r="K1396" s="161" t="str">
        <f>IF((EJECUTADO[[#This Row],[MONTO DISPONIBLE ]]-EJECUTADO[[#This Row],[MONTO SOLICITADO]])&gt;=0,"PRESUPUESTO: SI","PRESUPUESTO: NO")</f>
        <v>PRESUPUESTO: SI</v>
      </c>
      <c r="L1396" s="162">
        <f>SUMIF(PRESUPUESTO[CUENTA],EJECUTADO[[#This Row],[CUENTA]],PRESUPUESTO[MONTO])-SUMIF($F$1:F1395,EJECUTADO[[#This Row],[CUENTA]],$M$1:M1395)</f>
        <v>27000</v>
      </c>
      <c r="M1396" s="2">
        <v>3000</v>
      </c>
      <c r="N1396" s="84"/>
      <c r="O1396" s="84">
        <v>300</v>
      </c>
      <c r="P1396" s="162">
        <f>+EJECUTADO[[#This Row],[MONTO SOLICITADO]]-EJECUTADO[[#This Row],[RETENCION IVA]]-EJECUTADO[[#This Row],[RETENCION ISR]]</f>
        <v>2700</v>
      </c>
      <c r="Q1396" s="84" t="s">
        <v>1554</v>
      </c>
      <c r="R1396" s="84" t="s">
        <v>2375</v>
      </c>
      <c r="S1396">
        <v>1</v>
      </c>
      <c r="T1396" s="168" t="str">
        <f t="shared" si="59"/>
        <v>SERVICIOS PROFESIONALES - Servicios profesionales Lic. G de Duque Disponible $27000 Solicitado $3000 PRESUPUESTO: SI</v>
      </c>
    </row>
    <row r="1397" spans="1:20" ht="60" x14ac:dyDescent="0.25">
      <c r="A1397" s="6">
        <f t="shared" si="60"/>
        <v>1258</v>
      </c>
      <c r="B1397" s="21">
        <v>45393</v>
      </c>
      <c r="C1397" s="126" t="s">
        <v>3085</v>
      </c>
      <c r="D1397" s="65" t="s">
        <v>3086</v>
      </c>
      <c r="E1397" s="65" t="s">
        <v>1915</v>
      </c>
      <c r="G1397" s="161">
        <f>MONTH(EJECUTADO[[#This Row],[FECHA]])</f>
        <v>4</v>
      </c>
      <c r="H1397" s="163" t="str">
        <f>MID(EJECUTADO[[#This Row],[CUENTA]],1,4)</f>
        <v/>
      </c>
      <c r="I1397" s="163" t="e">
        <f>INDEX(CATALOGO[Descripción],MATCH(EJECUTADO[[#This Row],[APLICACIÓN]]&amp;"-00-00-00",CATALOGO[Código],0))</f>
        <v>#N/A</v>
      </c>
      <c r="J139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7" s="161" t="str">
        <f>IF((EJECUTADO[[#This Row],[MONTO DISPONIBLE ]]-EJECUTADO[[#This Row],[MONTO SOLICITADO]])&gt;=0,"PRESUPUESTO: SI","PRESUPUESTO: NO")</f>
        <v>PRESUPUESTO: NO</v>
      </c>
      <c r="L1397" s="162">
        <f>SUMIF(PRESUPUESTO[CUENTA],EJECUTADO[[#This Row],[CUENTA]],PRESUPUESTO[MONTO])-SUMIF($F$1:F1396,EJECUTADO[[#This Row],[CUENTA]],$M$1:M1396)</f>
        <v>0</v>
      </c>
      <c r="M1397" s="2">
        <v>60</v>
      </c>
      <c r="N1397" s="84"/>
      <c r="O1397" s="84"/>
      <c r="P1397" s="162">
        <f>+EJECUTADO[[#This Row],[MONTO SOLICITADO]]-EJECUTADO[[#This Row],[RETENCION IVA]]-EJECUTADO[[#This Row],[RETENCION ISR]]</f>
        <v>60</v>
      </c>
      <c r="Q1397" s="84"/>
      <c r="R1397" s="84"/>
      <c r="T1397" s="168" t="e">
        <f t="shared" si="59"/>
        <v>#N/A</v>
      </c>
    </row>
    <row r="1398" spans="1:20" ht="60" x14ac:dyDescent="0.25">
      <c r="A1398" s="6">
        <f t="shared" si="60"/>
        <v>1259</v>
      </c>
      <c r="B1398" s="21">
        <v>45393</v>
      </c>
      <c r="C1398" s="126" t="s">
        <v>3087</v>
      </c>
      <c r="D1398" s="65" t="s">
        <v>3088</v>
      </c>
      <c r="E1398" s="65"/>
      <c r="G1398" s="161">
        <f>MONTH(EJECUTADO[[#This Row],[FECHA]])</f>
        <v>4</v>
      </c>
      <c r="H1398" s="163" t="str">
        <f>MID(EJECUTADO[[#This Row],[CUENTA]],1,4)</f>
        <v/>
      </c>
      <c r="I1398" s="163" t="e">
        <f>INDEX(CATALOGO[Descripción],MATCH(EJECUTADO[[#This Row],[APLICACIÓN]]&amp;"-00-00-00",CATALOGO[Código],0))</f>
        <v>#N/A</v>
      </c>
      <c r="J13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8" s="161" t="str">
        <f>IF((EJECUTADO[[#This Row],[MONTO DISPONIBLE ]]-EJECUTADO[[#This Row],[MONTO SOLICITADO]])&gt;=0,"PRESUPUESTO: SI","PRESUPUESTO: NO")</f>
        <v>PRESUPUESTO: NO</v>
      </c>
      <c r="L1398" s="162">
        <f>SUMIF(PRESUPUESTO[CUENTA],EJECUTADO[[#This Row],[CUENTA]],PRESUPUESTO[MONTO])-SUMIF($F$1:F1397,EJECUTADO[[#This Row],[CUENTA]],$M$1:M1397)</f>
        <v>0</v>
      </c>
      <c r="M1398" s="2">
        <v>60</v>
      </c>
      <c r="N1398" s="84"/>
      <c r="O1398" s="84"/>
      <c r="P1398" s="162">
        <f>+EJECUTADO[[#This Row],[MONTO SOLICITADO]]-EJECUTADO[[#This Row],[RETENCION IVA]]-EJECUTADO[[#This Row],[RETENCION ISR]]</f>
        <v>60</v>
      </c>
      <c r="Q1398" s="84"/>
      <c r="R1398" s="84"/>
      <c r="T1398" s="168" t="e">
        <f t="shared" si="59"/>
        <v>#N/A</v>
      </c>
    </row>
    <row r="1399" spans="1:20" ht="27.75" customHeight="1" x14ac:dyDescent="0.25">
      <c r="A1399" s="6">
        <f t="shared" si="60"/>
        <v>1260</v>
      </c>
      <c r="B1399" s="21">
        <v>45393</v>
      </c>
      <c r="C1399" s="126" t="s">
        <v>3089</v>
      </c>
      <c r="D1399" s="65" t="s">
        <v>3090</v>
      </c>
      <c r="E1399" s="65"/>
      <c r="G1399" s="161">
        <f>MONTH(EJECUTADO[[#This Row],[FECHA]])</f>
        <v>4</v>
      </c>
      <c r="H1399" s="163" t="str">
        <f>MID(EJECUTADO[[#This Row],[CUENTA]],1,4)</f>
        <v/>
      </c>
      <c r="I1399" s="163" t="e">
        <f>INDEX(CATALOGO[Descripción],MATCH(EJECUTADO[[#This Row],[APLICACIÓN]]&amp;"-00-00-00",CATALOGO[Código],0))</f>
        <v>#N/A</v>
      </c>
      <c r="J139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399" s="161" t="str">
        <f>IF((EJECUTADO[[#This Row],[MONTO DISPONIBLE ]]-EJECUTADO[[#This Row],[MONTO SOLICITADO]])&gt;=0,"PRESUPUESTO: SI","PRESUPUESTO: NO")</f>
        <v>PRESUPUESTO: NO</v>
      </c>
      <c r="L1399" s="162">
        <f>SUMIF(PRESUPUESTO[CUENTA],EJECUTADO[[#This Row],[CUENTA]],PRESUPUESTO[MONTO])-SUMIF($F$1:F1398,EJECUTADO[[#This Row],[CUENTA]],$M$1:M1398)</f>
        <v>0</v>
      </c>
      <c r="M1399" s="2">
        <v>835.54</v>
      </c>
      <c r="N1399" s="84"/>
      <c r="O1399" s="84"/>
      <c r="P1399" s="162">
        <f>+EJECUTADO[[#This Row],[MONTO SOLICITADO]]-EJECUTADO[[#This Row],[RETENCION IVA]]-EJECUTADO[[#This Row],[RETENCION ISR]]</f>
        <v>835.54</v>
      </c>
      <c r="Q1399" s="84"/>
      <c r="R1399" s="84"/>
      <c r="T1399" s="168" t="e">
        <f t="shared" si="59"/>
        <v>#N/A</v>
      </c>
    </row>
    <row r="1400" spans="1:20" ht="36.75" customHeight="1" x14ac:dyDescent="0.25">
      <c r="A1400" s="6">
        <f t="shared" si="60"/>
        <v>1261</v>
      </c>
      <c r="B1400" s="21">
        <v>45393</v>
      </c>
      <c r="C1400" s="126" t="s">
        <v>2762</v>
      </c>
      <c r="D1400" s="65" t="s">
        <v>3091</v>
      </c>
      <c r="E1400" s="65"/>
      <c r="G1400" s="161">
        <f>MONTH(EJECUTADO[[#This Row],[FECHA]])</f>
        <v>4</v>
      </c>
      <c r="H1400" s="163" t="str">
        <f>MID(EJECUTADO[[#This Row],[CUENTA]],1,4)</f>
        <v/>
      </c>
      <c r="I1400" s="163" t="e">
        <f>INDEX(CATALOGO[Descripción],MATCH(EJECUTADO[[#This Row],[APLICACIÓN]]&amp;"-00-00-00",CATALOGO[Código],0))</f>
        <v>#N/A</v>
      </c>
      <c r="J140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00" s="161" t="str">
        <f>IF((EJECUTADO[[#This Row],[MONTO DISPONIBLE ]]-EJECUTADO[[#This Row],[MONTO SOLICITADO]])&gt;=0,"PRESUPUESTO: SI","PRESUPUESTO: NO")</f>
        <v>PRESUPUESTO: NO</v>
      </c>
      <c r="L1400" s="162">
        <f>SUMIF(PRESUPUESTO[CUENTA],EJECUTADO[[#This Row],[CUENTA]],PRESUPUESTO[MONTO])-SUMIF($F$1:F1399,EJECUTADO[[#This Row],[CUENTA]],$M$1:M1399)</f>
        <v>0</v>
      </c>
      <c r="M1400" s="2">
        <v>250</v>
      </c>
      <c r="N1400" s="84"/>
      <c r="O1400" s="84"/>
      <c r="P1400" s="162">
        <f>+EJECUTADO[[#This Row],[MONTO SOLICITADO]]-EJECUTADO[[#This Row],[RETENCION IVA]]-EJECUTADO[[#This Row],[RETENCION ISR]]</f>
        <v>250</v>
      </c>
      <c r="Q1400" s="84"/>
      <c r="R1400" s="84"/>
      <c r="T1400" s="168" t="e">
        <f t="shared" si="59"/>
        <v>#N/A</v>
      </c>
    </row>
    <row r="1401" spans="1:20" ht="38.25" customHeight="1" x14ac:dyDescent="0.25">
      <c r="A1401" s="6">
        <f t="shared" si="60"/>
        <v>1262</v>
      </c>
      <c r="B1401" s="21">
        <v>45393</v>
      </c>
      <c r="C1401" s="126" t="s">
        <v>2765</v>
      </c>
      <c r="D1401" s="65" t="s">
        <v>3091</v>
      </c>
      <c r="E1401" s="65"/>
      <c r="G1401" s="161">
        <f>MONTH(EJECUTADO[[#This Row],[FECHA]])</f>
        <v>4</v>
      </c>
      <c r="H1401" s="163" t="str">
        <f>MID(EJECUTADO[[#This Row],[CUENTA]],1,4)</f>
        <v/>
      </c>
      <c r="I1401" s="163" t="e">
        <f>INDEX(CATALOGO[Descripción],MATCH(EJECUTADO[[#This Row],[APLICACIÓN]]&amp;"-00-00-00",CATALOGO[Código],0))</f>
        <v>#N/A</v>
      </c>
      <c r="J140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01" s="161" t="str">
        <f>IF((EJECUTADO[[#This Row],[MONTO DISPONIBLE ]]-EJECUTADO[[#This Row],[MONTO SOLICITADO]])&gt;=0,"PRESUPUESTO: SI","PRESUPUESTO: NO")</f>
        <v>PRESUPUESTO: NO</v>
      </c>
      <c r="L1401" s="162">
        <f>SUMIF(PRESUPUESTO[CUENTA],EJECUTADO[[#This Row],[CUENTA]],PRESUPUESTO[MONTO])-SUMIF($F$1:F1400,EJECUTADO[[#This Row],[CUENTA]],$M$1:M1400)</f>
        <v>0</v>
      </c>
      <c r="M1401" s="2">
        <v>300</v>
      </c>
      <c r="N1401" s="84"/>
      <c r="O1401" s="84"/>
      <c r="P1401" s="162">
        <f>+EJECUTADO[[#This Row],[MONTO SOLICITADO]]-EJECUTADO[[#This Row],[RETENCION IVA]]-EJECUTADO[[#This Row],[RETENCION ISR]]</f>
        <v>300</v>
      </c>
      <c r="Q1401" s="84"/>
      <c r="R1401" s="84"/>
      <c r="T1401" s="168" t="e">
        <f t="shared" si="59"/>
        <v>#N/A</v>
      </c>
    </row>
    <row r="1402" spans="1:20" ht="43.5" customHeight="1" x14ac:dyDescent="0.25">
      <c r="A1402" s="6">
        <f t="shared" si="60"/>
        <v>1263</v>
      </c>
      <c r="B1402" s="21">
        <v>45393</v>
      </c>
      <c r="C1402" s="126" t="s">
        <v>3092</v>
      </c>
      <c r="D1402" s="65" t="s">
        <v>3093</v>
      </c>
      <c r="E1402" s="65"/>
      <c r="F1402" t="s">
        <v>1638</v>
      </c>
      <c r="G1402" s="161">
        <f>MONTH(EJECUTADO[[#This Row],[FECHA]])</f>
        <v>4</v>
      </c>
      <c r="H1402" s="163" t="str">
        <f>MID(EJECUTADO[[#This Row],[CUENTA]],1,4)</f>
        <v>E-22</v>
      </c>
      <c r="I1402" s="163" t="str">
        <f>INDEX(CATALOGO[Descripción],MATCH(EJECUTADO[[#This Row],[APLICACIÓN]]&amp;"-00-00-00",CATALOGO[Código],0))</f>
        <v>CAPACITACIÓN AL PERSONAL</v>
      </c>
      <c r="J140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Cohorte No. 2 (10 participantes) año 1</v>
      </c>
      <c r="K1402" s="161" t="str">
        <f>IF((EJECUTADO[[#This Row],[MONTO DISPONIBLE ]]-EJECUTADO[[#This Row],[MONTO SOLICITADO]])&gt;=0,"PRESUPUESTO: SI","PRESUPUESTO: NO")</f>
        <v>PRESUPUESTO: SI</v>
      </c>
      <c r="L1402" s="162">
        <f>SUMIF(PRESUPUESTO[CUENTA],EJECUTADO[[#This Row],[CUENTA]],PRESUPUESTO[MONTO])-SUMIF($F$1:F1401,EJECUTADO[[#This Row],[CUENTA]],$M$1:M1401)</f>
        <v>17377.849999999999</v>
      </c>
      <c r="M1402" s="2">
        <v>389.09</v>
      </c>
      <c r="N1402" s="84"/>
      <c r="O1402" s="84"/>
      <c r="P1402" s="162">
        <f>+EJECUTADO[[#This Row],[MONTO SOLICITADO]]-EJECUTADO[[#This Row],[RETENCION IVA]]-EJECUTADO[[#This Row],[RETENCION ISR]]</f>
        <v>389.09</v>
      </c>
      <c r="Q1402" s="84"/>
      <c r="R1402" s="84"/>
      <c r="T1402" s="168" t="str">
        <f t="shared" si="59"/>
        <v>CAPACITACIÓN AL PERSONAL - Cohorte No. 2 (10 participantes) año 1 Disponible $17377.85 Solicitado $389.09 PRESUPUESTO: SI</v>
      </c>
    </row>
    <row r="1403" spans="1:20" ht="36" customHeight="1" x14ac:dyDescent="0.25">
      <c r="A1403" s="6">
        <f t="shared" si="60"/>
        <v>1264</v>
      </c>
      <c r="B1403" s="21">
        <v>45393</v>
      </c>
      <c r="C1403" s="126" t="s">
        <v>1404</v>
      </c>
      <c r="D1403" s="65" t="s">
        <v>3094</v>
      </c>
      <c r="E1403" s="65"/>
      <c r="G1403" s="161">
        <f>MONTH(EJECUTADO[[#This Row],[FECHA]])</f>
        <v>4</v>
      </c>
      <c r="H1403" s="163" t="str">
        <f>MID(EJECUTADO[[#This Row],[CUENTA]],1,4)</f>
        <v/>
      </c>
      <c r="I1403" s="163" t="e">
        <f>INDEX(CATALOGO[Descripción],MATCH(EJECUTADO[[#This Row],[APLICACIÓN]]&amp;"-00-00-00",CATALOGO[Código],0))</f>
        <v>#N/A</v>
      </c>
      <c r="J140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03" s="161" t="str">
        <f>IF((EJECUTADO[[#This Row],[MONTO DISPONIBLE ]]-EJECUTADO[[#This Row],[MONTO SOLICITADO]])&gt;=0,"PRESUPUESTO: SI","PRESUPUESTO: NO")</f>
        <v>PRESUPUESTO: NO</v>
      </c>
      <c r="L1403" s="162">
        <f>SUMIF(PRESUPUESTO[CUENTA],EJECUTADO[[#This Row],[CUENTA]],PRESUPUESTO[MONTO])-SUMIF($F$1:F1402,EJECUTADO[[#This Row],[CUENTA]],$M$1:M1402)</f>
        <v>0</v>
      </c>
      <c r="M1403" s="2">
        <v>200</v>
      </c>
      <c r="N1403" s="84"/>
      <c r="O1403" s="84"/>
      <c r="P1403" s="162">
        <f>+EJECUTADO[[#This Row],[MONTO SOLICITADO]]-EJECUTADO[[#This Row],[RETENCION IVA]]-EJECUTADO[[#This Row],[RETENCION ISR]]</f>
        <v>200</v>
      </c>
      <c r="Q1403" s="84"/>
      <c r="R1403" s="84"/>
      <c r="T1403" s="168" t="e">
        <f t="shared" si="59"/>
        <v>#N/A</v>
      </c>
    </row>
    <row r="1404" spans="1:20" ht="35.25" customHeight="1" x14ac:dyDescent="0.25">
      <c r="A1404" s="6">
        <f t="shared" si="60"/>
        <v>1265</v>
      </c>
      <c r="B1404" s="21">
        <v>45393</v>
      </c>
      <c r="C1404" s="126" t="s">
        <v>1404</v>
      </c>
      <c r="D1404" s="65" t="s">
        <v>3095</v>
      </c>
      <c r="E1404" s="65"/>
      <c r="G1404" s="161">
        <f>MONTH(EJECUTADO[[#This Row],[FECHA]])</f>
        <v>4</v>
      </c>
      <c r="H1404" s="163" t="str">
        <f>MID(EJECUTADO[[#This Row],[CUENTA]],1,4)</f>
        <v/>
      </c>
      <c r="I1404" s="163" t="e">
        <f>INDEX(CATALOGO[Descripción],MATCH(EJECUTADO[[#This Row],[APLICACIÓN]]&amp;"-00-00-00",CATALOGO[Código],0))</f>
        <v>#N/A</v>
      </c>
      <c r="J140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04" s="161" t="str">
        <f>IF((EJECUTADO[[#This Row],[MONTO DISPONIBLE ]]-EJECUTADO[[#This Row],[MONTO SOLICITADO]])&gt;=0,"PRESUPUESTO: SI","PRESUPUESTO: NO")</f>
        <v>PRESUPUESTO: NO</v>
      </c>
      <c r="L1404" s="162">
        <f>SUMIF(PRESUPUESTO[CUENTA],EJECUTADO[[#This Row],[CUENTA]],PRESUPUESTO[MONTO])-SUMIF($F$1:F1403,EJECUTADO[[#This Row],[CUENTA]],$M$1:M1403)</f>
        <v>0</v>
      </c>
      <c r="M1404" s="2">
        <v>125</v>
      </c>
      <c r="N1404" s="84"/>
      <c r="O1404" s="84"/>
      <c r="P1404" s="162">
        <f>+EJECUTADO[[#This Row],[MONTO SOLICITADO]]-EJECUTADO[[#This Row],[RETENCION IVA]]-EJECUTADO[[#This Row],[RETENCION ISR]]</f>
        <v>125</v>
      </c>
      <c r="Q1404" s="84"/>
      <c r="R1404" s="84"/>
      <c r="T1404" s="168" t="e">
        <f t="shared" si="59"/>
        <v>#N/A</v>
      </c>
    </row>
    <row r="1405" spans="1:20" ht="36" customHeight="1" x14ac:dyDescent="0.25">
      <c r="A1405" s="6">
        <f t="shared" si="60"/>
        <v>1266</v>
      </c>
      <c r="B1405" s="21">
        <v>45393</v>
      </c>
      <c r="C1405" s="126" t="s">
        <v>3096</v>
      </c>
      <c r="D1405" s="65" t="s">
        <v>3097</v>
      </c>
      <c r="E1405" s="65"/>
      <c r="G1405" s="161">
        <f>MONTH(EJECUTADO[[#This Row],[FECHA]])</f>
        <v>4</v>
      </c>
      <c r="H1405" s="163" t="str">
        <f>MID(EJECUTADO[[#This Row],[CUENTA]],1,4)</f>
        <v/>
      </c>
      <c r="I1405" s="163" t="e">
        <f>INDEX(CATALOGO[Descripción],MATCH(EJECUTADO[[#This Row],[APLICACIÓN]]&amp;"-00-00-00",CATALOGO[Código],0))</f>
        <v>#N/A</v>
      </c>
      <c r="J140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05" s="161" t="str">
        <f>IF((EJECUTADO[[#This Row],[MONTO DISPONIBLE ]]-EJECUTADO[[#This Row],[MONTO SOLICITADO]])&gt;=0,"PRESUPUESTO: SI","PRESUPUESTO: NO")</f>
        <v>PRESUPUESTO: NO</v>
      </c>
      <c r="L1405" s="162">
        <f>SUMIF(PRESUPUESTO[CUENTA],EJECUTADO[[#This Row],[CUENTA]],PRESUPUESTO[MONTO])-SUMIF($F$1:F1404,EJECUTADO[[#This Row],[CUENTA]],$M$1:M1404)</f>
        <v>0</v>
      </c>
      <c r="M1405" s="2">
        <v>211.91</v>
      </c>
      <c r="N1405" s="84"/>
      <c r="O1405" s="84"/>
      <c r="P1405" s="162">
        <f>+EJECUTADO[[#This Row],[MONTO SOLICITADO]]-EJECUTADO[[#This Row],[RETENCION IVA]]-EJECUTADO[[#This Row],[RETENCION ISR]]</f>
        <v>211.91</v>
      </c>
      <c r="Q1405" s="84"/>
      <c r="R1405" s="84"/>
      <c r="T1405" s="168" t="e">
        <f t="shared" ref="T1405:T1468" si="61">_xlfn.CONCAT(I1405," - ",J1405," Disponible $",L1405," Solicitado $",M1405," ",K1405,)</f>
        <v>#N/A</v>
      </c>
    </row>
    <row r="1406" spans="1:20" ht="21.75" customHeight="1" x14ac:dyDescent="0.25">
      <c r="A1406" s="6">
        <f t="shared" si="60"/>
        <v>1267</v>
      </c>
      <c r="B1406" s="21">
        <v>45393</v>
      </c>
      <c r="C1406" s="126" t="s">
        <v>3098</v>
      </c>
      <c r="D1406" s="65" t="s">
        <v>3099</v>
      </c>
      <c r="E1406" s="65" t="s">
        <v>1915</v>
      </c>
      <c r="F1406" t="s">
        <v>1214</v>
      </c>
      <c r="G1406" s="161">
        <f>MONTH(EJECUTADO[[#This Row],[FECHA]])</f>
        <v>4</v>
      </c>
      <c r="H1406" s="163" t="str">
        <f>MID(EJECUTADO[[#This Row],[CUENTA]],1,4)</f>
        <v>E-19</v>
      </c>
      <c r="I1406" s="163" t="str">
        <f>INDEX(CATALOGO[Descripción],MATCH(EJECUTADO[[#This Row],[APLICACIÓN]]&amp;"-00-00-00",CATALOGO[Código],0))</f>
        <v>MANTENIMIENTO</v>
      </c>
      <c r="J1406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Mantenimiento en talleres (Vehiculos)</v>
      </c>
      <c r="K1406" s="161" t="str">
        <f>IF((EJECUTADO[[#This Row],[MONTO DISPONIBLE ]]-EJECUTADO[[#This Row],[MONTO SOLICITADO]])&gt;=0,"PRESUPUESTO: SI","PRESUPUESTO: NO")</f>
        <v>PRESUPUESTO: SI</v>
      </c>
      <c r="L1406" s="162">
        <f>SUMIF(PRESUPUESTO[CUENTA],EJECUTADO[[#This Row],[CUENTA]],PRESUPUESTO[MONTO])-SUMIF($F$1:F1405,EJECUTADO[[#This Row],[CUENTA]],$M$1:M1405)</f>
        <v>32357.559999999998</v>
      </c>
      <c r="M1406" s="2">
        <v>112.51</v>
      </c>
      <c r="N1406" s="84"/>
      <c r="O1406" s="84"/>
      <c r="P1406" s="162">
        <f>+EJECUTADO[[#This Row],[MONTO SOLICITADO]]-EJECUTADO[[#This Row],[RETENCION IVA]]-EJECUTADO[[#This Row],[RETENCION ISR]]</f>
        <v>112.51</v>
      </c>
      <c r="Q1406" s="84" t="s">
        <v>1554</v>
      </c>
      <c r="R1406" s="84"/>
      <c r="T1406" s="168" t="str">
        <f t="shared" si="61"/>
        <v>MANTENIMIENTO - Mantenimiento en talleres (Vehiculos) Disponible $32357.56 Solicitado $112.51 PRESUPUESTO: SI</v>
      </c>
    </row>
    <row r="1407" spans="1:20" ht="60" x14ac:dyDescent="0.25">
      <c r="A1407" s="6">
        <f t="shared" si="60"/>
        <v>1268</v>
      </c>
      <c r="B1407" s="21">
        <v>45393</v>
      </c>
      <c r="C1407" s="126" t="s">
        <v>1289</v>
      </c>
      <c r="D1407" s="65" t="s">
        <v>3100</v>
      </c>
      <c r="E1407" s="65" t="s">
        <v>1915</v>
      </c>
      <c r="F1407" t="s">
        <v>1286</v>
      </c>
      <c r="G1407" s="161">
        <f>MONTH(EJECUTADO[[#This Row],[FECHA]])</f>
        <v>4</v>
      </c>
      <c r="H1407" s="163" t="str">
        <f>MID(EJECUTADO[[#This Row],[CUENTA]],1,4)</f>
        <v>E-09</v>
      </c>
      <c r="I1407" s="163" t="str">
        <f>INDEX(CATALOGO[Descripción],MATCH(EJECUTADO[[#This Row],[APLICACIÓN]]&amp;"-00-00-00",CATALOGO[Código],0))</f>
        <v>PRESTACIONES AL PERSONAL</v>
      </c>
      <c r="J1407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407" s="161" t="str">
        <f>IF((EJECUTADO[[#This Row],[MONTO DISPONIBLE ]]-EJECUTADO[[#This Row],[MONTO SOLICITADO]])&gt;=0,"PRESUPUESTO: SI","PRESUPUESTO: NO")</f>
        <v>PRESUPUESTO: SI</v>
      </c>
      <c r="L1407" s="162">
        <f>SUMIF(PRESUPUESTO[CUENTA],EJECUTADO[[#This Row],[CUENTA]],PRESUPUESTO[MONTO])-SUMIF($F$1:F1406,EJECUTADO[[#This Row],[CUENTA]],$M$1:M1406)</f>
        <v>17857.439999999999</v>
      </c>
      <c r="M1407" s="2">
        <v>140</v>
      </c>
      <c r="N1407" s="84"/>
      <c r="O1407" s="84"/>
      <c r="P1407" s="162">
        <f>+EJECUTADO[[#This Row],[MONTO SOLICITADO]]-EJECUTADO[[#This Row],[RETENCION IVA]]-EJECUTADO[[#This Row],[RETENCION ISR]]</f>
        <v>140</v>
      </c>
      <c r="Q1407" s="84" t="s">
        <v>1554</v>
      </c>
      <c r="R1407" s="84"/>
      <c r="T1407" s="168" t="str">
        <f t="shared" si="61"/>
        <v>PRESTACIONES AL PERSONAL - Cuotas Clubes Sociales Disponible $17857.44 Solicitado $140 PRESUPUESTO: SI</v>
      </c>
    </row>
    <row r="1408" spans="1:20" ht="75" x14ac:dyDescent="0.25">
      <c r="A1408" s="6">
        <f t="shared" si="60"/>
        <v>1269</v>
      </c>
      <c r="B1408" s="21">
        <v>45393</v>
      </c>
      <c r="C1408" s="126" t="s">
        <v>1289</v>
      </c>
      <c r="D1408" s="65" t="s">
        <v>3101</v>
      </c>
      <c r="E1408" s="65" t="s">
        <v>1915</v>
      </c>
      <c r="F1408" t="s">
        <v>1695</v>
      </c>
      <c r="G1408" s="161">
        <f>MONTH(EJECUTADO[[#This Row],[FECHA]])</f>
        <v>4</v>
      </c>
      <c r="H1408" s="163" t="str">
        <f>MID(EJECUTADO[[#This Row],[CUENTA]],1,4)</f>
        <v>E-25</v>
      </c>
      <c r="I1408" s="163" t="str">
        <f>INDEX(CATALOGO[Descripción],MATCH(EJECUTADO[[#This Row],[APLICACIÓN]]&amp;"-00-00-00",CATALOGO[Código],0))</f>
        <v>DECANATO DE ESTUDIANTES</v>
      </c>
      <c r="J1408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MEMBRESIAS</v>
      </c>
      <c r="K1408" s="161" t="str">
        <f>IF((EJECUTADO[[#This Row],[MONTO DISPONIBLE ]]-EJECUTADO[[#This Row],[MONTO SOLICITADO]])&gt;=0,"PRESUPUESTO: SI","PRESUPUESTO: NO")</f>
        <v>PRESUPUESTO: SI</v>
      </c>
      <c r="L1408" s="162">
        <f>SUMIF(PRESUPUESTO[CUENTA],EJECUTADO[[#This Row],[CUENTA]],PRESUPUESTO[MONTO])-SUMIF($F$1:F1407,EJECUTADO[[#This Row],[CUENTA]],$M$1:M1407)</f>
        <v>1250</v>
      </c>
      <c r="M1408" s="2">
        <v>140</v>
      </c>
      <c r="N1408" s="84"/>
      <c r="O1408" s="84"/>
      <c r="P1408" s="162">
        <f>+EJECUTADO[[#This Row],[MONTO SOLICITADO]]-EJECUTADO[[#This Row],[RETENCION IVA]]-EJECUTADO[[#This Row],[RETENCION ISR]]</f>
        <v>140</v>
      </c>
      <c r="Q1408" s="84" t="s">
        <v>1554</v>
      </c>
      <c r="R1408" s="84"/>
      <c r="T1408" s="168" t="str">
        <f t="shared" si="61"/>
        <v>DECANATO DE ESTUDIANTES - MEMBRESIAS Disponible $1250 Solicitado $140 PRESUPUESTO: SI</v>
      </c>
    </row>
    <row r="1409" spans="1:20" ht="60" x14ac:dyDescent="0.25">
      <c r="A1409" s="6">
        <v>1270</v>
      </c>
      <c r="B1409" s="21">
        <v>45393</v>
      </c>
      <c r="C1409" s="126" t="s">
        <v>1289</v>
      </c>
      <c r="D1409" s="65" t="s">
        <v>3102</v>
      </c>
      <c r="E1409" s="65" t="s">
        <v>1915</v>
      </c>
      <c r="F1409" t="s">
        <v>1286</v>
      </c>
      <c r="G1409" s="161">
        <f>MONTH(EJECUTADO[[#This Row],[FECHA]])</f>
        <v>4</v>
      </c>
      <c r="H1409" s="163" t="str">
        <f>MID(EJECUTADO[[#This Row],[CUENTA]],1,4)</f>
        <v>E-09</v>
      </c>
      <c r="I1409" s="163" t="str">
        <f>INDEX(CATALOGO[Descripción],MATCH(EJECUTADO[[#This Row],[APLICACIÓN]]&amp;"-00-00-00",CATALOGO[Código],0))</f>
        <v>PRESTACIONES AL PERSONAL</v>
      </c>
      <c r="J1409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409" s="161" t="str">
        <f>IF((EJECUTADO[[#This Row],[MONTO DISPONIBLE ]]-EJECUTADO[[#This Row],[MONTO SOLICITADO]])&gt;=0,"PRESUPUESTO: SI","PRESUPUESTO: NO")</f>
        <v>PRESUPUESTO: SI</v>
      </c>
      <c r="L1409" s="162">
        <f>SUMIF(PRESUPUESTO[CUENTA],EJECUTADO[[#This Row],[CUENTA]],PRESUPUESTO[MONTO])-SUMIF($F$1:F1408,EJECUTADO[[#This Row],[CUENTA]],$M$1:M1408)</f>
        <v>17717.439999999999</v>
      </c>
      <c r="M1409" s="2">
        <v>420</v>
      </c>
      <c r="N1409" s="84"/>
      <c r="O1409" s="84"/>
      <c r="P1409" s="162">
        <f>+EJECUTADO[[#This Row],[MONTO SOLICITADO]]-EJECUTADO[[#This Row],[RETENCION IVA]]-EJECUTADO[[#This Row],[RETENCION ISR]]</f>
        <v>420</v>
      </c>
      <c r="Q1409" s="84" t="s">
        <v>1554</v>
      </c>
      <c r="R1409" s="84"/>
      <c r="T1409" s="168" t="str">
        <f t="shared" si="61"/>
        <v>PRESTACIONES AL PERSONAL - Cuotas Clubes Sociales Disponible $17717.44 Solicitado $420 PRESUPUESTO: SI</v>
      </c>
    </row>
    <row r="1410" spans="1:20" ht="45" x14ac:dyDescent="0.25">
      <c r="A1410" s="6">
        <f t="shared" ref="A1410:A1473" si="62">+A1409+1</f>
        <v>1271</v>
      </c>
      <c r="B1410" s="21">
        <v>45393</v>
      </c>
      <c r="C1410" s="126" t="s">
        <v>2362</v>
      </c>
      <c r="D1410" s="65" t="s">
        <v>3103</v>
      </c>
      <c r="E1410" s="65" t="s">
        <v>1915</v>
      </c>
      <c r="F1410" t="s">
        <v>1286</v>
      </c>
      <c r="G1410" s="161">
        <f>MONTH(EJECUTADO[[#This Row],[FECHA]])</f>
        <v>4</v>
      </c>
      <c r="H1410" s="163" t="str">
        <f>MID(EJECUTADO[[#This Row],[CUENTA]],1,4)</f>
        <v>E-09</v>
      </c>
      <c r="I1410" s="163" t="str">
        <f>INDEX(CATALOGO[Descripción],MATCH(EJECUTADO[[#This Row],[APLICACIÓN]]&amp;"-00-00-00",CATALOGO[Código],0))</f>
        <v>PRESTACIONES AL PERSONAL</v>
      </c>
      <c r="J1410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Cuotas Clubes Sociales</v>
      </c>
      <c r="K1410" s="161" t="str">
        <f>IF((EJECUTADO[[#This Row],[MONTO DISPONIBLE ]]-EJECUTADO[[#This Row],[MONTO SOLICITADO]])&gt;=0,"PRESUPUESTO: SI","PRESUPUESTO: NO")</f>
        <v>PRESUPUESTO: SI</v>
      </c>
      <c r="L1410" s="162">
        <f>SUMIF(PRESUPUESTO[CUENTA],EJECUTADO[[#This Row],[CUENTA]],PRESUPUESTO[MONTO])-SUMIF($F$1:F1409,EJECUTADO[[#This Row],[CUENTA]],$M$1:M1409)</f>
        <v>17297.439999999999</v>
      </c>
      <c r="M1410" s="2">
        <v>1624.7</v>
      </c>
      <c r="N1410" s="84"/>
      <c r="O1410" s="84"/>
      <c r="P1410" s="162">
        <f>+EJECUTADO[[#This Row],[MONTO SOLICITADO]]-EJECUTADO[[#This Row],[RETENCION IVA]]-EJECUTADO[[#This Row],[RETENCION ISR]]</f>
        <v>1624.7</v>
      </c>
      <c r="Q1410" s="84" t="s">
        <v>1554</v>
      </c>
      <c r="R1410" s="84"/>
      <c r="T1410" s="168" t="str">
        <f t="shared" si="61"/>
        <v>PRESTACIONES AL PERSONAL - Cuotas Clubes Sociales Disponible $17297.44 Solicitado $1624.7 PRESUPUESTO: SI</v>
      </c>
    </row>
    <row r="1411" spans="1:20" ht="30" x14ac:dyDescent="0.25">
      <c r="A1411" s="6">
        <f t="shared" si="62"/>
        <v>1272</v>
      </c>
      <c r="B1411" s="21">
        <v>45393</v>
      </c>
      <c r="C1411" s="126" t="s">
        <v>1079</v>
      </c>
      <c r="D1411" s="65" t="s">
        <v>3104</v>
      </c>
      <c r="E1411" s="65"/>
      <c r="F1411" t="s">
        <v>1081</v>
      </c>
      <c r="G1411" s="161">
        <f>MONTH(EJECUTADO[[#This Row],[FECHA]])</f>
        <v>4</v>
      </c>
      <c r="H1411" s="163" t="str">
        <f>MID(EJECUTADO[[#This Row],[CUENTA]],1,4)</f>
        <v>E-10</v>
      </c>
      <c r="I1411" s="163" t="str">
        <f>INDEX(CATALOGO[Descripción],MATCH(EJECUTADO[[#This Row],[APLICACIÓN]]&amp;"-00-00-00",CATALOGO[Código],0))</f>
        <v>SERVICIOS PUBLICOS</v>
      </c>
      <c r="J1411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>ENERGÍA ELÉCTRICA</v>
      </c>
      <c r="K1411" s="161" t="str">
        <f>IF((EJECUTADO[[#This Row],[MONTO DISPONIBLE ]]-EJECUTADO[[#This Row],[MONTO SOLICITADO]])&gt;=0,"PRESUPUESTO: SI","PRESUPUESTO: NO")</f>
        <v>PRESUPUESTO: SI</v>
      </c>
      <c r="L1411" s="162">
        <f>SUMIF(PRESUPUESTO[CUENTA],EJECUTADO[[#This Row],[CUENTA]],PRESUPUESTO[MONTO])-SUMIF($F$1:F1410,EJECUTADO[[#This Row],[CUENTA]],$M$1:M1410)</f>
        <v>295774.56</v>
      </c>
      <c r="M1411" s="2">
        <v>9852.9500000000007</v>
      </c>
      <c r="N1411" s="84"/>
      <c r="O1411" s="84"/>
      <c r="P1411" s="162">
        <f>+EJECUTADO[[#This Row],[MONTO SOLICITADO]]-EJECUTADO[[#This Row],[RETENCION IVA]]-EJECUTADO[[#This Row],[RETENCION ISR]]</f>
        <v>9852.9500000000007</v>
      </c>
      <c r="Q1411" s="84" t="s">
        <v>1786</v>
      </c>
      <c r="R1411" s="84"/>
      <c r="T1411" s="168" t="str">
        <f>_xlfn.CONCAT(I1411," - ",J1411," Disponible $",L1411," Solicitado $",M1411," ",K1411,)</f>
        <v>SERVICIOS PUBLICOS - ENERGÍA ELÉCTRICA Disponible $295774.56 Solicitado $9852.95 PRESUPUESTO: SI</v>
      </c>
    </row>
    <row r="1412" spans="1:20" ht="30" customHeight="1" x14ac:dyDescent="0.25">
      <c r="A1412" s="6">
        <f t="shared" si="62"/>
        <v>1273</v>
      </c>
      <c r="B1412" s="21">
        <v>45394</v>
      </c>
      <c r="C1412" s="126" t="s">
        <v>1735</v>
      </c>
      <c r="D1412" s="65" t="s">
        <v>3105</v>
      </c>
      <c r="E1412" s="65" t="s">
        <v>1915</v>
      </c>
      <c r="F1412" t="s">
        <v>1082</v>
      </c>
      <c r="G1412" s="161">
        <f>MONTH(EJECUTADO[[#This Row],[FECHA]])</f>
        <v>4</v>
      </c>
      <c r="H1412" s="163" t="str">
        <f>MID(EJECUTADO[[#This Row],[CUENTA]],1,4)</f>
        <v>E-10</v>
      </c>
      <c r="I1412" s="163" t="str">
        <f>INDEX(CATALOGO[Descripción],MATCH(EJECUTADO[[#This Row],[APLICACIÓN]]&amp;"-00-00-00",CATALOGO[Código],0))</f>
        <v>SERVICIOS PUBLICOS</v>
      </c>
      <c r="J1412" s="161" t="str">
        <f>IF(INDEX(CATALOGO[Acepta movimientos],MATCH(EJECUTADO[[#This Row],[CUENTA]],CATALOGO[Código],0))="S",INDEX(CATALOGO[Descripción],MATCH(EJECUTADO[[#This Row],[CUENTA]],CATALOGO[Código],0)),"LA CUENTA SELECCIONADA NO PERMITE MOVIMIENTO")</f>
        <v xml:space="preserve">IMPUESTOS FISCALES </v>
      </c>
      <c r="K1412" s="161" t="str">
        <f>IF((EJECUTADO[[#This Row],[MONTO DISPONIBLE ]]-EJECUTADO[[#This Row],[MONTO SOLICITADO]])&gt;=0,"PRESUPUESTO: SI","PRESUPUESTO: NO")</f>
        <v>PRESUPUESTO: SI</v>
      </c>
      <c r="L1412" s="162">
        <f>SUMIF(PRESUPUESTO[CUENTA],EJECUTADO[[#This Row],[CUENTA]],PRESUPUESTO[MONTO])-SUMIF($F$1:F1411,EJECUTADO[[#This Row],[CUENTA]],$M$1:M1411)</f>
        <v>132587.33000000002</v>
      </c>
      <c r="M1412" s="2">
        <v>2572.4</v>
      </c>
      <c r="N1412" s="84"/>
      <c r="O1412" s="84"/>
      <c r="P1412" s="162">
        <f>+EJECUTADO[[#This Row],[MONTO SOLICITADO]]-EJECUTADO[[#This Row],[RETENCION IVA]]-EJECUTADO[[#This Row],[RETENCION ISR]]</f>
        <v>2572.4</v>
      </c>
      <c r="Q1412" s="84" t="s">
        <v>1800</v>
      </c>
      <c r="R1412" s="84"/>
      <c r="S1412" s="112" t="s">
        <v>3106</v>
      </c>
      <c r="T1412" s="168" t="str">
        <f t="shared" si="61"/>
        <v>SERVICIOS PUBLICOS - IMPUESTOS FISCALES  Disponible $132587.33 Solicitado $2572.4 PRESUPUESTO: SI</v>
      </c>
    </row>
    <row r="1413" spans="1:20" ht="45" x14ac:dyDescent="0.25">
      <c r="A1413" s="6">
        <f t="shared" si="62"/>
        <v>1274</v>
      </c>
      <c r="B1413" s="21">
        <v>45394</v>
      </c>
      <c r="C1413" s="126" t="s">
        <v>1738</v>
      </c>
      <c r="D1413" s="65" t="s">
        <v>3107</v>
      </c>
      <c r="E1413" s="65"/>
      <c r="G1413" s="161">
        <f>MONTH(EJECUTADO[[#This Row],[FECHA]])</f>
        <v>4</v>
      </c>
      <c r="H1413" s="163" t="str">
        <f>MID(EJECUTADO[[#This Row],[CUENTA]],1,4)</f>
        <v/>
      </c>
      <c r="I1413" s="163" t="e">
        <f>INDEX(CATALOGO[Descripción],MATCH(EJECUTADO[[#This Row],[APLICACIÓN]]&amp;"-00-00-00",CATALOGO[Código],0))</f>
        <v>#N/A</v>
      </c>
      <c r="J141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3" s="161" t="str">
        <f>IF((EJECUTADO[[#This Row],[MONTO DISPONIBLE ]]-EJECUTADO[[#This Row],[MONTO SOLICITADO]])&gt;=0,"PRESUPUESTO: SI","PRESUPUESTO: NO")</f>
        <v>PRESUPUESTO: NO</v>
      </c>
      <c r="L1413" s="162">
        <f>SUMIF(PRESUPUESTO[CUENTA],EJECUTADO[[#This Row],[CUENTA]],PRESUPUESTO[MONTO])-SUMIF($F$1:F1412,EJECUTADO[[#This Row],[CUENTA]],$M$1:M1412)</f>
        <v>0</v>
      </c>
      <c r="M1413" s="2">
        <v>51.63</v>
      </c>
      <c r="N1413" s="84"/>
      <c r="O1413" s="84"/>
      <c r="P1413" s="162">
        <f>+EJECUTADO[[#This Row],[MONTO SOLICITADO]]-EJECUTADO[[#This Row],[RETENCION IVA]]-EJECUTADO[[#This Row],[RETENCION ISR]]</f>
        <v>51.63</v>
      </c>
      <c r="Q1413" s="84"/>
      <c r="R1413" s="84"/>
      <c r="T1413" s="168" t="e">
        <f t="shared" si="61"/>
        <v>#N/A</v>
      </c>
    </row>
    <row r="1414" spans="1:20" ht="60" x14ac:dyDescent="0.25">
      <c r="A1414" s="6">
        <f t="shared" si="62"/>
        <v>1275</v>
      </c>
      <c r="B1414" s="21">
        <v>45394</v>
      </c>
      <c r="C1414" s="126" t="s">
        <v>2501</v>
      </c>
      <c r="D1414" s="65" t="s">
        <v>3108</v>
      </c>
      <c r="E1414" s="65"/>
      <c r="G1414" s="161">
        <f>MONTH(EJECUTADO[[#This Row],[FECHA]])</f>
        <v>4</v>
      </c>
      <c r="H1414" s="163" t="str">
        <f>MID(EJECUTADO[[#This Row],[CUENTA]],1,4)</f>
        <v/>
      </c>
      <c r="I1414" s="163" t="e">
        <f>INDEX(CATALOGO[Descripción],MATCH(EJECUTADO[[#This Row],[APLICACIÓN]]&amp;"-00-00-00",CATALOGO[Código],0))</f>
        <v>#N/A</v>
      </c>
      <c r="J141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4" s="161" t="str">
        <f>IF((EJECUTADO[[#This Row],[MONTO DISPONIBLE ]]-EJECUTADO[[#This Row],[MONTO SOLICITADO]])&gt;=0,"PRESUPUESTO: SI","PRESUPUESTO: NO")</f>
        <v>PRESUPUESTO: NO</v>
      </c>
      <c r="L1414" s="162">
        <f>SUMIF(PRESUPUESTO[CUENTA],EJECUTADO[[#This Row],[CUENTA]],PRESUPUESTO[MONTO])-SUMIF($F$1:F1413,EJECUTADO[[#This Row],[CUENTA]],$M$1:M1413)</f>
        <v>0</v>
      </c>
      <c r="M1414" s="2">
        <v>50</v>
      </c>
      <c r="N1414" s="84"/>
      <c r="O1414" s="84"/>
      <c r="P1414" s="162">
        <f>+EJECUTADO[[#This Row],[MONTO SOLICITADO]]-EJECUTADO[[#This Row],[RETENCION IVA]]-EJECUTADO[[#This Row],[RETENCION ISR]]</f>
        <v>50</v>
      </c>
      <c r="Q1414" s="84"/>
      <c r="R1414" s="84"/>
      <c r="T1414" s="168" t="e">
        <f t="shared" si="61"/>
        <v>#N/A</v>
      </c>
    </row>
    <row r="1415" spans="1:20" x14ac:dyDescent="0.25">
      <c r="A1415" s="6">
        <f t="shared" si="62"/>
        <v>1276</v>
      </c>
      <c r="B1415" s="21"/>
      <c r="C1415" s="126"/>
      <c r="E1415" s="65"/>
      <c r="G1415" s="161">
        <f>MONTH(EJECUTADO[[#This Row],[FECHA]])</f>
        <v>1</v>
      </c>
      <c r="H1415" s="163" t="str">
        <f>MID(EJECUTADO[[#This Row],[CUENTA]],1,4)</f>
        <v/>
      </c>
      <c r="I1415" s="163" t="e">
        <f>INDEX(CATALOGO[Descripción],MATCH(EJECUTADO[[#This Row],[APLICACIÓN]]&amp;"-00-00-00",CATALOGO[Código],0))</f>
        <v>#N/A</v>
      </c>
      <c r="J141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5" s="161" t="str">
        <f>IF((EJECUTADO[[#This Row],[MONTO DISPONIBLE ]]-EJECUTADO[[#This Row],[MONTO SOLICITADO]])&gt;=0,"PRESUPUESTO: SI","PRESUPUESTO: NO")</f>
        <v>PRESUPUESTO: SI</v>
      </c>
      <c r="L1415" s="162">
        <f>SUMIF(PRESUPUESTO[CUENTA],EJECUTADO[[#This Row],[CUENTA]],PRESUPUESTO[MONTO])-SUMIF($F$1:F1414,EJECUTADO[[#This Row],[CUENTA]],$M$1:M1414)</f>
        <v>0</v>
      </c>
      <c r="M1415" s="2"/>
      <c r="N1415" s="84"/>
      <c r="O1415" s="84"/>
      <c r="P1415" s="162">
        <f>+EJECUTADO[[#This Row],[MONTO SOLICITADO]]-EJECUTADO[[#This Row],[RETENCION IVA]]-EJECUTADO[[#This Row],[RETENCION ISR]]</f>
        <v>0</v>
      </c>
      <c r="Q1415" s="84"/>
      <c r="R1415" s="84"/>
      <c r="T1415" s="168" t="e">
        <f t="shared" si="61"/>
        <v>#N/A</v>
      </c>
    </row>
    <row r="1416" spans="1:20" x14ac:dyDescent="0.25">
      <c r="A1416" s="6">
        <f t="shared" si="62"/>
        <v>1277</v>
      </c>
      <c r="B1416" s="21"/>
      <c r="C1416" s="126"/>
      <c r="E1416" s="65"/>
      <c r="G1416" s="161">
        <f>MONTH(EJECUTADO[[#This Row],[FECHA]])</f>
        <v>1</v>
      </c>
      <c r="H1416" s="163" t="str">
        <f>MID(EJECUTADO[[#This Row],[CUENTA]],1,4)</f>
        <v/>
      </c>
      <c r="I1416" s="163" t="e">
        <f>INDEX(CATALOGO[Descripción],MATCH(EJECUTADO[[#This Row],[APLICACIÓN]]&amp;"-00-00-00",CATALOGO[Código],0))</f>
        <v>#N/A</v>
      </c>
      <c r="J141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6" s="161" t="str">
        <f>IF((EJECUTADO[[#This Row],[MONTO DISPONIBLE ]]-EJECUTADO[[#This Row],[MONTO SOLICITADO]])&gt;=0,"PRESUPUESTO: SI","PRESUPUESTO: NO")</f>
        <v>PRESUPUESTO: SI</v>
      </c>
      <c r="L1416" s="162">
        <f>SUMIF(PRESUPUESTO[CUENTA],EJECUTADO[[#This Row],[CUENTA]],PRESUPUESTO[MONTO])-SUMIF($F$1:F1415,EJECUTADO[[#This Row],[CUENTA]],$M$1:M1415)</f>
        <v>0</v>
      </c>
      <c r="M1416" s="2"/>
      <c r="N1416" s="84"/>
      <c r="O1416" s="84"/>
      <c r="P1416" s="162">
        <f>+EJECUTADO[[#This Row],[MONTO SOLICITADO]]-EJECUTADO[[#This Row],[RETENCION IVA]]-EJECUTADO[[#This Row],[RETENCION ISR]]</f>
        <v>0</v>
      </c>
      <c r="Q1416" s="84"/>
      <c r="R1416" s="84"/>
      <c r="T1416" s="168" t="e">
        <f t="shared" si="61"/>
        <v>#N/A</v>
      </c>
    </row>
    <row r="1417" spans="1:20" x14ac:dyDescent="0.25">
      <c r="A1417" s="6">
        <f t="shared" si="62"/>
        <v>1278</v>
      </c>
      <c r="B1417" s="21"/>
      <c r="C1417" s="126"/>
      <c r="E1417" s="65"/>
      <c r="G1417" s="161">
        <f>MONTH(EJECUTADO[[#This Row],[FECHA]])</f>
        <v>1</v>
      </c>
      <c r="H1417" s="163" t="str">
        <f>MID(EJECUTADO[[#This Row],[CUENTA]],1,4)</f>
        <v/>
      </c>
      <c r="I1417" s="163" t="e">
        <f>INDEX(CATALOGO[Descripción],MATCH(EJECUTADO[[#This Row],[APLICACIÓN]]&amp;"-00-00-00",CATALOGO[Código],0))</f>
        <v>#N/A</v>
      </c>
      <c r="J141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7" s="161" t="str">
        <f>IF((EJECUTADO[[#This Row],[MONTO DISPONIBLE ]]-EJECUTADO[[#This Row],[MONTO SOLICITADO]])&gt;=0,"PRESUPUESTO: SI","PRESUPUESTO: NO")</f>
        <v>PRESUPUESTO: SI</v>
      </c>
      <c r="L1417" s="162">
        <f>SUMIF(PRESUPUESTO[CUENTA],EJECUTADO[[#This Row],[CUENTA]],PRESUPUESTO[MONTO])-SUMIF($F$1:F1416,EJECUTADO[[#This Row],[CUENTA]],$M$1:M1416)</f>
        <v>0</v>
      </c>
      <c r="M1417" s="2"/>
      <c r="N1417" s="84"/>
      <c r="O1417" s="84"/>
      <c r="P1417" s="162">
        <f>+EJECUTADO[[#This Row],[MONTO SOLICITADO]]-EJECUTADO[[#This Row],[RETENCION IVA]]-EJECUTADO[[#This Row],[RETENCION ISR]]</f>
        <v>0</v>
      </c>
      <c r="Q1417" s="84"/>
      <c r="R1417" s="84"/>
      <c r="T1417" s="168" t="e">
        <f t="shared" si="61"/>
        <v>#N/A</v>
      </c>
    </row>
    <row r="1418" spans="1:20" x14ac:dyDescent="0.25">
      <c r="A1418" s="6">
        <f t="shared" si="62"/>
        <v>1279</v>
      </c>
      <c r="B1418" s="21"/>
      <c r="C1418" s="126"/>
      <c r="E1418" s="65"/>
      <c r="G1418" s="161">
        <f>MONTH(EJECUTADO[[#This Row],[FECHA]])</f>
        <v>1</v>
      </c>
      <c r="H1418" s="163" t="str">
        <f>MID(EJECUTADO[[#This Row],[CUENTA]],1,4)</f>
        <v/>
      </c>
      <c r="I1418" s="163" t="e">
        <f>INDEX(CATALOGO[Descripción],MATCH(EJECUTADO[[#This Row],[APLICACIÓN]]&amp;"-00-00-00",CATALOGO[Código],0))</f>
        <v>#N/A</v>
      </c>
      <c r="J141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8" s="161" t="str">
        <f>IF((EJECUTADO[[#This Row],[MONTO DISPONIBLE ]]-EJECUTADO[[#This Row],[MONTO SOLICITADO]])&gt;=0,"PRESUPUESTO: SI","PRESUPUESTO: NO")</f>
        <v>PRESUPUESTO: SI</v>
      </c>
      <c r="L1418" s="162">
        <f>SUMIF(PRESUPUESTO[CUENTA],EJECUTADO[[#This Row],[CUENTA]],PRESUPUESTO[MONTO])-SUMIF($F$1:F1417,EJECUTADO[[#This Row],[CUENTA]],$M$1:M1417)</f>
        <v>0</v>
      </c>
      <c r="M1418" s="2"/>
      <c r="N1418" s="84"/>
      <c r="O1418" s="84"/>
      <c r="P1418" s="162">
        <f>+EJECUTADO[[#This Row],[MONTO SOLICITADO]]-EJECUTADO[[#This Row],[RETENCION IVA]]-EJECUTADO[[#This Row],[RETENCION ISR]]</f>
        <v>0</v>
      </c>
      <c r="Q1418" s="84"/>
      <c r="R1418" s="84"/>
      <c r="T1418" s="168" t="e">
        <f t="shared" si="61"/>
        <v>#N/A</v>
      </c>
    </row>
    <row r="1419" spans="1:20" x14ac:dyDescent="0.25">
      <c r="A1419" s="6">
        <f t="shared" si="62"/>
        <v>1280</v>
      </c>
      <c r="B1419" s="21"/>
      <c r="C1419" s="126"/>
      <c r="E1419" s="65"/>
      <c r="G1419" s="161">
        <f>MONTH(EJECUTADO[[#This Row],[FECHA]])</f>
        <v>1</v>
      </c>
      <c r="H1419" s="163" t="str">
        <f>MID(EJECUTADO[[#This Row],[CUENTA]],1,4)</f>
        <v/>
      </c>
      <c r="I1419" s="163" t="e">
        <f>INDEX(CATALOGO[Descripción],MATCH(EJECUTADO[[#This Row],[APLICACIÓN]]&amp;"-00-00-00",CATALOGO[Código],0))</f>
        <v>#N/A</v>
      </c>
      <c r="J141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19" s="161" t="str">
        <f>IF((EJECUTADO[[#This Row],[MONTO DISPONIBLE ]]-EJECUTADO[[#This Row],[MONTO SOLICITADO]])&gt;=0,"PRESUPUESTO: SI","PRESUPUESTO: NO")</f>
        <v>PRESUPUESTO: SI</v>
      </c>
      <c r="L1419" s="162">
        <f>SUMIF(PRESUPUESTO[CUENTA],EJECUTADO[[#This Row],[CUENTA]],PRESUPUESTO[MONTO])-SUMIF($F$1:F1418,EJECUTADO[[#This Row],[CUENTA]],$M$1:M1418)</f>
        <v>0</v>
      </c>
      <c r="M1419" s="2"/>
      <c r="N1419" s="84"/>
      <c r="O1419" s="84"/>
      <c r="P1419" s="162">
        <f>+EJECUTADO[[#This Row],[MONTO SOLICITADO]]-EJECUTADO[[#This Row],[RETENCION IVA]]-EJECUTADO[[#This Row],[RETENCION ISR]]</f>
        <v>0</v>
      </c>
      <c r="Q1419" s="84"/>
      <c r="R1419" s="84"/>
      <c r="T1419" s="168" t="e">
        <f t="shared" si="61"/>
        <v>#N/A</v>
      </c>
    </row>
    <row r="1420" spans="1:20" x14ac:dyDescent="0.25">
      <c r="A1420" s="6">
        <f t="shared" si="62"/>
        <v>1281</v>
      </c>
      <c r="B1420" s="21"/>
      <c r="C1420" s="126"/>
      <c r="E1420" s="65"/>
      <c r="G1420" s="161">
        <f>MONTH(EJECUTADO[[#This Row],[FECHA]])</f>
        <v>1</v>
      </c>
      <c r="H1420" s="163" t="str">
        <f>MID(EJECUTADO[[#This Row],[CUENTA]],1,4)</f>
        <v/>
      </c>
      <c r="I1420" s="163" t="e">
        <f>INDEX(CATALOGO[Descripción],MATCH(EJECUTADO[[#This Row],[APLICACIÓN]]&amp;"-00-00-00",CATALOGO[Código],0))</f>
        <v>#N/A</v>
      </c>
      <c r="J142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0" s="161" t="str">
        <f>IF((EJECUTADO[[#This Row],[MONTO DISPONIBLE ]]-EJECUTADO[[#This Row],[MONTO SOLICITADO]])&gt;=0,"PRESUPUESTO: SI","PRESUPUESTO: NO")</f>
        <v>PRESUPUESTO: SI</v>
      </c>
      <c r="L1420" s="162">
        <f>SUMIF(PRESUPUESTO[CUENTA],EJECUTADO[[#This Row],[CUENTA]],PRESUPUESTO[MONTO])-SUMIF($F$1:F1419,EJECUTADO[[#This Row],[CUENTA]],$M$1:M1419)</f>
        <v>0</v>
      </c>
      <c r="M1420" s="2"/>
      <c r="N1420" s="84"/>
      <c r="O1420" s="84"/>
      <c r="P1420" s="162">
        <f>+EJECUTADO[[#This Row],[MONTO SOLICITADO]]-EJECUTADO[[#This Row],[RETENCION IVA]]-EJECUTADO[[#This Row],[RETENCION ISR]]</f>
        <v>0</v>
      </c>
      <c r="Q1420" s="84"/>
      <c r="R1420" s="84"/>
      <c r="T1420" s="168" t="e">
        <f t="shared" si="61"/>
        <v>#N/A</v>
      </c>
    </row>
    <row r="1421" spans="1:20" x14ac:dyDescent="0.25">
      <c r="A1421" s="6">
        <f t="shared" si="62"/>
        <v>1282</v>
      </c>
      <c r="B1421" s="21"/>
      <c r="C1421" s="126"/>
      <c r="E1421" s="65"/>
      <c r="G1421" s="161">
        <f>MONTH(EJECUTADO[[#This Row],[FECHA]])</f>
        <v>1</v>
      </c>
      <c r="H1421" s="163" t="str">
        <f>MID(EJECUTADO[[#This Row],[CUENTA]],1,4)</f>
        <v/>
      </c>
      <c r="I1421" s="163" t="e">
        <f>INDEX(CATALOGO[Descripción],MATCH(EJECUTADO[[#This Row],[APLICACIÓN]]&amp;"-00-00-00",CATALOGO[Código],0))</f>
        <v>#N/A</v>
      </c>
      <c r="J142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1" s="161" t="str">
        <f>IF((EJECUTADO[[#This Row],[MONTO DISPONIBLE ]]-EJECUTADO[[#This Row],[MONTO SOLICITADO]])&gt;=0,"PRESUPUESTO: SI","PRESUPUESTO: NO")</f>
        <v>PRESUPUESTO: SI</v>
      </c>
      <c r="L1421" s="162">
        <f>SUMIF(PRESUPUESTO[CUENTA],EJECUTADO[[#This Row],[CUENTA]],PRESUPUESTO[MONTO])-SUMIF($F$1:F1420,EJECUTADO[[#This Row],[CUENTA]],$M$1:M1420)</f>
        <v>0</v>
      </c>
      <c r="M1421" s="2"/>
      <c r="N1421" s="84"/>
      <c r="O1421" s="84"/>
      <c r="P1421" s="162">
        <f>+EJECUTADO[[#This Row],[MONTO SOLICITADO]]-EJECUTADO[[#This Row],[RETENCION IVA]]-EJECUTADO[[#This Row],[RETENCION ISR]]</f>
        <v>0</v>
      </c>
      <c r="Q1421" s="84"/>
      <c r="R1421" s="84"/>
      <c r="T1421" s="168" t="e">
        <f t="shared" si="61"/>
        <v>#N/A</v>
      </c>
    </row>
    <row r="1422" spans="1:20" x14ac:dyDescent="0.25">
      <c r="A1422" s="6">
        <f t="shared" si="62"/>
        <v>1283</v>
      </c>
      <c r="B1422" s="21"/>
      <c r="C1422" s="126"/>
      <c r="E1422" s="65"/>
      <c r="G1422" s="161">
        <f>MONTH(EJECUTADO[[#This Row],[FECHA]])</f>
        <v>1</v>
      </c>
      <c r="H1422" s="163" t="str">
        <f>MID(EJECUTADO[[#This Row],[CUENTA]],1,4)</f>
        <v/>
      </c>
      <c r="I1422" s="163" t="e">
        <f>INDEX(CATALOGO[Descripción],MATCH(EJECUTADO[[#This Row],[APLICACIÓN]]&amp;"-00-00-00",CATALOGO[Código],0))</f>
        <v>#N/A</v>
      </c>
      <c r="J142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2" s="161" t="str">
        <f>IF((EJECUTADO[[#This Row],[MONTO DISPONIBLE ]]-EJECUTADO[[#This Row],[MONTO SOLICITADO]])&gt;=0,"PRESUPUESTO: SI","PRESUPUESTO: NO")</f>
        <v>PRESUPUESTO: SI</v>
      </c>
      <c r="L1422" s="162">
        <f>SUMIF(PRESUPUESTO[CUENTA],EJECUTADO[[#This Row],[CUENTA]],PRESUPUESTO[MONTO])-SUMIF($F$1:F1421,EJECUTADO[[#This Row],[CUENTA]],$M$1:M1421)</f>
        <v>0</v>
      </c>
      <c r="M1422" s="2"/>
      <c r="N1422" s="84"/>
      <c r="O1422" s="84"/>
      <c r="P1422" s="162">
        <f>+EJECUTADO[[#This Row],[MONTO SOLICITADO]]-EJECUTADO[[#This Row],[RETENCION IVA]]-EJECUTADO[[#This Row],[RETENCION ISR]]</f>
        <v>0</v>
      </c>
      <c r="Q1422" s="84"/>
      <c r="R1422" s="84"/>
      <c r="T1422" s="168" t="e">
        <f t="shared" si="61"/>
        <v>#N/A</v>
      </c>
    </row>
    <row r="1423" spans="1:20" x14ac:dyDescent="0.25">
      <c r="A1423" s="6">
        <f t="shared" si="62"/>
        <v>1284</v>
      </c>
      <c r="B1423" s="21"/>
      <c r="C1423" s="126"/>
      <c r="E1423" s="65"/>
      <c r="G1423" s="161">
        <f>MONTH(EJECUTADO[[#This Row],[FECHA]])</f>
        <v>1</v>
      </c>
      <c r="H1423" s="163" t="str">
        <f>MID(EJECUTADO[[#This Row],[CUENTA]],1,4)</f>
        <v/>
      </c>
      <c r="I1423" s="163" t="e">
        <f>INDEX(CATALOGO[Descripción],MATCH(EJECUTADO[[#This Row],[APLICACIÓN]]&amp;"-00-00-00",CATALOGO[Código],0))</f>
        <v>#N/A</v>
      </c>
      <c r="J14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3" s="161" t="str">
        <f>IF((EJECUTADO[[#This Row],[MONTO DISPONIBLE ]]-EJECUTADO[[#This Row],[MONTO SOLICITADO]])&gt;=0,"PRESUPUESTO: SI","PRESUPUESTO: NO")</f>
        <v>PRESUPUESTO: SI</v>
      </c>
      <c r="L1423" s="162">
        <f>SUMIF(PRESUPUESTO[CUENTA],EJECUTADO[[#This Row],[CUENTA]],PRESUPUESTO[MONTO])-SUMIF($F$1:F1422,EJECUTADO[[#This Row],[CUENTA]],$M$1:M1422)</f>
        <v>0</v>
      </c>
      <c r="M1423" s="2"/>
      <c r="N1423" s="84"/>
      <c r="O1423" s="84"/>
      <c r="P1423" s="162">
        <f>+EJECUTADO[[#This Row],[MONTO SOLICITADO]]-EJECUTADO[[#This Row],[RETENCION IVA]]-EJECUTADO[[#This Row],[RETENCION ISR]]</f>
        <v>0</v>
      </c>
      <c r="Q1423" s="84"/>
      <c r="R1423" s="84"/>
      <c r="T1423" s="168" t="e">
        <f t="shared" si="61"/>
        <v>#N/A</v>
      </c>
    </row>
    <row r="1424" spans="1:20" x14ac:dyDescent="0.25">
      <c r="A1424" s="6">
        <f t="shared" si="62"/>
        <v>1285</v>
      </c>
      <c r="B1424" s="21"/>
      <c r="C1424" s="126"/>
      <c r="E1424" s="65"/>
      <c r="G1424" s="161">
        <f>MONTH(EJECUTADO[[#This Row],[FECHA]])</f>
        <v>1</v>
      </c>
      <c r="H1424" s="163" t="str">
        <f>MID(EJECUTADO[[#This Row],[CUENTA]],1,4)</f>
        <v/>
      </c>
      <c r="I1424" s="163" t="e">
        <f>INDEX(CATALOGO[Descripción],MATCH(EJECUTADO[[#This Row],[APLICACIÓN]]&amp;"-00-00-00",CATALOGO[Código],0))</f>
        <v>#N/A</v>
      </c>
      <c r="J14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4" s="161" t="str">
        <f>IF((EJECUTADO[[#This Row],[MONTO DISPONIBLE ]]-EJECUTADO[[#This Row],[MONTO SOLICITADO]])&gt;=0,"PRESUPUESTO: SI","PRESUPUESTO: NO")</f>
        <v>PRESUPUESTO: SI</v>
      </c>
      <c r="L1424" s="162">
        <f>SUMIF(PRESUPUESTO[CUENTA],EJECUTADO[[#This Row],[CUENTA]],PRESUPUESTO[MONTO])-SUMIF($F$1:F1423,EJECUTADO[[#This Row],[CUENTA]],$M$1:M1423)</f>
        <v>0</v>
      </c>
      <c r="M1424" s="2"/>
      <c r="N1424" s="84"/>
      <c r="O1424" s="84"/>
      <c r="P1424" s="162">
        <f>+EJECUTADO[[#This Row],[MONTO SOLICITADO]]-EJECUTADO[[#This Row],[RETENCION IVA]]-EJECUTADO[[#This Row],[RETENCION ISR]]</f>
        <v>0</v>
      </c>
      <c r="Q1424" s="84"/>
      <c r="R1424" s="84"/>
      <c r="T1424" s="168" t="e">
        <f t="shared" si="61"/>
        <v>#N/A</v>
      </c>
    </row>
    <row r="1425" spans="1:20" x14ac:dyDescent="0.25">
      <c r="A1425" s="6">
        <f t="shared" si="62"/>
        <v>1286</v>
      </c>
      <c r="B1425" s="21"/>
      <c r="C1425" s="126"/>
      <c r="E1425" s="65"/>
      <c r="G1425" s="161">
        <f>MONTH(EJECUTADO[[#This Row],[FECHA]])</f>
        <v>1</v>
      </c>
      <c r="H1425" s="163" t="str">
        <f>MID(EJECUTADO[[#This Row],[CUENTA]],1,4)</f>
        <v/>
      </c>
      <c r="I1425" s="163" t="e">
        <f>INDEX(CATALOGO[Descripción],MATCH(EJECUTADO[[#This Row],[APLICACIÓN]]&amp;"-00-00-00",CATALOGO[Código],0))</f>
        <v>#N/A</v>
      </c>
      <c r="J142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5" s="161" t="str">
        <f>IF((EJECUTADO[[#This Row],[MONTO DISPONIBLE ]]-EJECUTADO[[#This Row],[MONTO SOLICITADO]])&gt;=0,"PRESUPUESTO: SI","PRESUPUESTO: NO")</f>
        <v>PRESUPUESTO: SI</v>
      </c>
      <c r="L1425" s="162">
        <f>SUMIF(PRESUPUESTO[CUENTA],EJECUTADO[[#This Row],[CUENTA]],PRESUPUESTO[MONTO])-SUMIF($F$1:F1424,EJECUTADO[[#This Row],[CUENTA]],$M$1:M1424)</f>
        <v>0</v>
      </c>
      <c r="M1425" s="2"/>
      <c r="N1425" s="84"/>
      <c r="O1425" s="84"/>
      <c r="P1425" s="162">
        <f>+EJECUTADO[[#This Row],[MONTO SOLICITADO]]-EJECUTADO[[#This Row],[RETENCION IVA]]-EJECUTADO[[#This Row],[RETENCION ISR]]</f>
        <v>0</v>
      </c>
      <c r="Q1425" s="84"/>
      <c r="R1425" s="84"/>
      <c r="T1425" s="168" t="e">
        <f t="shared" si="61"/>
        <v>#N/A</v>
      </c>
    </row>
    <row r="1426" spans="1:20" x14ac:dyDescent="0.25">
      <c r="A1426" s="6">
        <f t="shared" si="62"/>
        <v>1287</v>
      </c>
      <c r="B1426" s="21"/>
      <c r="C1426" s="126"/>
      <c r="E1426" s="65"/>
      <c r="G1426" s="161">
        <f>MONTH(EJECUTADO[[#This Row],[FECHA]])</f>
        <v>1</v>
      </c>
      <c r="H1426" s="163" t="str">
        <f>MID(EJECUTADO[[#This Row],[CUENTA]],1,4)</f>
        <v/>
      </c>
      <c r="I1426" s="163" t="e">
        <f>INDEX(CATALOGO[Descripción],MATCH(EJECUTADO[[#This Row],[APLICACIÓN]]&amp;"-00-00-00",CATALOGO[Código],0))</f>
        <v>#N/A</v>
      </c>
      <c r="J142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6" s="161" t="str">
        <f>IF((EJECUTADO[[#This Row],[MONTO DISPONIBLE ]]-EJECUTADO[[#This Row],[MONTO SOLICITADO]])&gt;=0,"PRESUPUESTO: SI","PRESUPUESTO: NO")</f>
        <v>PRESUPUESTO: SI</v>
      </c>
      <c r="L1426" s="162">
        <f>SUMIF(PRESUPUESTO[CUENTA],EJECUTADO[[#This Row],[CUENTA]],PRESUPUESTO[MONTO])-SUMIF($F$1:F1425,EJECUTADO[[#This Row],[CUENTA]],$M$1:M1425)</f>
        <v>0</v>
      </c>
      <c r="M1426" s="2"/>
      <c r="N1426" s="84"/>
      <c r="O1426" s="84"/>
      <c r="P1426" s="162">
        <f>+EJECUTADO[[#This Row],[MONTO SOLICITADO]]-EJECUTADO[[#This Row],[RETENCION IVA]]-EJECUTADO[[#This Row],[RETENCION ISR]]</f>
        <v>0</v>
      </c>
      <c r="Q1426" s="84"/>
      <c r="R1426" s="84"/>
      <c r="T1426" s="168" t="e">
        <f t="shared" si="61"/>
        <v>#N/A</v>
      </c>
    </row>
    <row r="1427" spans="1:20" x14ac:dyDescent="0.25">
      <c r="A1427" s="6">
        <f t="shared" si="62"/>
        <v>1288</v>
      </c>
      <c r="B1427" s="21"/>
      <c r="C1427" s="126"/>
      <c r="E1427" s="65"/>
      <c r="G1427" s="161">
        <f>MONTH(EJECUTADO[[#This Row],[FECHA]])</f>
        <v>1</v>
      </c>
      <c r="H1427" s="163" t="str">
        <f>MID(EJECUTADO[[#This Row],[CUENTA]],1,4)</f>
        <v/>
      </c>
      <c r="I1427" s="163" t="e">
        <f>INDEX(CATALOGO[Descripción],MATCH(EJECUTADO[[#This Row],[APLICACIÓN]]&amp;"-00-00-00",CATALOGO[Código],0))</f>
        <v>#N/A</v>
      </c>
      <c r="J142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7" s="161" t="str">
        <f>IF((EJECUTADO[[#This Row],[MONTO DISPONIBLE ]]-EJECUTADO[[#This Row],[MONTO SOLICITADO]])&gt;=0,"PRESUPUESTO: SI","PRESUPUESTO: NO")</f>
        <v>PRESUPUESTO: SI</v>
      </c>
      <c r="L1427" s="162">
        <f>SUMIF(PRESUPUESTO[CUENTA],EJECUTADO[[#This Row],[CUENTA]],PRESUPUESTO[MONTO])-SUMIF($F$1:F1426,EJECUTADO[[#This Row],[CUENTA]],$M$1:M1426)</f>
        <v>0</v>
      </c>
      <c r="M1427" s="2"/>
      <c r="N1427" s="84"/>
      <c r="O1427" s="84"/>
      <c r="P1427" s="162">
        <f>+EJECUTADO[[#This Row],[MONTO SOLICITADO]]-EJECUTADO[[#This Row],[RETENCION IVA]]-EJECUTADO[[#This Row],[RETENCION ISR]]</f>
        <v>0</v>
      </c>
      <c r="Q1427" s="84"/>
      <c r="R1427" s="84"/>
      <c r="T1427" s="168" t="e">
        <f t="shared" si="61"/>
        <v>#N/A</v>
      </c>
    </row>
    <row r="1428" spans="1:20" x14ac:dyDescent="0.25">
      <c r="A1428" s="6">
        <f t="shared" si="62"/>
        <v>1289</v>
      </c>
      <c r="B1428" s="21"/>
      <c r="C1428" s="126"/>
      <c r="E1428" s="65"/>
      <c r="G1428" s="161">
        <f>MONTH(EJECUTADO[[#This Row],[FECHA]])</f>
        <v>1</v>
      </c>
      <c r="H1428" s="163" t="str">
        <f>MID(EJECUTADO[[#This Row],[CUENTA]],1,4)</f>
        <v/>
      </c>
      <c r="I1428" s="163" t="e">
        <f>INDEX(CATALOGO[Descripción],MATCH(EJECUTADO[[#This Row],[APLICACIÓN]]&amp;"-00-00-00",CATALOGO[Código],0))</f>
        <v>#N/A</v>
      </c>
      <c r="J142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8" s="161" t="str">
        <f>IF((EJECUTADO[[#This Row],[MONTO DISPONIBLE ]]-EJECUTADO[[#This Row],[MONTO SOLICITADO]])&gt;=0,"PRESUPUESTO: SI","PRESUPUESTO: NO")</f>
        <v>PRESUPUESTO: SI</v>
      </c>
      <c r="L1428" s="162">
        <f>SUMIF(PRESUPUESTO[CUENTA],EJECUTADO[[#This Row],[CUENTA]],PRESUPUESTO[MONTO])-SUMIF($F$1:F1427,EJECUTADO[[#This Row],[CUENTA]],$M$1:M1427)</f>
        <v>0</v>
      </c>
      <c r="M1428" s="2"/>
      <c r="N1428" s="84"/>
      <c r="O1428" s="84"/>
      <c r="P1428" s="162">
        <f>+EJECUTADO[[#This Row],[MONTO SOLICITADO]]-EJECUTADO[[#This Row],[RETENCION IVA]]-EJECUTADO[[#This Row],[RETENCION ISR]]</f>
        <v>0</v>
      </c>
      <c r="Q1428" s="84"/>
      <c r="R1428" s="84"/>
      <c r="T1428" s="168" t="e">
        <f t="shared" si="61"/>
        <v>#N/A</v>
      </c>
    </row>
    <row r="1429" spans="1:20" x14ac:dyDescent="0.25">
      <c r="A1429" s="6">
        <f t="shared" si="62"/>
        <v>1290</v>
      </c>
      <c r="B1429" s="21"/>
      <c r="C1429" s="126"/>
      <c r="E1429" s="65"/>
      <c r="G1429" s="161">
        <f>MONTH(EJECUTADO[[#This Row],[FECHA]])</f>
        <v>1</v>
      </c>
      <c r="H1429" s="163" t="str">
        <f>MID(EJECUTADO[[#This Row],[CUENTA]],1,4)</f>
        <v/>
      </c>
      <c r="I1429" s="163" t="e">
        <f>INDEX(CATALOGO[Descripción],MATCH(EJECUTADO[[#This Row],[APLICACIÓN]]&amp;"-00-00-00",CATALOGO[Código],0))</f>
        <v>#N/A</v>
      </c>
      <c r="J142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29" s="161" t="str">
        <f>IF((EJECUTADO[[#This Row],[MONTO DISPONIBLE ]]-EJECUTADO[[#This Row],[MONTO SOLICITADO]])&gt;=0,"PRESUPUESTO: SI","PRESUPUESTO: NO")</f>
        <v>PRESUPUESTO: SI</v>
      </c>
      <c r="L1429" s="162">
        <f>SUMIF(PRESUPUESTO[CUENTA],EJECUTADO[[#This Row],[CUENTA]],PRESUPUESTO[MONTO])-SUMIF($F$1:F1428,EJECUTADO[[#This Row],[CUENTA]],$M$1:M1428)</f>
        <v>0</v>
      </c>
      <c r="M1429" s="2"/>
      <c r="N1429" s="84"/>
      <c r="O1429" s="84"/>
      <c r="P1429" s="162">
        <f>+EJECUTADO[[#This Row],[MONTO SOLICITADO]]-EJECUTADO[[#This Row],[RETENCION IVA]]-EJECUTADO[[#This Row],[RETENCION ISR]]</f>
        <v>0</v>
      </c>
      <c r="Q1429" s="84"/>
      <c r="R1429" s="84"/>
      <c r="T1429" s="168" t="e">
        <f t="shared" si="61"/>
        <v>#N/A</v>
      </c>
    </row>
    <row r="1430" spans="1:20" x14ac:dyDescent="0.25">
      <c r="A1430" s="6">
        <f t="shared" si="62"/>
        <v>1291</v>
      </c>
      <c r="B1430" s="21"/>
      <c r="C1430" s="126"/>
      <c r="E1430" s="65"/>
      <c r="G1430" s="161">
        <f>MONTH(EJECUTADO[[#This Row],[FECHA]])</f>
        <v>1</v>
      </c>
      <c r="H1430" s="163" t="str">
        <f>MID(EJECUTADO[[#This Row],[CUENTA]],1,4)</f>
        <v/>
      </c>
      <c r="I1430" s="163" t="e">
        <f>INDEX(CATALOGO[Descripción],MATCH(EJECUTADO[[#This Row],[APLICACIÓN]]&amp;"-00-00-00",CATALOGO[Código],0))</f>
        <v>#N/A</v>
      </c>
      <c r="J143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0" s="161" t="str">
        <f>IF((EJECUTADO[[#This Row],[MONTO DISPONIBLE ]]-EJECUTADO[[#This Row],[MONTO SOLICITADO]])&gt;=0,"PRESUPUESTO: SI","PRESUPUESTO: NO")</f>
        <v>PRESUPUESTO: SI</v>
      </c>
      <c r="L1430" s="162">
        <f>SUMIF(PRESUPUESTO[CUENTA],EJECUTADO[[#This Row],[CUENTA]],PRESUPUESTO[MONTO])-SUMIF($F$1:F1429,EJECUTADO[[#This Row],[CUENTA]],$M$1:M1429)</f>
        <v>0</v>
      </c>
      <c r="M1430" s="2"/>
      <c r="N1430" s="84"/>
      <c r="O1430" s="84"/>
      <c r="P1430" s="162">
        <f>+EJECUTADO[[#This Row],[MONTO SOLICITADO]]-EJECUTADO[[#This Row],[RETENCION IVA]]-EJECUTADO[[#This Row],[RETENCION ISR]]</f>
        <v>0</v>
      </c>
      <c r="Q1430" s="84"/>
      <c r="R1430" s="84"/>
      <c r="T1430" s="168" t="e">
        <f t="shared" si="61"/>
        <v>#N/A</v>
      </c>
    </row>
    <row r="1431" spans="1:20" x14ac:dyDescent="0.25">
      <c r="A1431" s="6">
        <f t="shared" si="62"/>
        <v>1292</v>
      </c>
      <c r="B1431" s="21"/>
      <c r="C1431" s="126"/>
      <c r="E1431" s="65"/>
      <c r="G1431" s="161">
        <f>MONTH(EJECUTADO[[#This Row],[FECHA]])</f>
        <v>1</v>
      </c>
      <c r="H1431" s="163" t="str">
        <f>MID(EJECUTADO[[#This Row],[CUENTA]],1,4)</f>
        <v/>
      </c>
      <c r="I1431" s="163" t="e">
        <f>INDEX(CATALOGO[Descripción],MATCH(EJECUTADO[[#This Row],[APLICACIÓN]]&amp;"-00-00-00",CATALOGO[Código],0))</f>
        <v>#N/A</v>
      </c>
      <c r="J143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1" s="161" t="str">
        <f>IF((EJECUTADO[[#This Row],[MONTO DISPONIBLE ]]-EJECUTADO[[#This Row],[MONTO SOLICITADO]])&gt;=0,"PRESUPUESTO: SI","PRESUPUESTO: NO")</f>
        <v>PRESUPUESTO: SI</v>
      </c>
      <c r="L1431" s="162">
        <f>SUMIF(PRESUPUESTO[CUENTA],EJECUTADO[[#This Row],[CUENTA]],PRESUPUESTO[MONTO])-SUMIF($F$1:F1430,EJECUTADO[[#This Row],[CUENTA]],$M$1:M1430)</f>
        <v>0</v>
      </c>
      <c r="M1431" s="2"/>
      <c r="N1431" s="84"/>
      <c r="O1431" s="84"/>
      <c r="P1431" s="162">
        <f>+EJECUTADO[[#This Row],[MONTO SOLICITADO]]-EJECUTADO[[#This Row],[RETENCION IVA]]-EJECUTADO[[#This Row],[RETENCION ISR]]</f>
        <v>0</v>
      </c>
      <c r="Q1431" s="84"/>
      <c r="R1431" s="84"/>
      <c r="T1431" s="168" t="e">
        <f t="shared" si="61"/>
        <v>#N/A</v>
      </c>
    </row>
    <row r="1432" spans="1:20" x14ac:dyDescent="0.25">
      <c r="A1432" s="6">
        <f t="shared" si="62"/>
        <v>1293</v>
      </c>
      <c r="B1432" s="21"/>
      <c r="C1432" s="126"/>
      <c r="E1432" s="65"/>
      <c r="G1432" s="161">
        <f>MONTH(EJECUTADO[[#This Row],[FECHA]])</f>
        <v>1</v>
      </c>
      <c r="H1432" s="163" t="str">
        <f>MID(EJECUTADO[[#This Row],[CUENTA]],1,4)</f>
        <v/>
      </c>
      <c r="I1432" s="163" t="e">
        <f>INDEX(CATALOGO[Descripción],MATCH(EJECUTADO[[#This Row],[APLICACIÓN]]&amp;"-00-00-00",CATALOGO[Código],0))</f>
        <v>#N/A</v>
      </c>
      <c r="J143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2" s="161" t="str">
        <f>IF((EJECUTADO[[#This Row],[MONTO DISPONIBLE ]]-EJECUTADO[[#This Row],[MONTO SOLICITADO]])&gt;=0,"PRESUPUESTO: SI","PRESUPUESTO: NO")</f>
        <v>PRESUPUESTO: SI</v>
      </c>
      <c r="L1432" s="162">
        <f>SUMIF(PRESUPUESTO[CUENTA],EJECUTADO[[#This Row],[CUENTA]],PRESUPUESTO[MONTO])-SUMIF($F$1:F1431,EJECUTADO[[#This Row],[CUENTA]],$M$1:M1431)</f>
        <v>0</v>
      </c>
      <c r="M1432" s="2"/>
      <c r="N1432" s="84"/>
      <c r="O1432" s="84"/>
      <c r="P1432" s="162">
        <f>+EJECUTADO[[#This Row],[MONTO SOLICITADO]]-EJECUTADO[[#This Row],[RETENCION IVA]]-EJECUTADO[[#This Row],[RETENCION ISR]]</f>
        <v>0</v>
      </c>
      <c r="Q1432" s="84"/>
      <c r="R1432" s="84"/>
      <c r="T1432" s="168" t="e">
        <f t="shared" si="61"/>
        <v>#N/A</v>
      </c>
    </row>
    <row r="1433" spans="1:20" x14ac:dyDescent="0.25">
      <c r="A1433" s="6">
        <f t="shared" si="62"/>
        <v>1294</v>
      </c>
      <c r="B1433" s="21"/>
      <c r="C1433" s="126"/>
      <c r="E1433" s="65"/>
      <c r="G1433" s="161">
        <f>MONTH(EJECUTADO[[#This Row],[FECHA]])</f>
        <v>1</v>
      </c>
      <c r="H1433" s="163" t="str">
        <f>MID(EJECUTADO[[#This Row],[CUENTA]],1,4)</f>
        <v/>
      </c>
      <c r="I1433" s="163" t="e">
        <f>INDEX(CATALOGO[Descripción],MATCH(EJECUTADO[[#This Row],[APLICACIÓN]]&amp;"-00-00-00",CATALOGO[Código],0))</f>
        <v>#N/A</v>
      </c>
      <c r="J143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3" s="161" t="str">
        <f>IF((EJECUTADO[[#This Row],[MONTO DISPONIBLE ]]-EJECUTADO[[#This Row],[MONTO SOLICITADO]])&gt;=0,"PRESUPUESTO: SI","PRESUPUESTO: NO")</f>
        <v>PRESUPUESTO: SI</v>
      </c>
      <c r="L1433" s="162">
        <f>SUMIF(PRESUPUESTO[CUENTA],EJECUTADO[[#This Row],[CUENTA]],PRESUPUESTO[MONTO])-SUMIF($F$1:F1432,EJECUTADO[[#This Row],[CUENTA]],$M$1:M1432)</f>
        <v>0</v>
      </c>
      <c r="M1433" s="2"/>
      <c r="N1433" s="84"/>
      <c r="O1433" s="84"/>
      <c r="P1433" s="162">
        <f>+EJECUTADO[[#This Row],[MONTO SOLICITADO]]-EJECUTADO[[#This Row],[RETENCION IVA]]-EJECUTADO[[#This Row],[RETENCION ISR]]</f>
        <v>0</v>
      </c>
      <c r="Q1433" s="84"/>
      <c r="R1433" s="84"/>
      <c r="T1433" s="168" t="e">
        <f t="shared" si="61"/>
        <v>#N/A</v>
      </c>
    </row>
    <row r="1434" spans="1:20" x14ac:dyDescent="0.25">
      <c r="A1434" s="6">
        <f t="shared" si="62"/>
        <v>1295</v>
      </c>
      <c r="B1434" s="21"/>
      <c r="C1434" s="126"/>
      <c r="E1434" s="65"/>
      <c r="G1434" s="161">
        <f>MONTH(EJECUTADO[[#This Row],[FECHA]])</f>
        <v>1</v>
      </c>
      <c r="H1434" s="163" t="str">
        <f>MID(EJECUTADO[[#This Row],[CUENTA]],1,4)</f>
        <v/>
      </c>
      <c r="I1434" s="163" t="e">
        <f>INDEX(CATALOGO[Descripción],MATCH(EJECUTADO[[#This Row],[APLICACIÓN]]&amp;"-00-00-00",CATALOGO[Código],0))</f>
        <v>#N/A</v>
      </c>
      <c r="J143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4" s="161" t="str">
        <f>IF((EJECUTADO[[#This Row],[MONTO DISPONIBLE ]]-EJECUTADO[[#This Row],[MONTO SOLICITADO]])&gt;=0,"PRESUPUESTO: SI","PRESUPUESTO: NO")</f>
        <v>PRESUPUESTO: SI</v>
      </c>
      <c r="L1434" s="162">
        <f>SUMIF(PRESUPUESTO[CUENTA],EJECUTADO[[#This Row],[CUENTA]],PRESUPUESTO[MONTO])-SUMIF($F$1:F1433,EJECUTADO[[#This Row],[CUENTA]],$M$1:M1433)</f>
        <v>0</v>
      </c>
      <c r="M1434" s="2"/>
      <c r="N1434" s="84"/>
      <c r="O1434" s="84"/>
      <c r="P1434" s="162">
        <f>+EJECUTADO[[#This Row],[MONTO SOLICITADO]]-EJECUTADO[[#This Row],[RETENCION IVA]]-EJECUTADO[[#This Row],[RETENCION ISR]]</f>
        <v>0</v>
      </c>
      <c r="Q1434" s="84"/>
      <c r="R1434" s="84"/>
      <c r="T1434" s="168" t="e">
        <f t="shared" si="61"/>
        <v>#N/A</v>
      </c>
    </row>
    <row r="1435" spans="1:20" x14ac:dyDescent="0.25">
      <c r="A1435" s="6">
        <f t="shared" si="62"/>
        <v>1296</v>
      </c>
      <c r="B1435" s="21"/>
      <c r="C1435" s="126"/>
      <c r="E1435" s="65"/>
      <c r="G1435" s="161">
        <f>MONTH(EJECUTADO[[#This Row],[FECHA]])</f>
        <v>1</v>
      </c>
      <c r="H1435" s="163" t="str">
        <f>MID(EJECUTADO[[#This Row],[CUENTA]],1,4)</f>
        <v/>
      </c>
      <c r="I1435" s="163" t="e">
        <f>INDEX(CATALOGO[Descripción],MATCH(EJECUTADO[[#This Row],[APLICACIÓN]]&amp;"-00-00-00",CATALOGO[Código],0))</f>
        <v>#N/A</v>
      </c>
      <c r="J143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5" s="161" t="str">
        <f>IF((EJECUTADO[[#This Row],[MONTO DISPONIBLE ]]-EJECUTADO[[#This Row],[MONTO SOLICITADO]])&gt;=0,"PRESUPUESTO: SI","PRESUPUESTO: NO")</f>
        <v>PRESUPUESTO: SI</v>
      </c>
      <c r="L1435" s="162">
        <f>SUMIF(PRESUPUESTO[CUENTA],EJECUTADO[[#This Row],[CUENTA]],PRESUPUESTO[MONTO])-SUMIF($F$1:F1434,EJECUTADO[[#This Row],[CUENTA]],$M$1:M1434)</f>
        <v>0</v>
      </c>
      <c r="M1435" s="2"/>
      <c r="N1435" s="84"/>
      <c r="O1435" s="84"/>
      <c r="P1435" s="162">
        <f>+EJECUTADO[[#This Row],[MONTO SOLICITADO]]-EJECUTADO[[#This Row],[RETENCION IVA]]-EJECUTADO[[#This Row],[RETENCION ISR]]</f>
        <v>0</v>
      </c>
      <c r="Q1435" s="84"/>
      <c r="R1435" s="84"/>
      <c r="T1435" s="168" t="e">
        <f t="shared" si="61"/>
        <v>#N/A</v>
      </c>
    </row>
    <row r="1436" spans="1:20" x14ac:dyDescent="0.25">
      <c r="A1436" s="6">
        <f t="shared" si="62"/>
        <v>1297</v>
      </c>
      <c r="B1436" s="21"/>
      <c r="C1436" s="126"/>
      <c r="E1436" s="65"/>
      <c r="G1436" s="161">
        <f>MONTH(EJECUTADO[[#This Row],[FECHA]])</f>
        <v>1</v>
      </c>
      <c r="H1436" s="163" t="str">
        <f>MID(EJECUTADO[[#This Row],[CUENTA]],1,4)</f>
        <v/>
      </c>
      <c r="I1436" s="163" t="e">
        <f>INDEX(CATALOGO[Descripción],MATCH(EJECUTADO[[#This Row],[APLICACIÓN]]&amp;"-00-00-00",CATALOGO[Código],0))</f>
        <v>#N/A</v>
      </c>
      <c r="J143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6" s="161" t="str">
        <f>IF((EJECUTADO[[#This Row],[MONTO DISPONIBLE ]]-EJECUTADO[[#This Row],[MONTO SOLICITADO]])&gt;=0,"PRESUPUESTO: SI","PRESUPUESTO: NO")</f>
        <v>PRESUPUESTO: SI</v>
      </c>
      <c r="L1436" s="162">
        <f>SUMIF(PRESUPUESTO[CUENTA],EJECUTADO[[#This Row],[CUENTA]],PRESUPUESTO[MONTO])-SUMIF($F$1:F1435,EJECUTADO[[#This Row],[CUENTA]],$M$1:M1435)</f>
        <v>0</v>
      </c>
      <c r="M1436" s="2"/>
      <c r="N1436" s="84"/>
      <c r="O1436" s="84"/>
      <c r="P1436" s="162">
        <f>+EJECUTADO[[#This Row],[MONTO SOLICITADO]]-EJECUTADO[[#This Row],[RETENCION IVA]]-EJECUTADO[[#This Row],[RETENCION ISR]]</f>
        <v>0</v>
      </c>
      <c r="Q1436" s="84"/>
      <c r="R1436" s="84"/>
      <c r="T1436" s="168" t="e">
        <f t="shared" si="61"/>
        <v>#N/A</v>
      </c>
    </row>
    <row r="1437" spans="1:20" x14ac:dyDescent="0.25">
      <c r="A1437" s="6">
        <f t="shared" si="62"/>
        <v>1298</v>
      </c>
      <c r="B1437" s="21"/>
      <c r="C1437" s="126"/>
      <c r="E1437" s="65"/>
      <c r="G1437" s="161">
        <f>MONTH(EJECUTADO[[#This Row],[FECHA]])</f>
        <v>1</v>
      </c>
      <c r="H1437" s="163" t="str">
        <f>MID(EJECUTADO[[#This Row],[CUENTA]],1,4)</f>
        <v/>
      </c>
      <c r="I1437" s="163" t="e">
        <f>INDEX(CATALOGO[Descripción],MATCH(EJECUTADO[[#This Row],[APLICACIÓN]]&amp;"-00-00-00",CATALOGO[Código],0))</f>
        <v>#N/A</v>
      </c>
      <c r="J143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7" s="161" t="str">
        <f>IF((EJECUTADO[[#This Row],[MONTO DISPONIBLE ]]-EJECUTADO[[#This Row],[MONTO SOLICITADO]])&gt;=0,"PRESUPUESTO: SI","PRESUPUESTO: NO")</f>
        <v>PRESUPUESTO: SI</v>
      </c>
      <c r="L1437" s="162">
        <f>SUMIF(PRESUPUESTO[CUENTA],EJECUTADO[[#This Row],[CUENTA]],PRESUPUESTO[MONTO])-SUMIF($F$1:F1436,EJECUTADO[[#This Row],[CUENTA]],$M$1:M1436)</f>
        <v>0</v>
      </c>
      <c r="M1437" s="2"/>
      <c r="N1437" s="84"/>
      <c r="O1437" s="84"/>
      <c r="P1437" s="162">
        <f>+EJECUTADO[[#This Row],[MONTO SOLICITADO]]-EJECUTADO[[#This Row],[RETENCION IVA]]-EJECUTADO[[#This Row],[RETENCION ISR]]</f>
        <v>0</v>
      </c>
      <c r="Q1437" s="84"/>
      <c r="R1437" s="84"/>
      <c r="T1437" s="168" t="e">
        <f t="shared" si="61"/>
        <v>#N/A</v>
      </c>
    </row>
    <row r="1438" spans="1:20" x14ac:dyDescent="0.25">
      <c r="A1438" s="6">
        <f t="shared" si="62"/>
        <v>1299</v>
      </c>
      <c r="B1438" s="21"/>
      <c r="C1438" s="126"/>
      <c r="E1438" s="65"/>
      <c r="G1438" s="161">
        <f>MONTH(EJECUTADO[[#This Row],[FECHA]])</f>
        <v>1</v>
      </c>
      <c r="H1438" s="163" t="str">
        <f>MID(EJECUTADO[[#This Row],[CUENTA]],1,4)</f>
        <v/>
      </c>
      <c r="I1438" s="163" t="e">
        <f>INDEX(CATALOGO[Descripción],MATCH(EJECUTADO[[#This Row],[APLICACIÓN]]&amp;"-00-00-00",CATALOGO[Código],0))</f>
        <v>#N/A</v>
      </c>
      <c r="J143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8" s="161" t="str">
        <f>IF((EJECUTADO[[#This Row],[MONTO DISPONIBLE ]]-EJECUTADO[[#This Row],[MONTO SOLICITADO]])&gt;=0,"PRESUPUESTO: SI","PRESUPUESTO: NO")</f>
        <v>PRESUPUESTO: SI</v>
      </c>
      <c r="L1438" s="162">
        <f>SUMIF(PRESUPUESTO[CUENTA],EJECUTADO[[#This Row],[CUENTA]],PRESUPUESTO[MONTO])-SUMIF($F$1:F1437,EJECUTADO[[#This Row],[CUENTA]],$M$1:M1437)</f>
        <v>0</v>
      </c>
      <c r="M1438" s="2"/>
      <c r="N1438" s="84"/>
      <c r="O1438" s="84"/>
      <c r="P1438" s="162">
        <f>+EJECUTADO[[#This Row],[MONTO SOLICITADO]]-EJECUTADO[[#This Row],[RETENCION IVA]]-EJECUTADO[[#This Row],[RETENCION ISR]]</f>
        <v>0</v>
      </c>
      <c r="Q1438" s="84"/>
      <c r="R1438" s="84"/>
      <c r="T1438" s="168" t="e">
        <f t="shared" si="61"/>
        <v>#N/A</v>
      </c>
    </row>
    <row r="1439" spans="1:20" x14ac:dyDescent="0.25">
      <c r="A1439" s="6">
        <f t="shared" si="62"/>
        <v>1300</v>
      </c>
      <c r="B1439" s="21"/>
      <c r="C1439" s="126"/>
      <c r="E1439" s="65"/>
      <c r="G1439" s="161">
        <f>MONTH(EJECUTADO[[#This Row],[FECHA]])</f>
        <v>1</v>
      </c>
      <c r="H1439" s="163" t="str">
        <f>MID(EJECUTADO[[#This Row],[CUENTA]],1,4)</f>
        <v/>
      </c>
      <c r="I1439" s="163" t="e">
        <f>INDEX(CATALOGO[Descripción],MATCH(EJECUTADO[[#This Row],[APLICACIÓN]]&amp;"-00-00-00",CATALOGO[Código],0))</f>
        <v>#N/A</v>
      </c>
      <c r="J143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39" s="161" t="str">
        <f>IF((EJECUTADO[[#This Row],[MONTO DISPONIBLE ]]-EJECUTADO[[#This Row],[MONTO SOLICITADO]])&gt;=0,"PRESUPUESTO: SI","PRESUPUESTO: NO")</f>
        <v>PRESUPUESTO: SI</v>
      </c>
      <c r="L1439" s="162">
        <f>SUMIF(PRESUPUESTO[CUENTA],EJECUTADO[[#This Row],[CUENTA]],PRESUPUESTO[MONTO])-SUMIF($F$1:F1438,EJECUTADO[[#This Row],[CUENTA]],$M$1:M1438)</f>
        <v>0</v>
      </c>
      <c r="M1439" s="2"/>
      <c r="N1439" s="84"/>
      <c r="O1439" s="84"/>
      <c r="P1439" s="162">
        <f>+EJECUTADO[[#This Row],[MONTO SOLICITADO]]-EJECUTADO[[#This Row],[RETENCION IVA]]-EJECUTADO[[#This Row],[RETENCION ISR]]</f>
        <v>0</v>
      </c>
      <c r="Q1439" s="84"/>
      <c r="R1439" s="84"/>
      <c r="T1439" s="168" t="e">
        <f t="shared" si="61"/>
        <v>#N/A</v>
      </c>
    </row>
    <row r="1440" spans="1:20" x14ac:dyDescent="0.25">
      <c r="A1440" s="6">
        <f t="shared" si="62"/>
        <v>1301</v>
      </c>
      <c r="B1440" s="21"/>
      <c r="C1440" s="126"/>
      <c r="E1440" s="65"/>
      <c r="G1440" s="161">
        <f>MONTH(EJECUTADO[[#This Row],[FECHA]])</f>
        <v>1</v>
      </c>
      <c r="H1440" s="163" t="str">
        <f>MID(EJECUTADO[[#This Row],[CUENTA]],1,4)</f>
        <v/>
      </c>
      <c r="I1440" s="163" t="e">
        <f>INDEX(CATALOGO[Descripción],MATCH(EJECUTADO[[#This Row],[APLICACIÓN]]&amp;"-00-00-00",CATALOGO[Código],0))</f>
        <v>#N/A</v>
      </c>
      <c r="J144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0" s="161" t="str">
        <f>IF((EJECUTADO[[#This Row],[MONTO DISPONIBLE ]]-EJECUTADO[[#This Row],[MONTO SOLICITADO]])&gt;=0,"PRESUPUESTO: SI","PRESUPUESTO: NO")</f>
        <v>PRESUPUESTO: SI</v>
      </c>
      <c r="L1440" s="162">
        <f>SUMIF(PRESUPUESTO[CUENTA],EJECUTADO[[#This Row],[CUENTA]],PRESUPUESTO[MONTO])-SUMIF($F$1:F1439,EJECUTADO[[#This Row],[CUENTA]],$M$1:M1439)</f>
        <v>0</v>
      </c>
      <c r="M1440" s="2"/>
      <c r="N1440" s="84"/>
      <c r="O1440" s="84"/>
      <c r="P1440" s="162">
        <f>+EJECUTADO[[#This Row],[MONTO SOLICITADO]]-EJECUTADO[[#This Row],[RETENCION IVA]]-EJECUTADO[[#This Row],[RETENCION ISR]]</f>
        <v>0</v>
      </c>
      <c r="Q1440" s="84"/>
      <c r="R1440" s="84"/>
      <c r="T1440" s="168" t="e">
        <f t="shared" si="61"/>
        <v>#N/A</v>
      </c>
    </row>
    <row r="1441" spans="1:20" x14ac:dyDescent="0.25">
      <c r="A1441" s="6">
        <f t="shared" si="62"/>
        <v>1302</v>
      </c>
      <c r="B1441" s="21"/>
      <c r="C1441" s="126"/>
      <c r="E1441" s="65"/>
      <c r="G1441" s="161">
        <f>MONTH(EJECUTADO[[#This Row],[FECHA]])</f>
        <v>1</v>
      </c>
      <c r="H1441" s="163" t="str">
        <f>MID(EJECUTADO[[#This Row],[CUENTA]],1,4)</f>
        <v/>
      </c>
      <c r="I1441" s="163" t="e">
        <f>INDEX(CATALOGO[Descripción],MATCH(EJECUTADO[[#This Row],[APLICACIÓN]]&amp;"-00-00-00",CATALOGO[Código],0))</f>
        <v>#N/A</v>
      </c>
      <c r="J144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1" s="161" t="str">
        <f>IF((EJECUTADO[[#This Row],[MONTO DISPONIBLE ]]-EJECUTADO[[#This Row],[MONTO SOLICITADO]])&gt;=0,"PRESUPUESTO: SI","PRESUPUESTO: NO")</f>
        <v>PRESUPUESTO: SI</v>
      </c>
      <c r="L1441" s="162">
        <f>SUMIF(PRESUPUESTO[CUENTA],EJECUTADO[[#This Row],[CUENTA]],PRESUPUESTO[MONTO])-SUMIF($F$1:F1440,EJECUTADO[[#This Row],[CUENTA]],$M$1:M1440)</f>
        <v>0</v>
      </c>
      <c r="M1441" s="2"/>
      <c r="N1441" s="84"/>
      <c r="O1441" s="84"/>
      <c r="P1441" s="162">
        <f>+EJECUTADO[[#This Row],[MONTO SOLICITADO]]-EJECUTADO[[#This Row],[RETENCION IVA]]-EJECUTADO[[#This Row],[RETENCION ISR]]</f>
        <v>0</v>
      </c>
      <c r="Q1441" s="84"/>
      <c r="R1441" s="84"/>
      <c r="T1441" s="168" t="e">
        <f t="shared" si="61"/>
        <v>#N/A</v>
      </c>
    </row>
    <row r="1442" spans="1:20" x14ac:dyDescent="0.25">
      <c r="A1442" s="6">
        <f t="shared" si="62"/>
        <v>1303</v>
      </c>
      <c r="B1442" s="21"/>
      <c r="C1442" s="126"/>
      <c r="E1442" s="65"/>
      <c r="G1442" s="161">
        <f>MONTH(EJECUTADO[[#This Row],[FECHA]])</f>
        <v>1</v>
      </c>
      <c r="H1442" s="163" t="str">
        <f>MID(EJECUTADO[[#This Row],[CUENTA]],1,4)</f>
        <v/>
      </c>
      <c r="I1442" s="163" t="e">
        <f>INDEX(CATALOGO[Descripción],MATCH(EJECUTADO[[#This Row],[APLICACIÓN]]&amp;"-00-00-00",CATALOGO[Código],0))</f>
        <v>#N/A</v>
      </c>
      <c r="J144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2" s="161" t="str">
        <f>IF((EJECUTADO[[#This Row],[MONTO DISPONIBLE ]]-EJECUTADO[[#This Row],[MONTO SOLICITADO]])&gt;=0,"PRESUPUESTO: SI","PRESUPUESTO: NO")</f>
        <v>PRESUPUESTO: SI</v>
      </c>
      <c r="L1442" s="162">
        <f>SUMIF(PRESUPUESTO[CUENTA],EJECUTADO[[#This Row],[CUENTA]],PRESUPUESTO[MONTO])-SUMIF($F$1:F1441,EJECUTADO[[#This Row],[CUENTA]],$M$1:M1441)</f>
        <v>0</v>
      </c>
      <c r="M1442" s="2"/>
      <c r="N1442" s="84"/>
      <c r="O1442" s="84"/>
      <c r="P1442" s="162">
        <f>+EJECUTADO[[#This Row],[MONTO SOLICITADO]]-EJECUTADO[[#This Row],[RETENCION IVA]]-EJECUTADO[[#This Row],[RETENCION ISR]]</f>
        <v>0</v>
      </c>
      <c r="Q1442" s="84"/>
      <c r="R1442" s="84"/>
      <c r="T1442" s="168" t="e">
        <f t="shared" si="61"/>
        <v>#N/A</v>
      </c>
    </row>
    <row r="1443" spans="1:20" x14ac:dyDescent="0.25">
      <c r="A1443" s="6">
        <f t="shared" si="62"/>
        <v>1304</v>
      </c>
      <c r="B1443" s="21"/>
      <c r="C1443" s="126"/>
      <c r="E1443" s="65"/>
      <c r="G1443" s="161">
        <f>MONTH(EJECUTADO[[#This Row],[FECHA]])</f>
        <v>1</v>
      </c>
      <c r="H1443" s="163" t="str">
        <f>MID(EJECUTADO[[#This Row],[CUENTA]],1,4)</f>
        <v/>
      </c>
      <c r="I1443" s="163" t="e">
        <f>INDEX(CATALOGO[Descripción],MATCH(EJECUTADO[[#This Row],[APLICACIÓN]]&amp;"-00-00-00",CATALOGO[Código],0))</f>
        <v>#N/A</v>
      </c>
      <c r="J144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3" s="161" t="str">
        <f>IF((EJECUTADO[[#This Row],[MONTO DISPONIBLE ]]-EJECUTADO[[#This Row],[MONTO SOLICITADO]])&gt;=0,"PRESUPUESTO: SI","PRESUPUESTO: NO")</f>
        <v>PRESUPUESTO: SI</v>
      </c>
      <c r="L1443" s="162">
        <f>SUMIF(PRESUPUESTO[CUENTA],EJECUTADO[[#This Row],[CUENTA]],PRESUPUESTO[MONTO])-SUMIF($F$1:F1442,EJECUTADO[[#This Row],[CUENTA]],$M$1:M1442)</f>
        <v>0</v>
      </c>
      <c r="M1443" s="2"/>
      <c r="N1443" s="84"/>
      <c r="O1443" s="84"/>
      <c r="P1443" s="162">
        <f>+EJECUTADO[[#This Row],[MONTO SOLICITADO]]-EJECUTADO[[#This Row],[RETENCION IVA]]-EJECUTADO[[#This Row],[RETENCION ISR]]</f>
        <v>0</v>
      </c>
      <c r="Q1443" s="84"/>
      <c r="R1443" s="84"/>
      <c r="T1443" s="168" t="e">
        <f t="shared" si="61"/>
        <v>#N/A</v>
      </c>
    </row>
    <row r="1444" spans="1:20" x14ac:dyDescent="0.25">
      <c r="A1444" s="6">
        <f t="shared" si="62"/>
        <v>1305</v>
      </c>
      <c r="B1444" s="21"/>
      <c r="C1444" s="126"/>
      <c r="E1444" s="65"/>
      <c r="G1444" s="161">
        <f>MONTH(EJECUTADO[[#This Row],[FECHA]])</f>
        <v>1</v>
      </c>
      <c r="H1444" s="163" t="str">
        <f>MID(EJECUTADO[[#This Row],[CUENTA]],1,4)</f>
        <v/>
      </c>
      <c r="I1444" s="163" t="e">
        <f>INDEX(CATALOGO[Descripción],MATCH(EJECUTADO[[#This Row],[APLICACIÓN]]&amp;"-00-00-00",CATALOGO[Código],0))</f>
        <v>#N/A</v>
      </c>
      <c r="J144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4" s="161" t="str">
        <f>IF((EJECUTADO[[#This Row],[MONTO DISPONIBLE ]]-EJECUTADO[[#This Row],[MONTO SOLICITADO]])&gt;=0,"PRESUPUESTO: SI","PRESUPUESTO: NO")</f>
        <v>PRESUPUESTO: SI</v>
      </c>
      <c r="L1444" s="162">
        <f>SUMIF(PRESUPUESTO[CUENTA],EJECUTADO[[#This Row],[CUENTA]],PRESUPUESTO[MONTO])-SUMIF($F$1:F1443,EJECUTADO[[#This Row],[CUENTA]],$M$1:M1443)</f>
        <v>0</v>
      </c>
      <c r="M1444" s="2"/>
      <c r="N1444" s="84"/>
      <c r="O1444" s="84"/>
      <c r="P1444" s="162">
        <f>+EJECUTADO[[#This Row],[MONTO SOLICITADO]]-EJECUTADO[[#This Row],[RETENCION IVA]]-EJECUTADO[[#This Row],[RETENCION ISR]]</f>
        <v>0</v>
      </c>
      <c r="Q1444" s="84"/>
      <c r="R1444" s="84"/>
      <c r="T1444" s="168" t="e">
        <f t="shared" si="61"/>
        <v>#N/A</v>
      </c>
    </row>
    <row r="1445" spans="1:20" x14ac:dyDescent="0.25">
      <c r="A1445" s="6">
        <f t="shared" si="62"/>
        <v>1306</v>
      </c>
      <c r="B1445" s="21"/>
      <c r="C1445" s="126"/>
      <c r="E1445" s="65"/>
      <c r="G1445" s="161">
        <f>MONTH(EJECUTADO[[#This Row],[FECHA]])</f>
        <v>1</v>
      </c>
      <c r="H1445" s="163" t="str">
        <f>MID(EJECUTADO[[#This Row],[CUENTA]],1,4)</f>
        <v/>
      </c>
      <c r="I1445" s="163" t="e">
        <f>INDEX(CATALOGO[Descripción],MATCH(EJECUTADO[[#This Row],[APLICACIÓN]]&amp;"-00-00-00",CATALOGO[Código],0))</f>
        <v>#N/A</v>
      </c>
      <c r="J144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5" s="161" t="str">
        <f>IF((EJECUTADO[[#This Row],[MONTO DISPONIBLE ]]-EJECUTADO[[#This Row],[MONTO SOLICITADO]])&gt;=0,"PRESUPUESTO: SI","PRESUPUESTO: NO")</f>
        <v>PRESUPUESTO: SI</v>
      </c>
      <c r="L1445" s="162">
        <f>SUMIF(PRESUPUESTO[CUENTA],EJECUTADO[[#This Row],[CUENTA]],PRESUPUESTO[MONTO])-SUMIF($F$1:F1444,EJECUTADO[[#This Row],[CUENTA]],$M$1:M1444)</f>
        <v>0</v>
      </c>
      <c r="M1445" s="2"/>
      <c r="N1445" s="84"/>
      <c r="O1445" s="84"/>
      <c r="P1445" s="162">
        <f>+EJECUTADO[[#This Row],[MONTO SOLICITADO]]-EJECUTADO[[#This Row],[RETENCION IVA]]-EJECUTADO[[#This Row],[RETENCION ISR]]</f>
        <v>0</v>
      </c>
      <c r="Q1445" s="84"/>
      <c r="R1445" s="84"/>
      <c r="T1445" s="168" t="e">
        <f t="shared" si="61"/>
        <v>#N/A</v>
      </c>
    </row>
    <row r="1446" spans="1:20" x14ac:dyDescent="0.25">
      <c r="A1446" s="6">
        <f t="shared" si="62"/>
        <v>1307</v>
      </c>
      <c r="B1446" s="21"/>
      <c r="C1446" s="126"/>
      <c r="E1446" s="65"/>
      <c r="G1446" s="161">
        <f>MONTH(EJECUTADO[[#This Row],[FECHA]])</f>
        <v>1</v>
      </c>
      <c r="H1446" s="163" t="str">
        <f>MID(EJECUTADO[[#This Row],[CUENTA]],1,4)</f>
        <v/>
      </c>
      <c r="I1446" s="163" t="e">
        <f>INDEX(CATALOGO[Descripción],MATCH(EJECUTADO[[#This Row],[APLICACIÓN]]&amp;"-00-00-00",CATALOGO[Código],0))</f>
        <v>#N/A</v>
      </c>
      <c r="J144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6" s="161" t="str">
        <f>IF((EJECUTADO[[#This Row],[MONTO DISPONIBLE ]]-EJECUTADO[[#This Row],[MONTO SOLICITADO]])&gt;=0,"PRESUPUESTO: SI","PRESUPUESTO: NO")</f>
        <v>PRESUPUESTO: SI</v>
      </c>
      <c r="L1446" s="162">
        <f>SUMIF(PRESUPUESTO[CUENTA],EJECUTADO[[#This Row],[CUENTA]],PRESUPUESTO[MONTO])-SUMIF($F$1:F1445,EJECUTADO[[#This Row],[CUENTA]],$M$1:M1445)</f>
        <v>0</v>
      </c>
      <c r="M1446" s="2"/>
      <c r="N1446" s="84"/>
      <c r="O1446" s="84"/>
      <c r="P1446" s="162">
        <f>+EJECUTADO[[#This Row],[MONTO SOLICITADO]]-EJECUTADO[[#This Row],[RETENCION IVA]]-EJECUTADO[[#This Row],[RETENCION ISR]]</f>
        <v>0</v>
      </c>
      <c r="Q1446" s="84"/>
      <c r="R1446" s="84"/>
      <c r="T1446" s="168" t="e">
        <f t="shared" si="61"/>
        <v>#N/A</v>
      </c>
    </row>
    <row r="1447" spans="1:20" x14ac:dyDescent="0.25">
      <c r="A1447" s="6">
        <f t="shared" si="62"/>
        <v>1308</v>
      </c>
      <c r="B1447" s="21"/>
      <c r="C1447" s="126"/>
      <c r="E1447" s="65"/>
      <c r="G1447" s="161">
        <f>MONTH(EJECUTADO[[#This Row],[FECHA]])</f>
        <v>1</v>
      </c>
      <c r="H1447" s="163" t="str">
        <f>MID(EJECUTADO[[#This Row],[CUENTA]],1,4)</f>
        <v/>
      </c>
      <c r="I1447" s="163" t="e">
        <f>INDEX(CATALOGO[Descripción],MATCH(EJECUTADO[[#This Row],[APLICACIÓN]]&amp;"-00-00-00",CATALOGO[Código],0))</f>
        <v>#N/A</v>
      </c>
      <c r="J144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7" s="161" t="str">
        <f>IF((EJECUTADO[[#This Row],[MONTO DISPONIBLE ]]-EJECUTADO[[#This Row],[MONTO SOLICITADO]])&gt;=0,"PRESUPUESTO: SI","PRESUPUESTO: NO")</f>
        <v>PRESUPUESTO: SI</v>
      </c>
      <c r="L1447" s="162">
        <f>SUMIF(PRESUPUESTO[CUENTA],EJECUTADO[[#This Row],[CUENTA]],PRESUPUESTO[MONTO])-SUMIF($F$1:F1446,EJECUTADO[[#This Row],[CUENTA]],$M$1:M1446)</f>
        <v>0</v>
      </c>
      <c r="M1447" s="2"/>
      <c r="N1447" s="84"/>
      <c r="O1447" s="84"/>
      <c r="P1447" s="162">
        <f>+EJECUTADO[[#This Row],[MONTO SOLICITADO]]-EJECUTADO[[#This Row],[RETENCION IVA]]-EJECUTADO[[#This Row],[RETENCION ISR]]</f>
        <v>0</v>
      </c>
      <c r="Q1447" s="84"/>
      <c r="R1447" s="84"/>
      <c r="T1447" s="168" t="e">
        <f t="shared" si="61"/>
        <v>#N/A</v>
      </c>
    </row>
    <row r="1448" spans="1:20" x14ac:dyDescent="0.25">
      <c r="A1448" s="6">
        <f t="shared" si="62"/>
        <v>1309</v>
      </c>
      <c r="B1448" s="21"/>
      <c r="C1448" s="126"/>
      <c r="E1448" s="65"/>
      <c r="G1448" s="161">
        <f>MONTH(EJECUTADO[[#This Row],[FECHA]])</f>
        <v>1</v>
      </c>
      <c r="H1448" s="163" t="str">
        <f>MID(EJECUTADO[[#This Row],[CUENTA]],1,4)</f>
        <v/>
      </c>
      <c r="I1448" s="163" t="e">
        <f>INDEX(CATALOGO[Descripción],MATCH(EJECUTADO[[#This Row],[APLICACIÓN]]&amp;"-00-00-00",CATALOGO[Código],0))</f>
        <v>#N/A</v>
      </c>
      <c r="J144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8" s="161" t="str">
        <f>IF((EJECUTADO[[#This Row],[MONTO DISPONIBLE ]]-EJECUTADO[[#This Row],[MONTO SOLICITADO]])&gt;=0,"PRESUPUESTO: SI","PRESUPUESTO: NO")</f>
        <v>PRESUPUESTO: SI</v>
      </c>
      <c r="L1448" s="162">
        <f>SUMIF(PRESUPUESTO[CUENTA],EJECUTADO[[#This Row],[CUENTA]],PRESUPUESTO[MONTO])-SUMIF($F$1:F1447,EJECUTADO[[#This Row],[CUENTA]],$M$1:M1447)</f>
        <v>0</v>
      </c>
      <c r="M1448" s="2"/>
      <c r="N1448" s="84"/>
      <c r="O1448" s="84"/>
      <c r="P1448" s="162">
        <f>+EJECUTADO[[#This Row],[MONTO SOLICITADO]]-EJECUTADO[[#This Row],[RETENCION IVA]]-EJECUTADO[[#This Row],[RETENCION ISR]]</f>
        <v>0</v>
      </c>
      <c r="Q1448" s="84"/>
      <c r="R1448" s="84"/>
      <c r="T1448" s="168" t="e">
        <f t="shared" si="61"/>
        <v>#N/A</v>
      </c>
    </row>
    <row r="1449" spans="1:20" x14ac:dyDescent="0.25">
      <c r="A1449" s="6">
        <f t="shared" si="62"/>
        <v>1310</v>
      </c>
      <c r="B1449" s="21"/>
      <c r="C1449" s="126"/>
      <c r="E1449" s="65"/>
      <c r="G1449" s="161">
        <f>MONTH(EJECUTADO[[#This Row],[FECHA]])</f>
        <v>1</v>
      </c>
      <c r="H1449" s="163" t="str">
        <f>MID(EJECUTADO[[#This Row],[CUENTA]],1,4)</f>
        <v/>
      </c>
      <c r="I1449" s="163" t="e">
        <f>INDEX(CATALOGO[Descripción],MATCH(EJECUTADO[[#This Row],[APLICACIÓN]]&amp;"-00-00-00",CATALOGO[Código],0))</f>
        <v>#N/A</v>
      </c>
      <c r="J144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49" s="161" t="str">
        <f>IF((EJECUTADO[[#This Row],[MONTO DISPONIBLE ]]-EJECUTADO[[#This Row],[MONTO SOLICITADO]])&gt;=0,"PRESUPUESTO: SI","PRESUPUESTO: NO")</f>
        <v>PRESUPUESTO: SI</v>
      </c>
      <c r="L1449" s="162">
        <f>SUMIF(PRESUPUESTO[CUENTA],EJECUTADO[[#This Row],[CUENTA]],PRESUPUESTO[MONTO])-SUMIF($F$1:F1448,EJECUTADO[[#This Row],[CUENTA]],$M$1:M1448)</f>
        <v>0</v>
      </c>
      <c r="M1449" s="2"/>
      <c r="N1449" s="84"/>
      <c r="O1449" s="84"/>
      <c r="P1449" s="162">
        <f>+EJECUTADO[[#This Row],[MONTO SOLICITADO]]-EJECUTADO[[#This Row],[RETENCION IVA]]-EJECUTADO[[#This Row],[RETENCION ISR]]</f>
        <v>0</v>
      </c>
      <c r="Q1449" s="84"/>
      <c r="R1449" s="84"/>
      <c r="T1449" s="168" t="e">
        <f t="shared" si="61"/>
        <v>#N/A</v>
      </c>
    </row>
    <row r="1450" spans="1:20" x14ac:dyDescent="0.25">
      <c r="A1450" s="6">
        <f t="shared" si="62"/>
        <v>1311</v>
      </c>
      <c r="B1450" s="21"/>
      <c r="C1450" s="126"/>
      <c r="E1450" s="65"/>
      <c r="G1450" s="161">
        <f>MONTH(EJECUTADO[[#This Row],[FECHA]])</f>
        <v>1</v>
      </c>
      <c r="H1450" s="163" t="str">
        <f>MID(EJECUTADO[[#This Row],[CUENTA]],1,4)</f>
        <v/>
      </c>
      <c r="I1450" s="163" t="e">
        <f>INDEX(CATALOGO[Descripción],MATCH(EJECUTADO[[#This Row],[APLICACIÓN]]&amp;"-00-00-00",CATALOGO[Código],0))</f>
        <v>#N/A</v>
      </c>
      <c r="J145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0" s="161" t="str">
        <f>IF((EJECUTADO[[#This Row],[MONTO DISPONIBLE ]]-EJECUTADO[[#This Row],[MONTO SOLICITADO]])&gt;=0,"PRESUPUESTO: SI","PRESUPUESTO: NO")</f>
        <v>PRESUPUESTO: SI</v>
      </c>
      <c r="L1450" s="162">
        <f>SUMIF(PRESUPUESTO[CUENTA],EJECUTADO[[#This Row],[CUENTA]],PRESUPUESTO[MONTO])-SUMIF($F$1:F1449,EJECUTADO[[#This Row],[CUENTA]],$M$1:M1449)</f>
        <v>0</v>
      </c>
      <c r="M1450" s="2"/>
      <c r="N1450" s="84"/>
      <c r="O1450" s="84"/>
      <c r="P1450" s="162">
        <f>+EJECUTADO[[#This Row],[MONTO SOLICITADO]]-EJECUTADO[[#This Row],[RETENCION IVA]]-EJECUTADO[[#This Row],[RETENCION ISR]]</f>
        <v>0</v>
      </c>
      <c r="Q1450" s="84"/>
      <c r="R1450" s="84"/>
      <c r="T1450" s="168" t="e">
        <f t="shared" si="61"/>
        <v>#N/A</v>
      </c>
    </row>
    <row r="1451" spans="1:20" x14ac:dyDescent="0.25">
      <c r="A1451" s="6">
        <f t="shared" si="62"/>
        <v>1312</v>
      </c>
      <c r="B1451" s="21"/>
      <c r="C1451" s="126"/>
      <c r="E1451" s="65"/>
      <c r="G1451" s="161">
        <f>MONTH(EJECUTADO[[#This Row],[FECHA]])</f>
        <v>1</v>
      </c>
      <c r="H1451" s="163" t="str">
        <f>MID(EJECUTADO[[#This Row],[CUENTA]],1,4)</f>
        <v/>
      </c>
      <c r="I1451" s="163" t="e">
        <f>INDEX(CATALOGO[Descripción],MATCH(EJECUTADO[[#This Row],[APLICACIÓN]]&amp;"-00-00-00",CATALOGO[Código],0))</f>
        <v>#N/A</v>
      </c>
      <c r="J145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1" s="161" t="str">
        <f>IF((EJECUTADO[[#This Row],[MONTO DISPONIBLE ]]-EJECUTADO[[#This Row],[MONTO SOLICITADO]])&gt;=0,"PRESUPUESTO: SI","PRESUPUESTO: NO")</f>
        <v>PRESUPUESTO: SI</v>
      </c>
      <c r="L1451" s="162">
        <f>SUMIF(PRESUPUESTO[CUENTA],EJECUTADO[[#This Row],[CUENTA]],PRESUPUESTO[MONTO])-SUMIF($F$1:F1450,EJECUTADO[[#This Row],[CUENTA]],$M$1:M1450)</f>
        <v>0</v>
      </c>
      <c r="M1451" s="2"/>
      <c r="N1451" s="84"/>
      <c r="O1451" s="84"/>
      <c r="P1451" s="162">
        <f>+EJECUTADO[[#This Row],[MONTO SOLICITADO]]-EJECUTADO[[#This Row],[RETENCION IVA]]-EJECUTADO[[#This Row],[RETENCION ISR]]</f>
        <v>0</v>
      </c>
      <c r="Q1451" s="84"/>
      <c r="R1451" s="84"/>
      <c r="T1451" s="168" t="e">
        <f t="shared" si="61"/>
        <v>#N/A</v>
      </c>
    </row>
    <row r="1452" spans="1:20" x14ac:dyDescent="0.25">
      <c r="A1452" s="6">
        <f t="shared" si="62"/>
        <v>1313</v>
      </c>
      <c r="B1452" s="21"/>
      <c r="C1452" s="126"/>
      <c r="E1452" s="65"/>
      <c r="G1452" s="161">
        <f>MONTH(EJECUTADO[[#This Row],[FECHA]])</f>
        <v>1</v>
      </c>
      <c r="H1452" s="163" t="str">
        <f>MID(EJECUTADO[[#This Row],[CUENTA]],1,4)</f>
        <v/>
      </c>
      <c r="I1452" s="163" t="e">
        <f>INDEX(CATALOGO[Descripción],MATCH(EJECUTADO[[#This Row],[APLICACIÓN]]&amp;"-00-00-00",CATALOGO[Código],0))</f>
        <v>#N/A</v>
      </c>
      <c r="J145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2" s="161" t="str">
        <f>IF((EJECUTADO[[#This Row],[MONTO DISPONIBLE ]]-EJECUTADO[[#This Row],[MONTO SOLICITADO]])&gt;=0,"PRESUPUESTO: SI","PRESUPUESTO: NO")</f>
        <v>PRESUPUESTO: SI</v>
      </c>
      <c r="L1452" s="162">
        <f>SUMIF(PRESUPUESTO[CUENTA],EJECUTADO[[#This Row],[CUENTA]],PRESUPUESTO[MONTO])-SUMIF($F$1:F1451,EJECUTADO[[#This Row],[CUENTA]],$M$1:M1451)</f>
        <v>0</v>
      </c>
      <c r="M1452" s="2"/>
      <c r="N1452" s="84"/>
      <c r="O1452" s="84"/>
      <c r="P1452" s="162">
        <f>+EJECUTADO[[#This Row],[MONTO SOLICITADO]]-EJECUTADO[[#This Row],[RETENCION IVA]]-EJECUTADO[[#This Row],[RETENCION ISR]]</f>
        <v>0</v>
      </c>
      <c r="Q1452" s="84"/>
      <c r="R1452" s="84"/>
      <c r="T1452" s="168" t="e">
        <f t="shared" si="61"/>
        <v>#N/A</v>
      </c>
    </row>
    <row r="1453" spans="1:20" x14ac:dyDescent="0.25">
      <c r="A1453" s="6">
        <f t="shared" si="62"/>
        <v>1314</v>
      </c>
      <c r="B1453" s="21"/>
      <c r="C1453" s="126"/>
      <c r="E1453" s="65"/>
      <c r="G1453" s="161">
        <f>MONTH(EJECUTADO[[#This Row],[FECHA]])</f>
        <v>1</v>
      </c>
      <c r="H1453" s="163" t="str">
        <f>MID(EJECUTADO[[#This Row],[CUENTA]],1,4)</f>
        <v/>
      </c>
      <c r="I1453" s="163" t="e">
        <f>INDEX(CATALOGO[Descripción],MATCH(EJECUTADO[[#This Row],[APLICACIÓN]]&amp;"-00-00-00",CATALOGO[Código],0))</f>
        <v>#N/A</v>
      </c>
      <c r="J145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3" s="161" t="str">
        <f>IF((EJECUTADO[[#This Row],[MONTO DISPONIBLE ]]-EJECUTADO[[#This Row],[MONTO SOLICITADO]])&gt;=0,"PRESUPUESTO: SI","PRESUPUESTO: NO")</f>
        <v>PRESUPUESTO: SI</v>
      </c>
      <c r="L1453" s="162">
        <f>SUMIF(PRESUPUESTO[CUENTA],EJECUTADO[[#This Row],[CUENTA]],PRESUPUESTO[MONTO])-SUMIF($F$1:F1452,EJECUTADO[[#This Row],[CUENTA]],$M$1:M1452)</f>
        <v>0</v>
      </c>
      <c r="M1453" s="2"/>
      <c r="N1453" s="84"/>
      <c r="O1453" s="84"/>
      <c r="P1453" s="162">
        <f>+EJECUTADO[[#This Row],[MONTO SOLICITADO]]-EJECUTADO[[#This Row],[RETENCION IVA]]-EJECUTADO[[#This Row],[RETENCION ISR]]</f>
        <v>0</v>
      </c>
      <c r="Q1453" s="84"/>
      <c r="R1453" s="84"/>
      <c r="T1453" s="168" t="e">
        <f t="shared" si="61"/>
        <v>#N/A</v>
      </c>
    </row>
    <row r="1454" spans="1:20" x14ac:dyDescent="0.25">
      <c r="A1454" s="6">
        <f t="shared" si="62"/>
        <v>1315</v>
      </c>
      <c r="B1454" s="21"/>
      <c r="C1454" s="126"/>
      <c r="E1454" s="65"/>
      <c r="G1454" s="161">
        <f>MONTH(EJECUTADO[[#This Row],[FECHA]])</f>
        <v>1</v>
      </c>
      <c r="H1454" s="163" t="str">
        <f>MID(EJECUTADO[[#This Row],[CUENTA]],1,4)</f>
        <v/>
      </c>
      <c r="I1454" s="163" t="e">
        <f>INDEX(CATALOGO[Descripción],MATCH(EJECUTADO[[#This Row],[APLICACIÓN]]&amp;"-00-00-00",CATALOGO[Código],0))</f>
        <v>#N/A</v>
      </c>
      <c r="J145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4" s="161" t="str">
        <f>IF((EJECUTADO[[#This Row],[MONTO DISPONIBLE ]]-EJECUTADO[[#This Row],[MONTO SOLICITADO]])&gt;=0,"PRESUPUESTO: SI","PRESUPUESTO: NO")</f>
        <v>PRESUPUESTO: SI</v>
      </c>
      <c r="L1454" s="162">
        <f>SUMIF(PRESUPUESTO[CUENTA],EJECUTADO[[#This Row],[CUENTA]],PRESUPUESTO[MONTO])-SUMIF($F$1:F1453,EJECUTADO[[#This Row],[CUENTA]],$M$1:M1453)</f>
        <v>0</v>
      </c>
      <c r="M1454" s="2"/>
      <c r="N1454" s="84"/>
      <c r="O1454" s="84"/>
      <c r="P1454" s="162">
        <f>+EJECUTADO[[#This Row],[MONTO SOLICITADO]]-EJECUTADO[[#This Row],[RETENCION IVA]]-EJECUTADO[[#This Row],[RETENCION ISR]]</f>
        <v>0</v>
      </c>
      <c r="Q1454" s="84"/>
      <c r="R1454" s="84"/>
      <c r="T1454" s="168" t="e">
        <f t="shared" si="61"/>
        <v>#N/A</v>
      </c>
    </row>
    <row r="1455" spans="1:20" x14ac:dyDescent="0.25">
      <c r="A1455" s="6">
        <f t="shared" si="62"/>
        <v>1316</v>
      </c>
      <c r="B1455" s="21"/>
      <c r="C1455" s="126"/>
      <c r="E1455" s="65"/>
      <c r="G1455" s="161">
        <f>MONTH(EJECUTADO[[#This Row],[FECHA]])</f>
        <v>1</v>
      </c>
      <c r="H1455" s="163" t="str">
        <f>MID(EJECUTADO[[#This Row],[CUENTA]],1,4)</f>
        <v/>
      </c>
      <c r="I1455" s="163" t="e">
        <f>INDEX(CATALOGO[Descripción],MATCH(EJECUTADO[[#This Row],[APLICACIÓN]]&amp;"-00-00-00",CATALOGO[Código],0))</f>
        <v>#N/A</v>
      </c>
      <c r="J145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5" s="161" t="str">
        <f>IF((EJECUTADO[[#This Row],[MONTO DISPONIBLE ]]-EJECUTADO[[#This Row],[MONTO SOLICITADO]])&gt;=0,"PRESUPUESTO: SI","PRESUPUESTO: NO")</f>
        <v>PRESUPUESTO: SI</v>
      </c>
      <c r="L1455" s="162">
        <f>SUMIF(PRESUPUESTO[CUENTA],EJECUTADO[[#This Row],[CUENTA]],PRESUPUESTO[MONTO])-SUMIF($F$1:F1454,EJECUTADO[[#This Row],[CUENTA]],$M$1:M1454)</f>
        <v>0</v>
      </c>
      <c r="M1455" s="2"/>
      <c r="N1455" s="84"/>
      <c r="O1455" s="84"/>
      <c r="P1455" s="162">
        <f>+EJECUTADO[[#This Row],[MONTO SOLICITADO]]-EJECUTADO[[#This Row],[RETENCION IVA]]-EJECUTADO[[#This Row],[RETENCION ISR]]</f>
        <v>0</v>
      </c>
      <c r="Q1455" s="84"/>
      <c r="R1455" s="84"/>
      <c r="T1455" s="168" t="e">
        <f t="shared" si="61"/>
        <v>#N/A</v>
      </c>
    </row>
    <row r="1456" spans="1:20" x14ac:dyDescent="0.25">
      <c r="A1456" s="6">
        <f t="shared" si="62"/>
        <v>1317</v>
      </c>
      <c r="B1456" s="21"/>
      <c r="C1456" s="126"/>
      <c r="E1456" s="65"/>
      <c r="G1456" s="161">
        <f>MONTH(EJECUTADO[[#This Row],[FECHA]])</f>
        <v>1</v>
      </c>
      <c r="H1456" s="163" t="str">
        <f>MID(EJECUTADO[[#This Row],[CUENTA]],1,4)</f>
        <v/>
      </c>
      <c r="I1456" s="163" t="e">
        <f>INDEX(CATALOGO[Descripción],MATCH(EJECUTADO[[#This Row],[APLICACIÓN]]&amp;"-00-00-00",CATALOGO[Código],0))</f>
        <v>#N/A</v>
      </c>
      <c r="J145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6" s="161" t="str">
        <f>IF((EJECUTADO[[#This Row],[MONTO DISPONIBLE ]]-EJECUTADO[[#This Row],[MONTO SOLICITADO]])&gt;=0,"PRESUPUESTO: SI","PRESUPUESTO: NO")</f>
        <v>PRESUPUESTO: SI</v>
      </c>
      <c r="L1456" s="162">
        <f>SUMIF(PRESUPUESTO[CUENTA],EJECUTADO[[#This Row],[CUENTA]],PRESUPUESTO[MONTO])-SUMIF($F$1:F1455,EJECUTADO[[#This Row],[CUENTA]],$M$1:M1455)</f>
        <v>0</v>
      </c>
      <c r="M1456" s="2"/>
      <c r="N1456" s="84"/>
      <c r="O1456" s="84"/>
      <c r="P1456" s="162">
        <f>+EJECUTADO[[#This Row],[MONTO SOLICITADO]]-EJECUTADO[[#This Row],[RETENCION IVA]]-EJECUTADO[[#This Row],[RETENCION ISR]]</f>
        <v>0</v>
      </c>
      <c r="Q1456" s="84"/>
      <c r="R1456" s="84"/>
      <c r="T1456" s="168" t="e">
        <f t="shared" si="61"/>
        <v>#N/A</v>
      </c>
    </row>
    <row r="1457" spans="1:20" x14ac:dyDescent="0.25">
      <c r="A1457" s="6">
        <f t="shared" si="62"/>
        <v>1318</v>
      </c>
      <c r="B1457" s="21"/>
      <c r="C1457" s="126"/>
      <c r="E1457" s="65"/>
      <c r="G1457" s="161">
        <f>MONTH(EJECUTADO[[#This Row],[FECHA]])</f>
        <v>1</v>
      </c>
      <c r="H1457" s="163" t="str">
        <f>MID(EJECUTADO[[#This Row],[CUENTA]],1,4)</f>
        <v/>
      </c>
      <c r="I1457" s="163" t="e">
        <f>INDEX(CATALOGO[Descripción],MATCH(EJECUTADO[[#This Row],[APLICACIÓN]]&amp;"-00-00-00",CATALOGO[Código],0))</f>
        <v>#N/A</v>
      </c>
      <c r="J145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7" s="161" t="str">
        <f>IF((EJECUTADO[[#This Row],[MONTO DISPONIBLE ]]-EJECUTADO[[#This Row],[MONTO SOLICITADO]])&gt;=0,"PRESUPUESTO: SI","PRESUPUESTO: NO")</f>
        <v>PRESUPUESTO: SI</v>
      </c>
      <c r="L1457" s="162">
        <f>SUMIF(PRESUPUESTO[CUENTA],EJECUTADO[[#This Row],[CUENTA]],PRESUPUESTO[MONTO])-SUMIF($F$1:F1456,EJECUTADO[[#This Row],[CUENTA]],$M$1:M1456)</f>
        <v>0</v>
      </c>
      <c r="M1457" s="2"/>
      <c r="N1457" s="84"/>
      <c r="O1457" s="84"/>
      <c r="P1457" s="162">
        <f>+EJECUTADO[[#This Row],[MONTO SOLICITADO]]-EJECUTADO[[#This Row],[RETENCION IVA]]-EJECUTADO[[#This Row],[RETENCION ISR]]</f>
        <v>0</v>
      </c>
      <c r="Q1457" s="84"/>
      <c r="R1457" s="84"/>
      <c r="T1457" s="168" t="e">
        <f t="shared" si="61"/>
        <v>#N/A</v>
      </c>
    </row>
    <row r="1458" spans="1:20" x14ac:dyDescent="0.25">
      <c r="A1458" s="6">
        <f t="shared" si="62"/>
        <v>1319</v>
      </c>
      <c r="B1458" s="21"/>
      <c r="C1458" s="126"/>
      <c r="E1458" s="65"/>
      <c r="G1458" s="161">
        <f>MONTH(EJECUTADO[[#This Row],[FECHA]])</f>
        <v>1</v>
      </c>
      <c r="H1458" s="163" t="str">
        <f>MID(EJECUTADO[[#This Row],[CUENTA]],1,4)</f>
        <v/>
      </c>
      <c r="I1458" s="163" t="e">
        <f>INDEX(CATALOGO[Descripción],MATCH(EJECUTADO[[#This Row],[APLICACIÓN]]&amp;"-00-00-00",CATALOGO[Código],0))</f>
        <v>#N/A</v>
      </c>
      <c r="J145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8" s="161" t="str">
        <f>IF((EJECUTADO[[#This Row],[MONTO DISPONIBLE ]]-EJECUTADO[[#This Row],[MONTO SOLICITADO]])&gt;=0,"PRESUPUESTO: SI","PRESUPUESTO: NO")</f>
        <v>PRESUPUESTO: SI</v>
      </c>
      <c r="L1458" s="162">
        <f>SUMIF(PRESUPUESTO[CUENTA],EJECUTADO[[#This Row],[CUENTA]],PRESUPUESTO[MONTO])-SUMIF($F$1:F1457,EJECUTADO[[#This Row],[CUENTA]],$M$1:M1457)</f>
        <v>0</v>
      </c>
      <c r="M1458" s="2"/>
      <c r="N1458" s="84"/>
      <c r="O1458" s="84"/>
      <c r="P1458" s="162">
        <f>+EJECUTADO[[#This Row],[MONTO SOLICITADO]]-EJECUTADO[[#This Row],[RETENCION IVA]]-EJECUTADO[[#This Row],[RETENCION ISR]]</f>
        <v>0</v>
      </c>
      <c r="Q1458" s="84"/>
      <c r="R1458" s="84"/>
      <c r="T1458" s="168" t="e">
        <f t="shared" si="61"/>
        <v>#N/A</v>
      </c>
    </row>
    <row r="1459" spans="1:20" x14ac:dyDescent="0.25">
      <c r="A1459" s="6">
        <f t="shared" si="62"/>
        <v>1320</v>
      </c>
      <c r="B1459" s="21"/>
      <c r="C1459" s="126"/>
      <c r="E1459" s="65"/>
      <c r="G1459" s="161">
        <f>MONTH(EJECUTADO[[#This Row],[FECHA]])</f>
        <v>1</v>
      </c>
      <c r="H1459" s="163" t="str">
        <f>MID(EJECUTADO[[#This Row],[CUENTA]],1,4)</f>
        <v/>
      </c>
      <c r="I1459" s="163" t="e">
        <f>INDEX(CATALOGO[Descripción],MATCH(EJECUTADO[[#This Row],[APLICACIÓN]]&amp;"-00-00-00",CATALOGO[Código],0))</f>
        <v>#N/A</v>
      </c>
      <c r="J145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59" s="161" t="str">
        <f>IF((EJECUTADO[[#This Row],[MONTO DISPONIBLE ]]-EJECUTADO[[#This Row],[MONTO SOLICITADO]])&gt;=0,"PRESUPUESTO: SI","PRESUPUESTO: NO")</f>
        <v>PRESUPUESTO: SI</v>
      </c>
      <c r="L1459" s="162">
        <f>SUMIF(PRESUPUESTO[CUENTA],EJECUTADO[[#This Row],[CUENTA]],PRESUPUESTO[MONTO])-SUMIF($F$1:F1458,EJECUTADO[[#This Row],[CUENTA]],$M$1:M1458)</f>
        <v>0</v>
      </c>
      <c r="M1459" s="2"/>
      <c r="N1459" s="84"/>
      <c r="O1459" s="84"/>
      <c r="P1459" s="162">
        <f>+EJECUTADO[[#This Row],[MONTO SOLICITADO]]-EJECUTADO[[#This Row],[RETENCION IVA]]-EJECUTADO[[#This Row],[RETENCION ISR]]</f>
        <v>0</v>
      </c>
      <c r="Q1459" s="84"/>
      <c r="R1459" s="84"/>
      <c r="T1459" s="168" t="e">
        <f t="shared" si="61"/>
        <v>#N/A</v>
      </c>
    </row>
    <row r="1460" spans="1:20" x14ac:dyDescent="0.25">
      <c r="A1460" s="6">
        <f t="shared" si="62"/>
        <v>1321</v>
      </c>
      <c r="B1460" s="21"/>
      <c r="C1460" s="126"/>
      <c r="E1460" s="65"/>
      <c r="G1460" s="161">
        <f>MONTH(EJECUTADO[[#This Row],[FECHA]])</f>
        <v>1</v>
      </c>
      <c r="H1460" s="163" t="str">
        <f>MID(EJECUTADO[[#This Row],[CUENTA]],1,4)</f>
        <v/>
      </c>
      <c r="I1460" s="163" t="e">
        <f>INDEX(CATALOGO[Descripción],MATCH(EJECUTADO[[#This Row],[APLICACIÓN]]&amp;"-00-00-00",CATALOGO[Código],0))</f>
        <v>#N/A</v>
      </c>
      <c r="J146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0" s="161" t="str">
        <f>IF((EJECUTADO[[#This Row],[MONTO DISPONIBLE ]]-EJECUTADO[[#This Row],[MONTO SOLICITADO]])&gt;=0,"PRESUPUESTO: SI","PRESUPUESTO: NO")</f>
        <v>PRESUPUESTO: SI</v>
      </c>
      <c r="L1460" s="162">
        <f>SUMIF(PRESUPUESTO[CUENTA],EJECUTADO[[#This Row],[CUENTA]],PRESUPUESTO[MONTO])-SUMIF($F$1:F1459,EJECUTADO[[#This Row],[CUENTA]],$M$1:M1459)</f>
        <v>0</v>
      </c>
      <c r="M1460" s="2"/>
      <c r="N1460" s="84"/>
      <c r="O1460" s="84"/>
      <c r="P1460" s="162">
        <f>+EJECUTADO[[#This Row],[MONTO SOLICITADO]]-EJECUTADO[[#This Row],[RETENCION IVA]]-EJECUTADO[[#This Row],[RETENCION ISR]]</f>
        <v>0</v>
      </c>
      <c r="Q1460" s="84"/>
      <c r="R1460" s="84"/>
      <c r="T1460" s="168" t="e">
        <f t="shared" si="61"/>
        <v>#N/A</v>
      </c>
    </row>
    <row r="1461" spans="1:20" x14ac:dyDescent="0.25">
      <c r="A1461" s="6">
        <f t="shared" si="62"/>
        <v>1322</v>
      </c>
      <c r="B1461" s="21"/>
      <c r="C1461" s="126"/>
      <c r="E1461" s="65"/>
      <c r="G1461" s="161">
        <f>MONTH(EJECUTADO[[#This Row],[FECHA]])</f>
        <v>1</v>
      </c>
      <c r="H1461" s="163" t="str">
        <f>MID(EJECUTADO[[#This Row],[CUENTA]],1,4)</f>
        <v/>
      </c>
      <c r="I1461" s="163" t="e">
        <f>INDEX(CATALOGO[Descripción],MATCH(EJECUTADO[[#This Row],[APLICACIÓN]]&amp;"-00-00-00",CATALOGO[Código],0))</f>
        <v>#N/A</v>
      </c>
      <c r="J146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1" s="161" t="str">
        <f>IF((EJECUTADO[[#This Row],[MONTO DISPONIBLE ]]-EJECUTADO[[#This Row],[MONTO SOLICITADO]])&gt;=0,"PRESUPUESTO: SI","PRESUPUESTO: NO")</f>
        <v>PRESUPUESTO: SI</v>
      </c>
      <c r="L1461" s="162">
        <f>SUMIF(PRESUPUESTO[CUENTA],EJECUTADO[[#This Row],[CUENTA]],PRESUPUESTO[MONTO])-SUMIF($F$1:F1460,EJECUTADO[[#This Row],[CUENTA]],$M$1:M1460)</f>
        <v>0</v>
      </c>
      <c r="M1461" s="2"/>
      <c r="N1461" s="84"/>
      <c r="O1461" s="84"/>
      <c r="P1461" s="162">
        <f>+EJECUTADO[[#This Row],[MONTO SOLICITADO]]-EJECUTADO[[#This Row],[RETENCION IVA]]-EJECUTADO[[#This Row],[RETENCION ISR]]</f>
        <v>0</v>
      </c>
      <c r="Q1461" s="84"/>
      <c r="R1461" s="84"/>
      <c r="T1461" s="168" t="e">
        <f t="shared" si="61"/>
        <v>#N/A</v>
      </c>
    </row>
    <row r="1462" spans="1:20" x14ac:dyDescent="0.25">
      <c r="A1462" s="6">
        <f t="shared" si="62"/>
        <v>1323</v>
      </c>
      <c r="B1462" s="21"/>
      <c r="C1462" s="126"/>
      <c r="E1462" s="65"/>
      <c r="G1462" s="161">
        <f>MONTH(EJECUTADO[[#This Row],[FECHA]])</f>
        <v>1</v>
      </c>
      <c r="H1462" s="163" t="str">
        <f>MID(EJECUTADO[[#This Row],[CUENTA]],1,4)</f>
        <v/>
      </c>
      <c r="I1462" s="163" t="e">
        <f>INDEX(CATALOGO[Descripción],MATCH(EJECUTADO[[#This Row],[APLICACIÓN]]&amp;"-00-00-00",CATALOGO[Código],0))</f>
        <v>#N/A</v>
      </c>
      <c r="J146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2" s="161" t="str">
        <f>IF((EJECUTADO[[#This Row],[MONTO DISPONIBLE ]]-EJECUTADO[[#This Row],[MONTO SOLICITADO]])&gt;=0,"PRESUPUESTO: SI","PRESUPUESTO: NO")</f>
        <v>PRESUPUESTO: SI</v>
      </c>
      <c r="L1462" s="162">
        <f>SUMIF(PRESUPUESTO[CUENTA],EJECUTADO[[#This Row],[CUENTA]],PRESUPUESTO[MONTO])-SUMIF($F$1:F1461,EJECUTADO[[#This Row],[CUENTA]],$M$1:M1461)</f>
        <v>0</v>
      </c>
      <c r="M1462" s="2"/>
      <c r="N1462" s="84"/>
      <c r="O1462" s="84"/>
      <c r="P1462" s="162">
        <f>+EJECUTADO[[#This Row],[MONTO SOLICITADO]]-EJECUTADO[[#This Row],[RETENCION IVA]]-EJECUTADO[[#This Row],[RETENCION ISR]]</f>
        <v>0</v>
      </c>
      <c r="Q1462" s="84"/>
      <c r="R1462" s="84"/>
      <c r="T1462" s="168" t="e">
        <f t="shared" si="61"/>
        <v>#N/A</v>
      </c>
    </row>
    <row r="1463" spans="1:20" x14ac:dyDescent="0.25">
      <c r="A1463" s="6">
        <f t="shared" si="62"/>
        <v>1324</v>
      </c>
      <c r="B1463" s="21"/>
      <c r="C1463" s="126"/>
      <c r="E1463" s="65"/>
      <c r="G1463" s="161">
        <f>MONTH(EJECUTADO[[#This Row],[FECHA]])</f>
        <v>1</v>
      </c>
      <c r="H1463" s="163" t="str">
        <f>MID(EJECUTADO[[#This Row],[CUENTA]],1,4)</f>
        <v/>
      </c>
      <c r="I1463" s="163" t="e">
        <f>INDEX(CATALOGO[Descripción],MATCH(EJECUTADO[[#This Row],[APLICACIÓN]]&amp;"-00-00-00",CATALOGO[Código],0))</f>
        <v>#N/A</v>
      </c>
      <c r="J146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3" s="161" t="str">
        <f>IF((EJECUTADO[[#This Row],[MONTO DISPONIBLE ]]-EJECUTADO[[#This Row],[MONTO SOLICITADO]])&gt;=0,"PRESUPUESTO: SI","PRESUPUESTO: NO")</f>
        <v>PRESUPUESTO: SI</v>
      </c>
      <c r="L1463" s="162">
        <f>SUMIF(PRESUPUESTO[CUENTA],EJECUTADO[[#This Row],[CUENTA]],PRESUPUESTO[MONTO])-SUMIF($F$1:F1462,EJECUTADO[[#This Row],[CUENTA]],$M$1:M1462)</f>
        <v>0</v>
      </c>
      <c r="M1463" s="2"/>
      <c r="N1463" s="84"/>
      <c r="O1463" s="84"/>
      <c r="P1463" s="162">
        <f>+EJECUTADO[[#This Row],[MONTO SOLICITADO]]-EJECUTADO[[#This Row],[RETENCION IVA]]-EJECUTADO[[#This Row],[RETENCION ISR]]</f>
        <v>0</v>
      </c>
      <c r="Q1463" s="84"/>
      <c r="R1463" s="84"/>
      <c r="T1463" s="168" t="e">
        <f t="shared" si="61"/>
        <v>#N/A</v>
      </c>
    </row>
    <row r="1464" spans="1:20" x14ac:dyDescent="0.25">
      <c r="A1464" s="6">
        <f t="shared" si="62"/>
        <v>1325</v>
      </c>
      <c r="B1464" s="21"/>
      <c r="C1464" s="126"/>
      <c r="E1464" s="65"/>
      <c r="G1464" s="161">
        <f>MONTH(EJECUTADO[[#This Row],[FECHA]])</f>
        <v>1</v>
      </c>
      <c r="H1464" s="163" t="str">
        <f>MID(EJECUTADO[[#This Row],[CUENTA]],1,4)</f>
        <v/>
      </c>
      <c r="I1464" s="163" t="e">
        <f>INDEX(CATALOGO[Descripción],MATCH(EJECUTADO[[#This Row],[APLICACIÓN]]&amp;"-00-00-00",CATALOGO[Código],0))</f>
        <v>#N/A</v>
      </c>
      <c r="J146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4" s="161" t="str">
        <f>IF((EJECUTADO[[#This Row],[MONTO DISPONIBLE ]]-EJECUTADO[[#This Row],[MONTO SOLICITADO]])&gt;=0,"PRESUPUESTO: SI","PRESUPUESTO: NO")</f>
        <v>PRESUPUESTO: SI</v>
      </c>
      <c r="L1464" s="162">
        <f>SUMIF(PRESUPUESTO[CUENTA],EJECUTADO[[#This Row],[CUENTA]],PRESUPUESTO[MONTO])-SUMIF($F$1:F1463,EJECUTADO[[#This Row],[CUENTA]],$M$1:M1463)</f>
        <v>0</v>
      </c>
      <c r="M1464" s="2"/>
      <c r="N1464" s="84"/>
      <c r="O1464" s="84"/>
      <c r="P1464" s="162">
        <f>+EJECUTADO[[#This Row],[MONTO SOLICITADO]]-EJECUTADO[[#This Row],[RETENCION IVA]]-EJECUTADO[[#This Row],[RETENCION ISR]]</f>
        <v>0</v>
      </c>
      <c r="Q1464" s="84"/>
      <c r="R1464" s="84"/>
      <c r="T1464" s="168" t="e">
        <f t="shared" si="61"/>
        <v>#N/A</v>
      </c>
    </row>
    <row r="1465" spans="1:20" x14ac:dyDescent="0.25">
      <c r="A1465" s="6">
        <f t="shared" si="62"/>
        <v>1326</v>
      </c>
      <c r="B1465" s="21"/>
      <c r="C1465" s="126"/>
      <c r="E1465" s="65"/>
      <c r="G1465" s="161">
        <f>MONTH(EJECUTADO[[#This Row],[FECHA]])</f>
        <v>1</v>
      </c>
      <c r="H1465" s="163" t="str">
        <f>MID(EJECUTADO[[#This Row],[CUENTA]],1,4)</f>
        <v/>
      </c>
      <c r="I1465" s="163" t="e">
        <f>INDEX(CATALOGO[Descripción],MATCH(EJECUTADO[[#This Row],[APLICACIÓN]]&amp;"-00-00-00",CATALOGO[Código],0))</f>
        <v>#N/A</v>
      </c>
      <c r="J146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5" s="161" t="str">
        <f>IF((EJECUTADO[[#This Row],[MONTO DISPONIBLE ]]-EJECUTADO[[#This Row],[MONTO SOLICITADO]])&gt;=0,"PRESUPUESTO: SI","PRESUPUESTO: NO")</f>
        <v>PRESUPUESTO: SI</v>
      </c>
      <c r="L1465" s="162">
        <f>SUMIF(PRESUPUESTO[CUENTA],EJECUTADO[[#This Row],[CUENTA]],PRESUPUESTO[MONTO])-SUMIF($F$1:F1464,EJECUTADO[[#This Row],[CUENTA]],$M$1:M1464)</f>
        <v>0</v>
      </c>
      <c r="M1465" s="2"/>
      <c r="N1465" s="84"/>
      <c r="O1465" s="84"/>
      <c r="P1465" s="162">
        <f>+EJECUTADO[[#This Row],[MONTO SOLICITADO]]-EJECUTADO[[#This Row],[RETENCION IVA]]-EJECUTADO[[#This Row],[RETENCION ISR]]</f>
        <v>0</v>
      </c>
      <c r="Q1465" s="84"/>
      <c r="R1465" s="84"/>
      <c r="T1465" s="168" t="e">
        <f t="shared" si="61"/>
        <v>#N/A</v>
      </c>
    </row>
    <row r="1466" spans="1:20" x14ac:dyDescent="0.25">
      <c r="A1466" s="6">
        <f t="shared" si="62"/>
        <v>1327</v>
      </c>
      <c r="B1466" s="21"/>
      <c r="C1466" s="126"/>
      <c r="E1466" s="65"/>
      <c r="G1466" s="161">
        <f>MONTH(EJECUTADO[[#This Row],[FECHA]])</f>
        <v>1</v>
      </c>
      <c r="H1466" s="163" t="str">
        <f>MID(EJECUTADO[[#This Row],[CUENTA]],1,4)</f>
        <v/>
      </c>
      <c r="I1466" s="163" t="e">
        <f>INDEX(CATALOGO[Descripción],MATCH(EJECUTADO[[#This Row],[APLICACIÓN]]&amp;"-00-00-00",CATALOGO[Código],0))</f>
        <v>#N/A</v>
      </c>
      <c r="J146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6" s="161" t="str">
        <f>IF((EJECUTADO[[#This Row],[MONTO DISPONIBLE ]]-EJECUTADO[[#This Row],[MONTO SOLICITADO]])&gt;=0,"PRESUPUESTO: SI","PRESUPUESTO: NO")</f>
        <v>PRESUPUESTO: SI</v>
      </c>
      <c r="L1466" s="162">
        <f>SUMIF(PRESUPUESTO[CUENTA],EJECUTADO[[#This Row],[CUENTA]],PRESUPUESTO[MONTO])-SUMIF($F$1:F1465,EJECUTADO[[#This Row],[CUENTA]],$M$1:M1465)</f>
        <v>0</v>
      </c>
      <c r="M1466" s="2"/>
      <c r="N1466" s="84"/>
      <c r="O1466" s="84"/>
      <c r="P1466" s="162">
        <f>+EJECUTADO[[#This Row],[MONTO SOLICITADO]]-EJECUTADO[[#This Row],[RETENCION IVA]]-EJECUTADO[[#This Row],[RETENCION ISR]]</f>
        <v>0</v>
      </c>
      <c r="Q1466" s="84"/>
      <c r="R1466" s="84"/>
      <c r="T1466" s="168" t="e">
        <f t="shared" si="61"/>
        <v>#N/A</v>
      </c>
    </row>
    <row r="1467" spans="1:20" x14ac:dyDescent="0.25">
      <c r="A1467" s="6">
        <f t="shared" si="62"/>
        <v>1328</v>
      </c>
      <c r="B1467" s="21"/>
      <c r="C1467" s="126"/>
      <c r="E1467" s="65"/>
      <c r="G1467" s="161">
        <f>MONTH(EJECUTADO[[#This Row],[FECHA]])</f>
        <v>1</v>
      </c>
      <c r="H1467" s="163" t="str">
        <f>MID(EJECUTADO[[#This Row],[CUENTA]],1,4)</f>
        <v/>
      </c>
      <c r="I1467" s="163" t="e">
        <f>INDEX(CATALOGO[Descripción],MATCH(EJECUTADO[[#This Row],[APLICACIÓN]]&amp;"-00-00-00",CATALOGO[Código],0))</f>
        <v>#N/A</v>
      </c>
      <c r="J146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7" s="161" t="str">
        <f>IF((EJECUTADO[[#This Row],[MONTO DISPONIBLE ]]-EJECUTADO[[#This Row],[MONTO SOLICITADO]])&gt;=0,"PRESUPUESTO: SI","PRESUPUESTO: NO")</f>
        <v>PRESUPUESTO: SI</v>
      </c>
      <c r="L1467" s="162">
        <f>SUMIF(PRESUPUESTO[CUENTA],EJECUTADO[[#This Row],[CUENTA]],PRESUPUESTO[MONTO])-SUMIF($F$1:F1466,EJECUTADO[[#This Row],[CUENTA]],$M$1:M1466)</f>
        <v>0</v>
      </c>
      <c r="M1467" s="2"/>
      <c r="N1467" s="84"/>
      <c r="O1467" s="84"/>
      <c r="P1467" s="162">
        <f>+EJECUTADO[[#This Row],[MONTO SOLICITADO]]-EJECUTADO[[#This Row],[RETENCION IVA]]-EJECUTADO[[#This Row],[RETENCION ISR]]</f>
        <v>0</v>
      </c>
      <c r="Q1467" s="84"/>
      <c r="R1467" s="84"/>
      <c r="T1467" s="168" t="e">
        <f t="shared" si="61"/>
        <v>#N/A</v>
      </c>
    </row>
    <row r="1468" spans="1:20" x14ac:dyDescent="0.25">
      <c r="A1468" s="6">
        <f t="shared" si="62"/>
        <v>1329</v>
      </c>
      <c r="B1468" s="21"/>
      <c r="C1468" s="126"/>
      <c r="E1468" s="65"/>
      <c r="G1468" s="161">
        <f>MONTH(EJECUTADO[[#This Row],[FECHA]])</f>
        <v>1</v>
      </c>
      <c r="H1468" s="163" t="str">
        <f>MID(EJECUTADO[[#This Row],[CUENTA]],1,4)</f>
        <v/>
      </c>
      <c r="I1468" s="163" t="e">
        <f>INDEX(CATALOGO[Descripción],MATCH(EJECUTADO[[#This Row],[APLICACIÓN]]&amp;"-00-00-00",CATALOGO[Código],0))</f>
        <v>#N/A</v>
      </c>
      <c r="J146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8" s="161" t="str">
        <f>IF((EJECUTADO[[#This Row],[MONTO DISPONIBLE ]]-EJECUTADO[[#This Row],[MONTO SOLICITADO]])&gt;=0,"PRESUPUESTO: SI","PRESUPUESTO: NO")</f>
        <v>PRESUPUESTO: SI</v>
      </c>
      <c r="L1468" s="162">
        <f>SUMIF(PRESUPUESTO[CUENTA],EJECUTADO[[#This Row],[CUENTA]],PRESUPUESTO[MONTO])-SUMIF($F$1:F1467,EJECUTADO[[#This Row],[CUENTA]],$M$1:M1467)</f>
        <v>0</v>
      </c>
      <c r="M1468" s="2"/>
      <c r="N1468" s="84"/>
      <c r="O1468" s="84"/>
      <c r="P1468" s="162">
        <f>+EJECUTADO[[#This Row],[MONTO SOLICITADO]]-EJECUTADO[[#This Row],[RETENCION IVA]]-EJECUTADO[[#This Row],[RETENCION ISR]]</f>
        <v>0</v>
      </c>
      <c r="Q1468" s="84"/>
      <c r="R1468" s="84"/>
      <c r="T1468" s="168" t="e">
        <f t="shared" si="61"/>
        <v>#N/A</v>
      </c>
    </row>
    <row r="1469" spans="1:20" x14ac:dyDescent="0.25">
      <c r="A1469" s="6">
        <f t="shared" si="62"/>
        <v>1330</v>
      </c>
      <c r="B1469" s="21"/>
      <c r="C1469" s="126"/>
      <c r="E1469" s="65"/>
      <c r="G1469" s="161">
        <f>MONTH(EJECUTADO[[#This Row],[FECHA]])</f>
        <v>1</v>
      </c>
      <c r="H1469" s="163" t="str">
        <f>MID(EJECUTADO[[#This Row],[CUENTA]],1,4)</f>
        <v/>
      </c>
      <c r="I1469" s="163" t="e">
        <f>INDEX(CATALOGO[Descripción],MATCH(EJECUTADO[[#This Row],[APLICACIÓN]]&amp;"-00-00-00",CATALOGO[Código],0))</f>
        <v>#N/A</v>
      </c>
      <c r="J146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69" s="161" t="str">
        <f>IF((EJECUTADO[[#This Row],[MONTO DISPONIBLE ]]-EJECUTADO[[#This Row],[MONTO SOLICITADO]])&gt;=0,"PRESUPUESTO: SI","PRESUPUESTO: NO")</f>
        <v>PRESUPUESTO: SI</v>
      </c>
      <c r="L1469" s="162">
        <f>SUMIF(PRESUPUESTO[CUENTA],EJECUTADO[[#This Row],[CUENTA]],PRESUPUESTO[MONTO])-SUMIF($F$1:F1468,EJECUTADO[[#This Row],[CUENTA]],$M$1:M1468)</f>
        <v>0</v>
      </c>
      <c r="M1469" s="2"/>
      <c r="N1469" s="84"/>
      <c r="O1469" s="84"/>
      <c r="P1469" s="162">
        <f>+EJECUTADO[[#This Row],[MONTO SOLICITADO]]-EJECUTADO[[#This Row],[RETENCION IVA]]-EJECUTADO[[#This Row],[RETENCION ISR]]</f>
        <v>0</v>
      </c>
      <c r="Q1469" s="84"/>
      <c r="R1469" s="84"/>
      <c r="T1469" s="168" t="e">
        <f t="shared" ref="T1469:T1532" si="63">_xlfn.CONCAT(I1469," - ",J1469," Disponible $",L1469," Solicitado $",M1469," ",K1469,)</f>
        <v>#N/A</v>
      </c>
    </row>
    <row r="1470" spans="1:20" x14ac:dyDescent="0.25">
      <c r="A1470" s="6">
        <f t="shared" si="62"/>
        <v>1331</v>
      </c>
      <c r="B1470" s="21"/>
      <c r="C1470" s="126"/>
      <c r="E1470" s="65"/>
      <c r="G1470" s="161">
        <f>MONTH(EJECUTADO[[#This Row],[FECHA]])</f>
        <v>1</v>
      </c>
      <c r="H1470" s="163" t="str">
        <f>MID(EJECUTADO[[#This Row],[CUENTA]],1,4)</f>
        <v/>
      </c>
      <c r="I1470" s="163" t="e">
        <f>INDEX(CATALOGO[Descripción],MATCH(EJECUTADO[[#This Row],[APLICACIÓN]]&amp;"-00-00-00",CATALOGO[Código],0))</f>
        <v>#N/A</v>
      </c>
      <c r="J147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0" s="161" t="str">
        <f>IF((EJECUTADO[[#This Row],[MONTO DISPONIBLE ]]-EJECUTADO[[#This Row],[MONTO SOLICITADO]])&gt;=0,"PRESUPUESTO: SI","PRESUPUESTO: NO")</f>
        <v>PRESUPUESTO: SI</v>
      </c>
      <c r="L1470" s="162">
        <f>SUMIF(PRESUPUESTO[CUENTA],EJECUTADO[[#This Row],[CUENTA]],PRESUPUESTO[MONTO])-SUMIF($F$1:F1469,EJECUTADO[[#This Row],[CUENTA]],$M$1:M1469)</f>
        <v>0</v>
      </c>
      <c r="M1470" s="2"/>
      <c r="N1470" s="84"/>
      <c r="O1470" s="84"/>
      <c r="P1470" s="162">
        <f>+EJECUTADO[[#This Row],[MONTO SOLICITADO]]-EJECUTADO[[#This Row],[RETENCION IVA]]-EJECUTADO[[#This Row],[RETENCION ISR]]</f>
        <v>0</v>
      </c>
      <c r="Q1470" s="84"/>
      <c r="R1470" s="84"/>
      <c r="T1470" s="168" t="e">
        <f t="shared" si="63"/>
        <v>#N/A</v>
      </c>
    </row>
    <row r="1471" spans="1:20" x14ac:dyDescent="0.25">
      <c r="A1471" s="6">
        <f t="shared" si="62"/>
        <v>1332</v>
      </c>
      <c r="B1471" s="21"/>
      <c r="C1471" s="126"/>
      <c r="E1471" s="65"/>
      <c r="G1471" s="161">
        <f>MONTH(EJECUTADO[[#This Row],[FECHA]])</f>
        <v>1</v>
      </c>
      <c r="H1471" s="163" t="str">
        <f>MID(EJECUTADO[[#This Row],[CUENTA]],1,4)</f>
        <v/>
      </c>
      <c r="I1471" s="163" t="e">
        <f>INDEX(CATALOGO[Descripción],MATCH(EJECUTADO[[#This Row],[APLICACIÓN]]&amp;"-00-00-00",CATALOGO[Código],0))</f>
        <v>#N/A</v>
      </c>
      <c r="J147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1" s="161" t="str">
        <f>IF((EJECUTADO[[#This Row],[MONTO DISPONIBLE ]]-EJECUTADO[[#This Row],[MONTO SOLICITADO]])&gt;=0,"PRESUPUESTO: SI","PRESUPUESTO: NO")</f>
        <v>PRESUPUESTO: SI</v>
      </c>
      <c r="L1471" s="162">
        <f>SUMIF(PRESUPUESTO[CUENTA],EJECUTADO[[#This Row],[CUENTA]],PRESUPUESTO[MONTO])-SUMIF($F$1:F1470,EJECUTADO[[#This Row],[CUENTA]],$M$1:M1470)</f>
        <v>0</v>
      </c>
      <c r="M1471" s="2"/>
      <c r="N1471" s="84"/>
      <c r="O1471" s="84"/>
      <c r="P1471" s="162">
        <f>+EJECUTADO[[#This Row],[MONTO SOLICITADO]]-EJECUTADO[[#This Row],[RETENCION IVA]]-EJECUTADO[[#This Row],[RETENCION ISR]]</f>
        <v>0</v>
      </c>
      <c r="Q1471" s="84"/>
      <c r="R1471" s="84"/>
      <c r="T1471" s="168" t="e">
        <f t="shared" si="63"/>
        <v>#N/A</v>
      </c>
    </row>
    <row r="1472" spans="1:20" x14ac:dyDescent="0.25">
      <c r="A1472" s="6">
        <f t="shared" si="62"/>
        <v>1333</v>
      </c>
      <c r="B1472" s="21"/>
      <c r="C1472" s="126"/>
      <c r="E1472" s="65"/>
      <c r="G1472" s="161">
        <f>MONTH(EJECUTADO[[#This Row],[FECHA]])</f>
        <v>1</v>
      </c>
      <c r="H1472" s="163" t="str">
        <f>MID(EJECUTADO[[#This Row],[CUENTA]],1,4)</f>
        <v/>
      </c>
      <c r="I1472" s="163" t="e">
        <f>INDEX(CATALOGO[Descripción],MATCH(EJECUTADO[[#This Row],[APLICACIÓN]]&amp;"-00-00-00",CATALOGO[Código],0))</f>
        <v>#N/A</v>
      </c>
      <c r="J147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2" s="161" t="str">
        <f>IF((EJECUTADO[[#This Row],[MONTO DISPONIBLE ]]-EJECUTADO[[#This Row],[MONTO SOLICITADO]])&gt;=0,"PRESUPUESTO: SI","PRESUPUESTO: NO")</f>
        <v>PRESUPUESTO: SI</v>
      </c>
      <c r="L1472" s="162">
        <f>SUMIF(PRESUPUESTO[CUENTA],EJECUTADO[[#This Row],[CUENTA]],PRESUPUESTO[MONTO])-SUMIF($F$1:F1471,EJECUTADO[[#This Row],[CUENTA]],$M$1:M1471)</f>
        <v>0</v>
      </c>
      <c r="M1472" s="2"/>
      <c r="N1472" s="84"/>
      <c r="O1472" s="84"/>
      <c r="P1472" s="162">
        <f>+EJECUTADO[[#This Row],[MONTO SOLICITADO]]-EJECUTADO[[#This Row],[RETENCION IVA]]-EJECUTADO[[#This Row],[RETENCION ISR]]</f>
        <v>0</v>
      </c>
      <c r="Q1472" s="84"/>
      <c r="R1472" s="84"/>
      <c r="T1472" s="168" t="e">
        <f t="shared" si="63"/>
        <v>#N/A</v>
      </c>
    </row>
    <row r="1473" spans="1:20" x14ac:dyDescent="0.25">
      <c r="A1473" s="6">
        <f t="shared" si="62"/>
        <v>1334</v>
      </c>
      <c r="B1473" s="21"/>
      <c r="C1473" s="126"/>
      <c r="E1473" s="65"/>
      <c r="G1473" s="161">
        <f>MONTH(EJECUTADO[[#This Row],[FECHA]])</f>
        <v>1</v>
      </c>
      <c r="H1473" s="163" t="str">
        <f>MID(EJECUTADO[[#This Row],[CUENTA]],1,4)</f>
        <v/>
      </c>
      <c r="I1473" s="163" t="e">
        <f>INDEX(CATALOGO[Descripción],MATCH(EJECUTADO[[#This Row],[APLICACIÓN]]&amp;"-00-00-00",CATALOGO[Código],0))</f>
        <v>#N/A</v>
      </c>
      <c r="J147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3" s="161" t="str">
        <f>IF((EJECUTADO[[#This Row],[MONTO DISPONIBLE ]]-EJECUTADO[[#This Row],[MONTO SOLICITADO]])&gt;=0,"PRESUPUESTO: SI","PRESUPUESTO: NO")</f>
        <v>PRESUPUESTO: SI</v>
      </c>
      <c r="L1473" s="162">
        <f>SUMIF(PRESUPUESTO[CUENTA],EJECUTADO[[#This Row],[CUENTA]],PRESUPUESTO[MONTO])-SUMIF($F$1:F1472,EJECUTADO[[#This Row],[CUENTA]],$M$1:M1472)</f>
        <v>0</v>
      </c>
      <c r="M1473" s="2"/>
      <c r="N1473" s="84"/>
      <c r="O1473" s="84"/>
      <c r="P1473" s="162">
        <f>+EJECUTADO[[#This Row],[MONTO SOLICITADO]]-EJECUTADO[[#This Row],[RETENCION IVA]]-EJECUTADO[[#This Row],[RETENCION ISR]]</f>
        <v>0</v>
      </c>
      <c r="Q1473" s="84"/>
      <c r="R1473" s="84"/>
      <c r="T1473" s="168" t="e">
        <f t="shared" si="63"/>
        <v>#N/A</v>
      </c>
    </row>
    <row r="1474" spans="1:20" x14ac:dyDescent="0.25">
      <c r="A1474" s="6">
        <f t="shared" ref="A1474:A1537" si="64">+A1473+1</f>
        <v>1335</v>
      </c>
      <c r="B1474" s="21"/>
      <c r="C1474" s="126"/>
      <c r="E1474" s="65"/>
      <c r="G1474" s="161">
        <f>MONTH(EJECUTADO[[#This Row],[FECHA]])</f>
        <v>1</v>
      </c>
      <c r="H1474" s="163" t="str">
        <f>MID(EJECUTADO[[#This Row],[CUENTA]],1,4)</f>
        <v/>
      </c>
      <c r="I1474" s="163" t="e">
        <f>INDEX(CATALOGO[Descripción],MATCH(EJECUTADO[[#This Row],[APLICACIÓN]]&amp;"-00-00-00",CATALOGO[Código],0))</f>
        <v>#N/A</v>
      </c>
      <c r="J147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4" s="161" t="str">
        <f>IF((EJECUTADO[[#This Row],[MONTO DISPONIBLE ]]-EJECUTADO[[#This Row],[MONTO SOLICITADO]])&gt;=0,"PRESUPUESTO: SI","PRESUPUESTO: NO")</f>
        <v>PRESUPUESTO: SI</v>
      </c>
      <c r="L1474" s="162">
        <f>SUMIF(PRESUPUESTO[CUENTA],EJECUTADO[[#This Row],[CUENTA]],PRESUPUESTO[MONTO])-SUMIF($F$1:F1473,EJECUTADO[[#This Row],[CUENTA]],$M$1:M1473)</f>
        <v>0</v>
      </c>
      <c r="M1474" s="2"/>
      <c r="N1474" s="84"/>
      <c r="O1474" s="84"/>
      <c r="P1474" s="162">
        <f>+EJECUTADO[[#This Row],[MONTO SOLICITADO]]-EJECUTADO[[#This Row],[RETENCION IVA]]-EJECUTADO[[#This Row],[RETENCION ISR]]</f>
        <v>0</v>
      </c>
      <c r="Q1474" s="84"/>
      <c r="R1474" s="84"/>
      <c r="T1474" s="168" t="e">
        <f t="shared" si="63"/>
        <v>#N/A</v>
      </c>
    </row>
    <row r="1475" spans="1:20" x14ac:dyDescent="0.25">
      <c r="A1475" s="6">
        <f t="shared" si="64"/>
        <v>1336</v>
      </c>
      <c r="B1475" s="21"/>
      <c r="C1475" s="126"/>
      <c r="E1475" s="65"/>
      <c r="G1475" s="161">
        <f>MONTH(EJECUTADO[[#This Row],[FECHA]])</f>
        <v>1</v>
      </c>
      <c r="H1475" s="163" t="str">
        <f>MID(EJECUTADO[[#This Row],[CUENTA]],1,4)</f>
        <v/>
      </c>
      <c r="I1475" s="163" t="e">
        <f>INDEX(CATALOGO[Descripción],MATCH(EJECUTADO[[#This Row],[APLICACIÓN]]&amp;"-00-00-00",CATALOGO[Código],0))</f>
        <v>#N/A</v>
      </c>
      <c r="J147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5" s="161" t="str">
        <f>IF((EJECUTADO[[#This Row],[MONTO DISPONIBLE ]]-EJECUTADO[[#This Row],[MONTO SOLICITADO]])&gt;=0,"PRESUPUESTO: SI","PRESUPUESTO: NO")</f>
        <v>PRESUPUESTO: SI</v>
      </c>
      <c r="L1475" s="162">
        <f>SUMIF(PRESUPUESTO[CUENTA],EJECUTADO[[#This Row],[CUENTA]],PRESUPUESTO[MONTO])-SUMIF($F$1:F1474,EJECUTADO[[#This Row],[CUENTA]],$M$1:M1474)</f>
        <v>0</v>
      </c>
      <c r="M1475" s="2"/>
      <c r="N1475" s="84"/>
      <c r="O1475" s="84"/>
      <c r="P1475" s="162">
        <f>+EJECUTADO[[#This Row],[MONTO SOLICITADO]]-EJECUTADO[[#This Row],[RETENCION IVA]]-EJECUTADO[[#This Row],[RETENCION ISR]]</f>
        <v>0</v>
      </c>
      <c r="Q1475" s="84"/>
      <c r="R1475" s="84"/>
      <c r="T1475" s="168" t="e">
        <f t="shared" si="63"/>
        <v>#N/A</v>
      </c>
    </row>
    <row r="1476" spans="1:20" x14ac:dyDescent="0.25">
      <c r="A1476" s="6">
        <f t="shared" si="64"/>
        <v>1337</v>
      </c>
      <c r="B1476" s="21"/>
      <c r="C1476" s="126"/>
      <c r="E1476" s="65"/>
      <c r="G1476" s="161">
        <f>MONTH(EJECUTADO[[#This Row],[FECHA]])</f>
        <v>1</v>
      </c>
      <c r="H1476" s="163" t="str">
        <f>MID(EJECUTADO[[#This Row],[CUENTA]],1,4)</f>
        <v/>
      </c>
      <c r="I1476" s="163" t="e">
        <f>INDEX(CATALOGO[Descripción],MATCH(EJECUTADO[[#This Row],[APLICACIÓN]]&amp;"-00-00-00",CATALOGO[Código],0))</f>
        <v>#N/A</v>
      </c>
      <c r="J147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6" s="161" t="str">
        <f>IF((EJECUTADO[[#This Row],[MONTO DISPONIBLE ]]-EJECUTADO[[#This Row],[MONTO SOLICITADO]])&gt;=0,"PRESUPUESTO: SI","PRESUPUESTO: NO")</f>
        <v>PRESUPUESTO: SI</v>
      </c>
      <c r="L1476" s="162">
        <f>SUMIF(PRESUPUESTO[CUENTA],EJECUTADO[[#This Row],[CUENTA]],PRESUPUESTO[MONTO])-SUMIF($F$1:F1475,EJECUTADO[[#This Row],[CUENTA]],$M$1:M1475)</f>
        <v>0</v>
      </c>
      <c r="M1476" s="2"/>
      <c r="N1476" s="84"/>
      <c r="O1476" s="84"/>
      <c r="P1476" s="162">
        <f>+EJECUTADO[[#This Row],[MONTO SOLICITADO]]-EJECUTADO[[#This Row],[RETENCION IVA]]-EJECUTADO[[#This Row],[RETENCION ISR]]</f>
        <v>0</v>
      </c>
      <c r="Q1476" s="84"/>
      <c r="R1476" s="84"/>
      <c r="T1476" s="168" t="e">
        <f t="shared" si="63"/>
        <v>#N/A</v>
      </c>
    </row>
    <row r="1477" spans="1:20" x14ac:dyDescent="0.25">
      <c r="A1477" s="6">
        <f t="shared" si="64"/>
        <v>1338</v>
      </c>
      <c r="B1477" s="21"/>
      <c r="C1477" s="126"/>
      <c r="E1477" s="65"/>
      <c r="G1477" s="161">
        <f>MONTH(EJECUTADO[[#This Row],[FECHA]])</f>
        <v>1</v>
      </c>
      <c r="H1477" s="163" t="str">
        <f>MID(EJECUTADO[[#This Row],[CUENTA]],1,4)</f>
        <v/>
      </c>
      <c r="I1477" s="163" t="e">
        <f>INDEX(CATALOGO[Descripción],MATCH(EJECUTADO[[#This Row],[APLICACIÓN]]&amp;"-00-00-00",CATALOGO[Código],0))</f>
        <v>#N/A</v>
      </c>
      <c r="J147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7" s="161" t="str">
        <f>IF((EJECUTADO[[#This Row],[MONTO DISPONIBLE ]]-EJECUTADO[[#This Row],[MONTO SOLICITADO]])&gt;=0,"PRESUPUESTO: SI","PRESUPUESTO: NO")</f>
        <v>PRESUPUESTO: SI</v>
      </c>
      <c r="L1477" s="162">
        <f>SUMIF(PRESUPUESTO[CUENTA],EJECUTADO[[#This Row],[CUENTA]],PRESUPUESTO[MONTO])-SUMIF($F$1:F1476,EJECUTADO[[#This Row],[CUENTA]],$M$1:M1476)</f>
        <v>0</v>
      </c>
      <c r="M1477" s="2"/>
      <c r="N1477" s="84"/>
      <c r="O1477" s="84"/>
      <c r="P1477" s="162">
        <f>+EJECUTADO[[#This Row],[MONTO SOLICITADO]]-EJECUTADO[[#This Row],[RETENCION IVA]]-EJECUTADO[[#This Row],[RETENCION ISR]]</f>
        <v>0</v>
      </c>
      <c r="Q1477" s="84"/>
      <c r="R1477" s="84"/>
      <c r="T1477" s="168" t="e">
        <f t="shared" si="63"/>
        <v>#N/A</v>
      </c>
    </row>
    <row r="1478" spans="1:20" x14ac:dyDescent="0.25">
      <c r="A1478" s="6">
        <f t="shared" si="64"/>
        <v>1339</v>
      </c>
      <c r="B1478" s="21"/>
      <c r="C1478" s="126"/>
      <c r="E1478" s="65"/>
      <c r="G1478" s="161">
        <f>MONTH(EJECUTADO[[#This Row],[FECHA]])</f>
        <v>1</v>
      </c>
      <c r="H1478" s="163" t="str">
        <f>MID(EJECUTADO[[#This Row],[CUENTA]],1,4)</f>
        <v/>
      </c>
      <c r="I1478" s="163" t="e">
        <f>INDEX(CATALOGO[Descripción],MATCH(EJECUTADO[[#This Row],[APLICACIÓN]]&amp;"-00-00-00",CATALOGO[Código],0))</f>
        <v>#N/A</v>
      </c>
      <c r="J147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8" s="161" t="str">
        <f>IF((EJECUTADO[[#This Row],[MONTO DISPONIBLE ]]-EJECUTADO[[#This Row],[MONTO SOLICITADO]])&gt;=0,"PRESUPUESTO: SI","PRESUPUESTO: NO")</f>
        <v>PRESUPUESTO: SI</v>
      </c>
      <c r="L1478" s="162">
        <f>SUMIF(PRESUPUESTO[CUENTA],EJECUTADO[[#This Row],[CUENTA]],PRESUPUESTO[MONTO])-SUMIF($F$1:F1477,EJECUTADO[[#This Row],[CUENTA]],$M$1:M1477)</f>
        <v>0</v>
      </c>
      <c r="M1478" s="2"/>
      <c r="N1478" s="84"/>
      <c r="O1478" s="84"/>
      <c r="P1478" s="162">
        <f>+EJECUTADO[[#This Row],[MONTO SOLICITADO]]-EJECUTADO[[#This Row],[RETENCION IVA]]-EJECUTADO[[#This Row],[RETENCION ISR]]</f>
        <v>0</v>
      </c>
      <c r="Q1478" s="84"/>
      <c r="R1478" s="84"/>
      <c r="T1478" s="168" t="e">
        <f t="shared" si="63"/>
        <v>#N/A</v>
      </c>
    </row>
    <row r="1479" spans="1:20" x14ac:dyDescent="0.25">
      <c r="A1479" s="6">
        <f t="shared" si="64"/>
        <v>1340</v>
      </c>
      <c r="B1479" s="21"/>
      <c r="C1479" s="126"/>
      <c r="E1479" s="65"/>
      <c r="G1479" s="161">
        <f>MONTH(EJECUTADO[[#This Row],[FECHA]])</f>
        <v>1</v>
      </c>
      <c r="H1479" s="163" t="str">
        <f>MID(EJECUTADO[[#This Row],[CUENTA]],1,4)</f>
        <v/>
      </c>
      <c r="I1479" s="163" t="e">
        <f>INDEX(CATALOGO[Descripción],MATCH(EJECUTADO[[#This Row],[APLICACIÓN]]&amp;"-00-00-00",CATALOGO[Código],0))</f>
        <v>#N/A</v>
      </c>
      <c r="J147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79" s="161" t="str">
        <f>IF((EJECUTADO[[#This Row],[MONTO DISPONIBLE ]]-EJECUTADO[[#This Row],[MONTO SOLICITADO]])&gt;=0,"PRESUPUESTO: SI","PRESUPUESTO: NO")</f>
        <v>PRESUPUESTO: SI</v>
      </c>
      <c r="L1479" s="162">
        <f>SUMIF(PRESUPUESTO[CUENTA],EJECUTADO[[#This Row],[CUENTA]],PRESUPUESTO[MONTO])-SUMIF($F$1:F1478,EJECUTADO[[#This Row],[CUENTA]],$M$1:M1478)</f>
        <v>0</v>
      </c>
      <c r="M1479" s="2"/>
      <c r="N1479" s="84"/>
      <c r="O1479" s="84"/>
      <c r="P1479" s="162">
        <f>+EJECUTADO[[#This Row],[MONTO SOLICITADO]]-EJECUTADO[[#This Row],[RETENCION IVA]]-EJECUTADO[[#This Row],[RETENCION ISR]]</f>
        <v>0</v>
      </c>
      <c r="Q1479" s="84"/>
      <c r="R1479" s="84"/>
      <c r="T1479" s="168" t="e">
        <f t="shared" si="63"/>
        <v>#N/A</v>
      </c>
    </row>
    <row r="1480" spans="1:20" x14ac:dyDescent="0.25">
      <c r="A1480" s="6">
        <f t="shared" si="64"/>
        <v>1341</v>
      </c>
      <c r="B1480" s="21"/>
      <c r="C1480" s="126"/>
      <c r="E1480" s="65"/>
      <c r="G1480" s="161">
        <f>MONTH(EJECUTADO[[#This Row],[FECHA]])</f>
        <v>1</v>
      </c>
      <c r="H1480" s="163" t="str">
        <f>MID(EJECUTADO[[#This Row],[CUENTA]],1,4)</f>
        <v/>
      </c>
      <c r="I1480" s="163" t="e">
        <f>INDEX(CATALOGO[Descripción],MATCH(EJECUTADO[[#This Row],[APLICACIÓN]]&amp;"-00-00-00",CATALOGO[Código],0))</f>
        <v>#N/A</v>
      </c>
      <c r="J148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0" s="161" t="str">
        <f>IF((EJECUTADO[[#This Row],[MONTO DISPONIBLE ]]-EJECUTADO[[#This Row],[MONTO SOLICITADO]])&gt;=0,"PRESUPUESTO: SI","PRESUPUESTO: NO")</f>
        <v>PRESUPUESTO: SI</v>
      </c>
      <c r="L1480" s="162">
        <f>SUMIF(PRESUPUESTO[CUENTA],EJECUTADO[[#This Row],[CUENTA]],PRESUPUESTO[MONTO])-SUMIF($F$1:F1479,EJECUTADO[[#This Row],[CUENTA]],$M$1:M1479)</f>
        <v>0</v>
      </c>
      <c r="M1480" s="2"/>
      <c r="N1480" s="84"/>
      <c r="O1480" s="84"/>
      <c r="P1480" s="162">
        <f>+EJECUTADO[[#This Row],[MONTO SOLICITADO]]-EJECUTADO[[#This Row],[RETENCION IVA]]-EJECUTADO[[#This Row],[RETENCION ISR]]</f>
        <v>0</v>
      </c>
      <c r="Q1480" s="84"/>
      <c r="R1480" s="84"/>
      <c r="T1480" s="168" t="e">
        <f t="shared" si="63"/>
        <v>#N/A</v>
      </c>
    </row>
    <row r="1481" spans="1:20" x14ac:dyDescent="0.25">
      <c r="A1481" s="6">
        <f t="shared" si="64"/>
        <v>1342</v>
      </c>
      <c r="B1481" s="21"/>
      <c r="C1481" s="126"/>
      <c r="E1481" s="65"/>
      <c r="G1481" s="161">
        <f>MONTH(EJECUTADO[[#This Row],[FECHA]])</f>
        <v>1</v>
      </c>
      <c r="H1481" s="163" t="str">
        <f>MID(EJECUTADO[[#This Row],[CUENTA]],1,4)</f>
        <v/>
      </c>
      <c r="I1481" s="163" t="e">
        <f>INDEX(CATALOGO[Descripción],MATCH(EJECUTADO[[#This Row],[APLICACIÓN]]&amp;"-00-00-00",CATALOGO[Código],0))</f>
        <v>#N/A</v>
      </c>
      <c r="J148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1" s="161" t="str">
        <f>IF((EJECUTADO[[#This Row],[MONTO DISPONIBLE ]]-EJECUTADO[[#This Row],[MONTO SOLICITADO]])&gt;=0,"PRESUPUESTO: SI","PRESUPUESTO: NO")</f>
        <v>PRESUPUESTO: SI</v>
      </c>
      <c r="L1481" s="162">
        <f>SUMIF(PRESUPUESTO[CUENTA],EJECUTADO[[#This Row],[CUENTA]],PRESUPUESTO[MONTO])-SUMIF($F$1:F1480,EJECUTADO[[#This Row],[CUENTA]],$M$1:M1480)</f>
        <v>0</v>
      </c>
      <c r="M1481" s="2"/>
      <c r="N1481" s="84"/>
      <c r="O1481" s="84"/>
      <c r="P1481" s="162">
        <f>+EJECUTADO[[#This Row],[MONTO SOLICITADO]]-EJECUTADO[[#This Row],[RETENCION IVA]]-EJECUTADO[[#This Row],[RETENCION ISR]]</f>
        <v>0</v>
      </c>
      <c r="Q1481" s="84"/>
      <c r="R1481" s="84"/>
      <c r="T1481" s="168" t="e">
        <f t="shared" si="63"/>
        <v>#N/A</v>
      </c>
    </row>
    <row r="1482" spans="1:20" x14ac:dyDescent="0.25">
      <c r="A1482" s="6">
        <f t="shared" si="64"/>
        <v>1343</v>
      </c>
      <c r="B1482" s="21"/>
      <c r="C1482" s="126"/>
      <c r="E1482" s="65"/>
      <c r="G1482" s="161">
        <f>MONTH(EJECUTADO[[#This Row],[FECHA]])</f>
        <v>1</v>
      </c>
      <c r="H1482" s="163" t="str">
        <f>MID(EJECUTADO[[#This Row],[CUENTA]],1,4)</f>
        <v/>
      </c>
      <c r="I1482" s="163" t="e">
        <f>INDEX(CATALOGO[Descripción],MATCH(EJECUTADO[[#This Row],[APLICACIÓN]]&amp;"-00-00-00",CATALOGO[Código],0))</f>
        <v>#N/A</v>
      </c>
      <c r="J148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2" s="161" t="str">
        <f>IF((EJECUTADO[[#This Row],[MONTO DISPONIBLE ]]-EJECUTADO[[#This Row],[MONTO SOLICITADO]])&gt;=0,"PRESUPUESTO: SI","PRESUPUESTO: NO")</f>
        <v>PRESUPUESTO: SI</v>
      </c>
      <c r="L1482" s="162">
        <f>SUMIF(PRESUPUESTO[CUENTA],EJECUTADO[[#This Row],[CUENTA]],PRESUPUESTO[MONTO])-SUMIF($F$1:F1481,EJECUTADO[[#This Row],[CUENTA]],$M$1:M1481)</f>
        <v>0</v>
      </c>
      <c r="M1482" s="2"/>
      <c r="N1482" s="84"/>
      <c r="O1482" s="84"/>
      <c r="P1482" s="162">
        <f>+EJECUTADO[[#This Row],[MONTO SOLICITADO]]-EJECUTADO[[#This Row],[RETENCION IVA]]-EJECUTADO[[#This Row],[RETENCION ISR]]</f>
        <v>0</v>
      </c>
      <c r="Q1482" s="84"/>
      <c r="R1482" s="84"/>
      <c r="T1482" s="168" t="e">
        <f t="shared" si="63"/>
        <v>#N/A</v>
      </c>
    </row>
    <row r="1483" spans="1:20" x14ac:dyDescent="0.25">
      <c r="A1483" s="6">
        <f t="shared" si="64"/>
        <v>1344</v>
      </c>
      <c r="B1483" s="21"/>
      <c r="C1483" s="126"/>
      <c r="E1483" s="65"/>
      <c r="G1483" s="161">
        <f>MONTH(EJECUTADO[[#This Row],[FECHA]])</f>
        <v>1</v>
      </c>
      <c r="H1483" s="163" t="str">
        <f>MID(EJECUTADO[[#This Row],[CUENTA]],1,4)</f>
        <v/>
      </c>
      <c r="I1483" s="163" t="e">
        <f>INDEX(CATALOGO[Descripción],MATCH(EJECUTADO[[#This Row],[APLICACIÓN]]&amp;"-00-00-00",CATALOGO[Código],0))</f>
        <v>#N/A</v>
      </c>
      <c r="J148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3" s="161" t="str">
        <f>IF((EJECUTADO[[#This Row],[MONTO DISPONIBLE ]]-EJECUTADO[[#This Row],[MONTO SOLICITADO]])&gt;=0,"PRESUPUESTO: SI","PRESUPUESTO: NO")</f>
        <v>PRESUPUESTO: SI</v>
      </c>
      <c r="L1483" s="162">
        <f>SUMIF(PRESUPUESTO[CUENTA],EJECUTADO[[#This Row],[CUENTA]],PRESUPUESTO[MONTO])-SUMIF($F$1:F1482,EJECUTADO[[#This Row],[CUENTA]],$M$1:M1482)</f>
        <v>0</v>
      </c>
      <c r="M1483" s="2"/>
      <c r="N1483" s="84"/>
      <c r="O1483" s="84"/>
      <c r="P1483" s="162">
        <f>+EJECUTADO[[#This Row],[MONTO SOLICITADO]]-EJECUTADO[[#This Row],[RETENCION IVA]]-EJECUTADO[[#This Row],[RETENCION ISR]]</f>
        <v>0</v>
      </c>
      <c r="Q1483" s="84"/>
      <c r="R1483" s="84"/>
      <c r="T1483" s="168" t="e">
        <f t="shared" si="63"/>
        <v>#N/A</v>
      </c>
    </row>
    <row r="1484" spans="1:20" x14ac:dyDescent="0.25">
      <c r="A1484" s="6">
        <f t="shared" si="64"/>
        <v>1345</v>
      </c>
      <c r="B1484" s="21"/>
      <c r="C1484" s="126"/>
      <c r="E1484" s="65"/>
      <c r="G1484" s="161">
        <f>MONTH(EJECUTADO[[#This Row],[FECHA]])</f>
        <v>1</v>
      </c>
      <c r="H1484" s="163" t="str">
        <f>MID(EJECUTADO[[#This Row],[CUENTA]],1,4)</f>
        <v/>
      </c>
      <c r="I1484" s="163" t="e">
        <f>INDEX(CATALOGO[Descripción],MATCH(EJECUTADO[[#This Row],[APLICACIÓN]]&amp;"-00-00-00",CATALOGO[Código],0))</f>
        <v>#N/A</v>
      </c>
      <c r="J148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4" s="161" t="str">
        <f>IF((EJECUTADO[[#This Row],[MONTO DISPONIBLE ]]-EJECUTADO[[#This Row],[MONTO SOLICITADO]])&gt;=0,"PRESUPUESTO: SI","PRESUPUESTO: NO")</f>
        <v>PRESUPUESTO: SI</v>
      </c>
      <c r="L1484" s="162">
        <f>SUMIF(PRESUPUESTO[CUENTA],EJECUTADO[[#This Row],[CUENTA]],PRESUPUESTO[MONTO])-SUMIF($F$1:F1483,EJECUTADO[[#This Row],[CUENTA]],$M$1:M1483)</f>
        <v>0</v>
      </c>
      <c r="M1484" s="2"/>
      <c r="N1484" s="84"/>
      <c r="O1484" s="84"/>
      <c r="P1484" s="162">
        <f>+EJECUTADO[[#This Row],[MONTO SOLICITADO]]-EJECUTADO[[#This Row],[RETENCION IVA]]-EJECUTADO[[#This Row],[RETENCION ISR]]</f>
        <v>0</v>
      </c>
      <c r="Q1484" s="84"/>
      <c r="R1484" s="84"/>
      <c r="T1484" s="168" t="e">
        <f t="shared" si="63"/>
        <v>#N/A</v>
      </c>
    </row>
    <row r="1485" spans="1:20" x14ac:dyDescent="0.25">
      <c r="A1485" s="6">
        <f t="shared" si="64"/>
        <v>1346</v>
      </c>
      <c r="B1485" s="21"/>
      <c r="C1485" s="126"/>
      <c r="E1485" s="65"/>
      <c r="G1485" s="161">
        <f>MONTH(EJECUTADO[[#This Row],[FECHA]])</f>
        <v>1</v>
      </c>
      <c r="H1485" s="163" t="str">
        <f>MID(EJECUTADO[[#This Row],[CUENTA]],1,4)</f>
        <v/>
      </c>
      <c r="I1485" s="163" t="e">
        <f>INDEX(CATALOGO[Descripción],MATCH(EJECUTADO[[#This Row],[APLICACIÓN]]&amp;"-00-00-00",CATALOGO[Código],0))</f>
        <v>#N/A</v>
      </c>
      <c r="J148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5" s="161" t="str">
        <f>IF((EJECUTADO[[#This Row],[MONTO DISPONIBLE ]]-EJECUTADO[[#This Row],[MONTO SOLICITADO]])&gt;=0,"PRESUPUESTO: SI","PRESUPUESTO: NO")</f>
        <v>PRESUPUESTO: SI</v>
      </c>
      <c r="L1485" s="162">
        <f>SUMIF(PRESUPUESTO[CUENTA],EJECUTADO[[#This Row],[CUENTA]],PRESUPUESTO[MONTO])-SUMIF($F$1:F1484,EJECUTADO[[#This Row],[CUENTA]],$M$1:M1484)</f>
        <v>0</v>
      </c>
      <c r="M1485" s="2"/>
      <c r="N1485" s="84"/>
      <c r="O1485" s="84"/>
      <c r="P1485" s="162">
        <f>+EJECUTADO[[#This Row],[MONTO SOLICITADO]]-EJECUTADO[[#This Row],[RETENCION IVA]]-EJECUTADO[[#This Row],[RETENCION ISR]]</f>
        <v>0</v>
      </c>
      <c r="Q1485" s="84"/>
      <c r="R1485" s="84"/>
      <c r="T1485" s="168" t="e">
        <f t="shared" si="63"/>
        <v>#N/A</v>
      </c>
    </row>
    <row r="1486" spans="1:20" x14ac:dyDescent="0.25">
      <c r="A1486" s="6">
        <f t="shared" si="64"/>
        <v>1347</v>
      </c>
      <c r="B1486" s="21"/>
      <c r="C1486" s="126"/>
      <c r="E1486" s="65"/>
      <c r="G1486" s="161">
        <f>MONTH(EJECUTADO[[#This Row],[FECHA]])</f>
        <v>1</v>
      </c>
      <c r="H1486" s="163" t="str">
        <f>MID(EJECUTADO[[#This Row],[CUENTA]],1,4)</f>
        <v/>
      </c>
      <c r="I1486" s="163" t="e">
        <f>INDEX(CATALOGO[Descripción],MATCH(EJECUTADO[[#This Row],[APLICACIÓN]]&amp;"-00-00-00",CATALOGO[Código],0))</f>
        <v>#N/A</v>
      </c>
      <c r="J148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6" s="161" t="str">
        <f>IF((EJECUTADO[[#This Row],[MONTO DISPONIBLE ]]-EJECUTADO[[#This Row],[MONTO SOLICITADO]])&gt;=0,"PRESUPUESTO: SI","PRESUPUESTO: NO")</f>
        <v>PRESUPUESTO: SI</v>
      </c>
      <c r="L1486" s="162">
        <f>SUMIF(PRESUPUESTO[CUENTA],EJECUTADO[[#This Row],[CUENTA]],PRESUPUESTO[MONTO])-SUMIF($F$1:F1485,EJECUTADO[[#This Row],[CUENTA]],$M$1:M1485)</f>
        <v>0</v>
      </c>
      <c r="M1486" s="2"/>
      <c r="N1486" s="84"/>
      <c r="O1486" s="84"/>
      <c r="P1486" s="162">
        <f>+EJECUTADO[[#This Row],[MONTO SOLICITADO]]-EJECUTADO[[#This Row],[RETENCION IVA]]-EJECUTADO[[#This Row],[RETENCION ISR]]</f>
        <v>0</v>
      </c>
      <c r="Q1486" s="84"/>
      <c r="R1486" s="84"/>
      <c r="T1486" s="168" t="e">
        <f t="shared" si="63"/>
        <v>#N/A</v>
      </c>
    </row>
    <row r="1487" spans="1:20" x14ac:dyDescent="0.25">
      <c r="A1487" s="6">
        <f t="shared" si="64"/>
        <v>1348</v>
      </c>
      <c r="B1487" s="21"/>
      <c r="C1487" s="126"/>
      <c r="E1487" s="65"/>
      <c r="G1487" s="161">
        <f>MONTH(EJECUTADO[[#This Row],[FECHA]])</f>
        <v>1</v>
      </c>
      <c r="H1487" s="163" t="str">
        <f>MID(EJECUTADO[[#This Row],[CUENTA]],1,4)</f>
        <v/>
      </c>
      <c r="I1487" s="163" t="e">
        <f>INDEX(CATALOGO[Descripción],MATCH(EJECUTADO[[#This Row],[APLICACIÓN]]&amp;"-00-00-00",CATALOGO[Código],0))</f>
        <v>#N/A</v>
      </c>
      <c r="J148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7" s="161" t="str">
        <f>IF((EJECUTADO[[#This Row],[MONTO DISPONIBLE ]]-EJECUTADO[[#This Row],[MONTO SOLICITADO]])&gt;=0,"PRESUPUESTO: SI","PRESUPUESTO: NO")</f>
        <v>PRESUPUESTO: SI</v>
      </c>
      <c r="L1487" s="162">
        <f>SUMIF(PRESUPUESTO[CUENTA],EJECUTADO[[#This Row],[CUENTA]],PRESUPUESTO[MONTO])-SUMIF($F$1:F1486,EJECUTADO[[#This Row],[CUENTA]],$M$1:M1486)</f>
        <v>0</v>
      </c>
      <c r="M1487" s="2"/>
      <c r="N1487" s="84"/>
      <c r="O1487" s="84"/>
      <c r="P1487" s="162">
        <f>+EJECUTADO[[#This Row],[MONTO SOLICITADO]]-EJECUTADO[[#This Row],[RETENCION IVA]]-EJECUTADO[[#This Row],[RETENCION ISR]]</f>
        <v>0</v>
      </c>
      <c r="Q1487" s="84"/>
      <c r="R1487" s="84"/>
      <c r="T1487" s="168" t="e">
        <f t="shared" si="63"/>
        <v>#N/A</v>
      </c>
    </row>
    <row r="1488" spans="1:20" x14ac:dyDescent="0.25">
      <c r="A1488" s="6">
        <f t="shared" si="64"/>
        <v>1349</v>
      </c>
      <c r="B1488" s="21"/>
      <c r="C1488" s="126"/>
      <c r="E1488" s="65"/>
      <c r="G1488" s="161">
        <f>MONTH(EJECUTADO[[#This Row],[FECHA]])</f>
        <v>1</v>
      </c>
      <c r="H1488" s="163" t="str">
        <f>MID(EJECUTADO[[#This Row],[CUENTA]],1,4)</f>
        <v/>
      </c>
      <c r="I1488" s="163" t="e">
        <f>INDEX(CATALOGO[Descripción],MATCH(EJECUTADO[[#This Row],[APLICACIÓN]]&amp;"-00-00-00",CATALOGO[Código],0))</f>
        <v>#N/A</v>
      </c>
      <c r="J148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8" s="161" t="str">
        <f>IF((EJECUTADO[[#This Row],[MONTO DISPONIBLE ]]-EJECUTADO[[#This Row],[MONTO SOLICITADO]])&gt;=0,"PRESUPUESTO: SI","PRESUPUESTO: NO")</f>
        <v>PRESUPUESTO: SI</v>
      </c>
      <c r="L1488" s="162">
        <f>SUMIF(PRESUPUESTO[CUENTA],EJECUTADO[[#This Row],[CUENTA]],PRESUPUESTO[MONTO])-SUMIF($F$1:F1487,EJECUTADO[[#This Row],[CUENTA]],$M$1:M1487)</f>
        <v>0</v>
      </c>
      <c r="M1488" s="2"/>
      <c r="N1488" s="84"/>
      <c r="O1488" s="84"/>
      <c r="P1488" s="162">
        <f>+EJECUTADO[[#This Row],[MONTO SOLICITADO]]-EJECUTADO[[#This Row],[RETENCION IVA]]-EJECUTADO[[#This Row],[RETENCION ISR]]</f>
        <v>0</v>
      </c>
      <c r="Q1488" s="84"/>
      <c r="R1488" s="84"/>
      <c r="T1488" s="168" t="e">
        <f t="shared" si="63"/>
        <v>#N/A</v>
      </c>
    </row>
    <row r="1489" spans="1:20" x14ac:dyDescent="0.25">
      <c r="A1489" s="6">
        <f t="shared" si="64"/>
        <v>1350</v>
      </c>
      <c r="B1489" s="21"/>
      <c r="C1489" s="126"/>
      <c r="E1489" s="65"/>
      <c r="G1489" s="161">
        <f>MONTH(EJECUTADO[[#This Row],[FECHA]])</f>
        <v>1</v>
      </c>
      <c r="H1489" s="163" t="str">
        <f>MID(EJECUTADO[[#This Row],[CUENTA]],1,4)</f>
        <v/>
      </c>
      <c r="I1489" s="163" t="e">
        <f>INDEX(CATALOGO[Descripción],MATCH(EJECUTADO[[#This Row],[APLICACIÓN]]&amp;"-00-00-00",CATALOGO[Código],0))</f>
        <v>#N/A</v>
      </c>
      <c r="J148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89" s="161" t="str">
        <f>IF((EJECUTADO[[#This Row],[MONTO DISPONIBLE ]]-EJECUTADO[[#This Row],[MONTO SOLICITADO]])&gt;=0,"PRESUPUESTO: SI","PRESUPUESTO: NO")</f>
        <v>PRESUPUESTO: SI</v>
      </c>
      <c r="L1489" s="162">
        <f>SUMIF(PRESUPUESTO[CUENTA],EJECUTADO[[#This Row],[CUENTA]],PRESUPUESTO[MONTO])-SUMIF($F$1:F1488,EJECUTADO[[#This Row],[CUENTA]],$M$1:M1488)</f>
        <v>0</v>
      </c>
      <c r="M1489" s="2"/>
      <c r="N1489" s="84"/>
      <c r="O1489" s="84"/>
      <c r="P1489" s="162">
        <f>+EJECUTADO[[#This Row],[MONTO SOLICITADO]]-EJECUTADO[[#This Row],[RETENCION IVA]]-EJECUTADO[[#This Row],[RETENCION ISR]]</f>
        <v>0</v>
      </c>
      <c r="Q1489" s="84"/>
      <c r="R1489" s="84"/>
      <c r="T1489" s="168" t="e">
        <f t="shared" si="63"/>
        <v>#N/A</v>
      </c>
    </row>
    <row r="1490" spans="1:20" x14ac:dyDescent="0.25">
      <c r="A1490" s="6">
        <f t="shared" si="64"/>
        <v>1351</v>
      </c>
      <c r="B1490" s="21"/>
      <c r="C1490" s="126"/>
      <c r="E1490" s="65"/>
      <c r="G1490" s="161">
        <f>MONTH(EJECUTADO[[#This Row],[FECHA]])</f>
        <v>1</v>
      </c>
      <c r="H1490" s="163" t="str">
        <f>MID(EJECUTADO[[#This Row],[CUENTA]],1,4)</f>
        <v/>
      </c>
      <c r="I1490" s="163" t="e">
        <f>INDEX(CATALOGO[Descripción],MATCH(EJECUTADO[[#This Row],[APLICACIÓN]]&amp;"-00-00-00",CATALOGO[Código],0))</f>
        <v>#N/A</v>
      </c>
      <c r="J149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0" s="161" t="str">
        <f>IF((EJECUTADO[[#This Row],[MONTO DISPONIBLE ]]-EJECUTADO[[#This Row],[MONTO SOLICITADO]])&gt;=0,"PRESUPUESTO: SI","PRESUPUESTO: NO")</f>
        <v>PRESUPUESTO: SI</v>
      </c>
      <c r="L1490" s="162">
        <f>SUMIF(PRESUPUESTO[CUENTA],EJECUTADO[[#This Row],[CUENTA]],PRESUPUESTO[MONTO])-SUMIF($F$1:F1489,EJECUTADO[[#This Row],[CUENTA]],$M$1:M1489)</f>
        <v>0</v>
      </c>
      <c r="M1490" s="2"/>
      <c r="N1490" s="84"/>
      <c r="O1490" s="84"/>
      <c r="P1490" s="162">
        <f>+EJECUTADO[[#This Row],[MONTO SOLICITADO]]-EJECUTADO[[#This Row],[RETENCION IVA]]-EJECUTADO[[#This Row],[RETENCION ISR]]</f>
        <v>0</v>
      </c>
      <c r="Q1490" s="84"/>
      <c r="R1490" s="84"/>
      <c r="T1490" s="168" t="e">
        <f t="shared" si="63"/>
        <v>#N/A</v>
      </c>
    </row>
    <row r="1491" spans="1:20" x14ac:dyDescent="0.25">
      <c r="A1491" s="6">
        <f t="shared" si="64"/>
        <v>1352</v>
      </c>
      <c r="B1491" s="21"/>
      <c r="C1491" s="126"/>
      <c r="E1491" s="65"/>
      <c r="G1491" s="161">
        <f>MONTH(EJECUTADO[[#This Row],[FECHA]])</f>
        <v>1</v>
      </c>
      <c r="H1491" s="163" t="str">
        <f>MID(EJECUTADO[[#This Row],[CUENTA]],1,4)</f>
        <v/>
      </c>
      <c r="I1491" s="163" t="e">
        <f>INDEX(CATALOGO[Descripción],MATCH(EJECUTADO[[#This Row],[APLICACIÓN]]&amp;"-00-00-00",CATALOGO[Código],0))</f>
        <v>#N/A</v>
      </c>
      <c r="J149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1" s="161" t="str">
        <f>IF((EJECUTADO[[#This Row],[MONTO DISPONIBLE ]]-EJECUTADO[[#This Row],[MONTO SOLICITADO]])&gt;=0,"PRESUPUESTO: SI","PRESUPUESTO: NO")</f>
        <v>PRESUPUESTO: SI</v>
      </c>
      <c r="L1491" s="162">
        <f>SUMIF(PRESUPUESTO[CUENTA],EJECUTADO[[#This Row],[CUENTA]],PRESUPUESTO[MONTO])-SUMIF($F$1:F1490,EJECUTADO[[#This Row],[CUENTA]],$M$1:M1490)</f>
        <v>0</v>
      </c>
      <c r="M1491" s="2"/>
      <c r="N1491" s="84"/>
      <c r="O1491" s="84"/>
      <c r="P1491" s="162">
        <f>+EJECUTADO[[#This Row],[MONTO SOLICITADO]]-EJECUTADO[[#This Row],[RETENCION IVA]]-EJECUTADO[[#This Row],[RETENCION ISR]]</f>
        <v>0</v>
      </c>
      <c r="Q1491" s="84"/>
      <c r="R1491" s="84"/>
      <c r="T1491" s="168" t="e">
        <f t="shared" si="63"/>
        <v>#N/A</v>
      </c>
    </row>
    <row r="1492" spans="1:20" x14ac:dyDescent="0.25">
      <c r="A1492" s="6">
        <f t="shared" si="64"/>
        <v>1353</v>
      </c>
      <c r="B1492" s="21"/>
      <c r="C1492" s="126"/>
      <c r="E1492" s="65"/>
      <c r="G1492" s="161">
        <f>MONTH(EJECUTADO[[#This Row],[FECHA]])</f>
        <v>1</v>
      </c>
      <c r="H1492" s="163" t="str">
        <f>MID(EJECUTADO[[#This Row],[CUENTA]],1,4)</f>
        <v/>
      </c>
      <c r="I1492" s="163" t="e">
        <f>INDEX(CATALOGO[Descripción],MATCH(EJECUTADO[[#This Row],[APLICACIÓN]]&amp;"-00-00-00",CATALOGO[Código],0))</f>
        <v>#N/A</v>
      </c>
      <c r="J149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2" s="161" t="str">
        <f>IF((EJECUTADO[[#This Row],[MONTO DISPONIBLE ]]-EJECUTADO[[#This Row],[MONTO SOLICITADO]])&gt;=0,"PRESUPUESTO: SI","PRESUPUESTO: NO")</f>
        <v>PRESUPUESTO: SI</v>
      </c>
      <c r="L1492" s="162">
        <f>SUMIF(PRESUPUESTO[CUENTA],EJECUTADO[[#This Row],[CUENTA]],PRESUPUESTO[MONTO])-SUMIF($F$1:F1491,EJECUTADO[[#This Row],[CUENTA]],$M$1:M1491)</f>
        <v>0</v>
      </c>
      <c r="M1492" s="2"/>
      <c r="N1492" s="84"/>
      <c r="O1492" s="84"/>
      <c r="P1492" s="162">
        <f>+EJECUTADO[[#This Row],[MONTO SOLICITADO]]-EJECUTADO[[#This Row],[RETENCION IVA]]-EJECUTADO[[#This Row],[RETENCION ISR]]</f>
        <v>0</v>
      </c>
      <c r="Q1492" s="84"/>
      <c r="R1492" s="84"/>
      <c r="T1492" s="168" t="e">
        <f t="shared" si="63"/>
        <v>#N/A</v>
      </c>
    </row>
    <row r="1493" spans="1:20" x14ac:dyDescent="0.25">
      <c r="A1493" s="6">
        <f t="shared" si="64"/>
        <v>1354</v>
      </c>
      <c r="B1493" s="21"/>
      <c r="C1493" s="126"/>
      <c r="E1493" s="65"/>
      <c r="G1493" s="161">
        <f>MONTH(EJECUTADO[[#This Row],[FECHA]])</f>
        <v>1</v>
      </c>
      <c r="H1493" s="163" t="str">
        <f>MID(EJECUTADO[[#This Row],[CUENTA]],1,4)</f>
        <v/>
      </c>
      <c r="I1493" s="163" t="e">
        <f>INDEX(CATALOGO[Descripción],MATCH(EJECUTADO[[#This Row],[APLICACIÓN]]&amp;"-00-00-00",CATALOGO[Código],0))</f>
        <v>#N/A</v>
      </c>
      <c r="J149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3" s="161" t="str">
        <f>IF((EJECUTADO[[#This Row],[MONTO DISPONIBLE ]]-EJECUTADO[[#This Row],[MONTO SOLICITADO]])&gt;=0,"PRESUPUESTO: SI","PRESUPUESTO: NO")</f>
        <v>PRESUPUESTO: SI</v>
      </c>
      <c r="L1493" s="162">
        <f>SUMIF(PRESUPUESTO[CUENTA],EJECUTADO[[#This Row],[CUENTA]],PRESUPUESTO[MONTO])-SUMIF($F$1:F1492,EJECUTADO[[#This Row],[CUENTA]],$M$1:M1492)</f>
        <v>0</v>
      </c>
      <c r="M1493" s="2"/>
      <c r="N1493" s="84"/>
      <c r="O1493" s="84"/>
      <c r="P1493" s="162">
        <f>+EJECUTADO[[#This Row],[MONTO SOLICITADO]]-EJECUTADO[[#This Row],[RETENCION IVA]]-EJECUTADO[[#This Row],[RETENCION ISR]]</f>
        <v>0</v>
      </c>
      <c r="Q1493" s="84"/>
      <c r="R1493" s="84"/>
      <c r="T1493" s="168" t="e">
        <f t="shared" si="63"/>
        <v>#N/A</v>
      </c>
    </row>
    <row r="1494" spans="1:20" x14ac:dyDescent="0.25">
      <c r="A1494" s="6">
        <f t="shared" si="64"/>
        <v>1355</v>
      </c>
      <c r="B1494" s="21"/>
      <c r="C1494" s="126"/>
      <c r="E1494" s="65"/>
      <c r="G1494" s="161">
        <f>MONTH(EJECUTADO[[#This Row],[FECHA]])</f>
        <v>1</v>
      </c>
      <c r="H1494" s="163" t="str">
        <f>MID(EJECUTADO[[#This Row],[CUENTA]],1,4)</f>
        <v/>
      </c>
      <c r="I1494" s="163" t="e">
        <f>INDEX(CATALOGO[Descripción],MATCH(EJECUTADO[[#This Row],[APLICACIÓN]]&amp;"-00-00-00",CATALOGO[Código],0))</f>
        <v>#N/A</v>
      </c>
      <c r="J149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4" s="161" t="str">
        <f>IF((EJECUTADO[[#This Row],[MONTO DISPONIBLE ]]-EJECUTADO[[#This Row],[MONTO SOLICITADO]])&gt;=0,"PRESUPUESTO: SI","PRESUPUESTO: NO")</f>
        <v>PRESUPUESTO: SI</v>
      </c>
      <c r="L1494" s="162">
        <f>SUMIF(PRESUPUESTO[CUENTA],EJECUTADO[[#This Row],[CUENTA]],PRESUPUESTO[MONTO])-SUMIF($F$1:F1493,EJECUTADO[[#This Row],[CUENTA]],$M$1:M1493)</f>
        <v>0</v>
      </c>
      <c r="M1494" s="2"/>
      <c r="N1494" s="84"/>
      <c r="O1494" s="84"/>
      <c r="P1494" s="162">
        <f>+EJECUTADO[[#This Row],[MONTO SOLICITADO]]-EJECUTADO[[#This Row],[RETENCION IVA]]-EJECUTADO[[#This Row],[RETENCION ISR]]</f>
        <v>0</v>
      </c>
      <c r="Q1494" s="84"/>
      <c r="R1494" s="84"/>
      <c r="T1494" s="168" t="e">
        <f t="shared" si="63"/>
        <v>#N/A</v>
      </c>
    </row>
    <row r="1495" spans="1:20" x14ac:dyDescent="0.25">
      <c r="A1495" s="6">
        <f t="shared" si="64"/>
        <v>1356</v>
      </c>
      <c r="B1495" s="21"/>
      <c r="C1495" s="126"/>
      <c r="E1495" s="65"/>
      <c r="G1495" s="161">
        <f>MONTH(EJECUTADO[[#This Row],[FECHA]])</f>
        <v>1</v>
      </c>
      <c r="H1495" s="163" t="str">
        <f>MID(EJECUTADO[[#This Row],[CUENTA]],1,4)</f>
        <v/>
      </c>
      <c r="I1495" s="163" t="e">
        <f>INDEX(CATALOGO[Descripción],MATCH(EJECUTADO[[#This Row],[APLICACIÓN]]&amp;"-00-00-00",CATALOGO[Código],0))</f>
        <v>#N/A</v>
      </c>
      <c r="J149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5" s="161" t="str">
        <f>IF((EJECUTADO[[#This Row],[MONTO DISPONIBLE ]]-EJECUTADO[[#This Row],[MONTO SOLICITADO]])&gt;=0,"PRESUPUESTO: SI","PRESUPUESTO: NO")</f>
        <v>PRESUPUESTO: SI</v>
      </c>
      <c r="L1495" s="162">
        <f>SUMIF(PRESUPUESTO[CUENTA],EJECUTADO[[#This Row],[CUENTA]],PRESUPUESTO[MONTO])-SUMIF($F$1:F1494,EJECUTADO[[#This Row],[CUENTA]],$M$1:M1494)</f>
        <v>0</v>
      </c>
      <c r="M1495" s="2"/>
      <c r="N1495" s="84"/>
      <c r="O1495" s="84"/>
      <c r="P1495" s="162">
        <f>+EJECUTADO[[#This Row],[MONTO SOLICITADO]]-EJECUTADO[[#This Row],[RETENCION IVA]]-EJECUTADO[[#This Row],[RETENCION ISR]]</f>
        <v>0</v>
      </c>
      <c r="Q1495" s="84"/>
      <c r="R1495" s="84"/>
      <c r="T1495" s="168" t="e">
        <f t="shared" si="63"/>
        <v>#N/A</v>
      </c>
    </row>
    <row r="1496" spans="1:20" x14ac:dyDescent="0.25">
      <c r="A1496" s="6">
        <f t="shared" si="64"/>
        <v>1357</v>
      </c>
      <c r="B1496" s="21"/>
      <c r="C1496" s="126"/>
      <c r="E1496" s="65"/>
      <c r="G1496" s="161">
        <f>MONTH(EJECUTADO[[#This Row],[FECHA]])</f>
        <v>1</v>
      </c>
      <c r="H1496" s="163" t="str">
        <f>MID(EJECUTADO[[#This Row],[CUENTA]],1,4)</f>
        <v/>
      </c>
      <c r="I1496" s="163" t="e">
        <f>INDEX(CATALOGO[Descripción],MATCH(EJECUTADO[[#This Row],[APLICACIÓN]]&amp;"-00-00-00",CATALOGO[Código],0))</f>
        <v>#N/A</v>
      </c>
      <c r="J149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6" s="161" t="str">
        <f>IF((EJECUTADO[[#This Row],[MONTO DISPONIBLE ]]-EJECUTADO[[#This Row],[MONTO SOLICITADO]])&gt;=0,"PRESUPUESTO: SI","PRESUPUESTO: NO")</f>
        <v>PRESUPUESTO: SI</v>
      </c>
      <c r="L1496" s="162">
        <f>SUMIF(PRESUPUESTO[CUENTA],EJECUTADO[[#This Row],[CUENTA]],PRESUPUESTO[MONTO])-SUMIF($F$1:F1495,EJECUTADO[[#This Row],[CUENTA]],$M$1:M1495)</f>
        <v>0</v>
      </c>
      <c r="M1496" s="2"/>
      <c r="N1496" s="84"/>
      <c r="O1496" s="84"/>
      <c r="P1496" s="162">
        <f>+EJECUTADO[[#This Row],[MONTO SOLICITADO]]-EJECUTADO[[#This Row],[RETENCION IVA]]-EJECUTADO[[#This Row],[RETENCION ISR]]</f>
        <v>0</v>
      </c>
      <c r="Q1496" s="84"/>
      <c r="R1496" s="84"/>
      <c r="T1496" s="168" t="e">
        <f t="shared" si="63"/>
        <v>#N/A</v>
      </c>
    </row>
    <row r="1497" spans="1:20" x14ac:dyDescent="0.25">
      <c r="A1497" s="6">
        <f t="shared" si="64"/>
        <v>1358</v>
      </c>
      <c r="B1497" s="21"/>
      <c r="C1497" s="126"/>
      <c r="E1497" s="65"/>
      <c r="G1497" s="161">
        <f>MONTH(EJECUTADO[[#This Row],[FECHA]])</f>
        <v>1</v>
      </c>
      <c r="H1497" s="163" t="str">
        <f>MID(EJECUTADO[[#This Row],[CUENTA]],1,4)</f>
        <v/>
      </c>
      <c r="I1497" s="163" t="e">
        <f>INDEX(CATALOGO[Descripción],MATCH(EJECUTADO[[#This Row],[APLICACIÓN]]&amp;"-00-00-00",CATALOGO[Código],0))</f>
        <v>#N/A</v>
      </c>
      <c r="J149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7" s="161" t="str">
        <f>IF((EJECUTADO[[#This Row],[MONTO DISPONIBLE ]]-EJECUTADO[[#This Row],[MONTO SOLICITADO]])&gt;=0,"PRESUPUESTO: SI","PRESUPUESTO: NO")</f>
        <v>PRESUPUESTO: SI</v>
      </c>
      <c r="L1497" s="162">
        <f>SUMIF(PRESUPUESTO[CUENTA],EJECUTADO[[#This Row],[CUENTA]],PRESUPUESTO[MONTO])-SUMIF($F$1:F1496,EJECUTADO[[#This Row],[CUENTA]],$M$1:M1496)</f>
        <v>0</v>
      </c>
      <c r="M1497" s="2"/>
      <c r="N1497" s="84"/>
      <c r="O1497" s="84"/>
      <c r="P1497" s="162">
        <f>+EJECUTADO[[#This Row],[MONTO SOLICITADO]]-EJECUTADO[[#This Row],[RETENCION IVA]]-EJECUTADO[[#This Row],[RETENCION ISR]]</f>
        <v>0</v>
      </c>
      <c r="Q1497" s="84"/>
      <c r="R1497" s="84"/>
      <c r="T1497" s="168" t="e">
        <f t="shared" si="63"/>
        <v>#N/A</v>
      </c>
    </row>
    <row r="1498" spans="1:20" x14ac:dyDescent="0.25">
      <c r="A1498" s="6">
        <f t="shared" si="64"/>
        <v>1359</v>
      </c>
      <c r="B1498" s="21"/>
      <c r="C1498" s="126"/>
      <c r="E1498" s="65"/>
      <c r="G1498" s="161">
        <f>MONTH(EJECUTADO[[#This Row],[FECHA]])</f>
        <v>1</v>
      </c>
      <c r="H1498" s="163" t="str">
        <f>MID(EJECUTADO[[#This Row],[CUENTA]],1,4)</f>
        <v/>
      </c>
      <c r="I1498" s="163" t="e">
        <f>INDEX(CATALOGO[Descripción],MATCH(EJECUTADO[[#This Row],[APLICACIÓN]]&amp;"-00-00-00",CATALOGO[Código],0))</f>
        <v>#N/A</v>
      </c>
      <c r="J14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8" s="161" t="str">
        <f>IF((EJECUTADO[[#This Row],[MONTO DISPONIBLE ]]-EJECUTADO[[#This Row],[MONTO SOLICITADO]])&gt;=0,"PRESUPUESTO: SI","PRESUPUESTO: NO")</f>
        <v>PRESUPUESTO: SI</v>
      </c>
      <c r="L1498" s="162">
        <f>SUMIF(PRESUPUESTO[CUENTA],EJECUTADO[[#This Row],[CUENTA]],PRESUPUESTO[MONTO])-SUMIF($F$1:F1497,EJECUTADO[[#This Row],[CUENTA]],$M$1:M1497)</f>
        <v>0</v>
      </c>
      <c r="M1498" s="2"/>
      <c r="N1498" s="84"/>
      <c r="O1498" s="84"/>
      <c r="P1498" s="162">
        <f>+EJECUTADO[[#This Row],[MONTO SOLICITADO]]-EJECUTADO[[#This Row],[RETENCION IVA]]-EJECUTADO[[#This Row],[RETENCION ISR]]</f>
        <v>0</v>
      </c>
      <c r="Q1498" s="84"/>
      <c r="R1498" s="84"/>
      <c r="T1498" s="168" t="e">
        <f t="shared" si="63"/>
        <v>#N/A</v>
      </c>
    </row>
    <row r="1499" spans="1:20" x14ac:dyDescent="0.25">
      <c r="A1499" s="6">
        <f t="shared" si="64"/>
        <v>1360</v>
      </c>
      <c r="B1499" s="21"/>
      <c r="C1499" s="126"/>
      <c r="E1499" s="65"/>
      <c r="G1499" s="161">
        <f>MONTH(EJECUTADO[[#This Row],[FECHA]])</f>
        <v>1</v>
      </c>
      <c r="H1499" s="163" t="str">
        <f>MID(EJECUTADO[[#This Row],[CUENTA]],1,4)</f>
        <v/>
      </c>
      <c r="I1499" s="163" t="e">
        <f>INDEX(CATALOGO[Descripción],MATCH(EJECUTADO[[#This Row],[APLICACIÓN]]&amp;"-00-00-00",CATALOGO[Código],0))</f>
        <v>#N/A</v>
      </c>
      <c r="J149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499" s="161" t="str">
        <f>IF((EJECUTADO[[#This Row],[MONTO DISPONIBLE ]]-EJECUTADO[[#This Row],[MONTO SOLICITADO]])&gt;=0,"PRESUPUESTO: SI","PRESUPUESTO: NO")</f>
        <v>PRESUPUESTO: SI</v>
      </c>
      <c r="L1499" s="162">
        <f>SUMIF(PRESUPUESTO[CUENTA],EJECUTADO[[#This Row],[CUENTA]],PRESUPUESTO[MONTO])-SUMIF($F$1:F1498,EJECUTADO[[#This Row],[CUENTA]],$M$1:M1498)</f>
        <v>0</v>
      </c>
      <c r="M1499" s="2"/>
      <c r="N1499" s="84"/>
      <c r="O1499" s="84"/>
      <c r="P1499" s="162">
        <f>+EJECUTADO[[#This Row],[MONTO SOLICITADO]]-EJECUTADO[[#This Row],[RETENCION IVA]]-EJECUTADO[[#This Row],[RETENCION ISR]]</f>
        <v>0</v>
      </c>
      <c r="Q1499" s="84"/>
      <c r="R1499" s="84"/>
      <c r="T1499" s="168" t="e">
        <f t="shared" si="63"/>
        <v>#N/A</v>
      </c>
    </row>
    <row r="1500" spans="1:20" x14ac:dyDescent="0.25">
      <c r="A1500" s="6">
        <f t="shared" si="64"/>
        <v>1361</v>
      </c>
      <c r="B1500" s="21"/>
      <c r="C1500" s="126"/>
      <c r="E1500" s="65"/>
      <c r="G1500" s="161">
        <f>MONTH(EJECUTADO[[#This Row],[FECHA]])</f>
        <v>1</v>
      </c>
      <c r="H1500" s="163" t="str">
        <f>MID(EJECUTADO[[#This Row],[CUENTA]],1,4)</f>
        <v/>
      </c>
      <c r="I1500" s="163" t="e">
        <f>INDEX(CATALOGO[Descripción],MATCH(EJECUTADO[[#This Row],[APLICACIÓN]]&amp;"-00-00-00",CATALOGO[Código],0))</f>
        <v>#N/A</v>
      </c>
      <c r="J150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0" s="161" t="str">
        <f>IF((EJECUTADO[[#This Row],[MONTO DISPONIBLE ]]-EJECUTADO[[#This Row],[MONTO SOLICITADO]])&gt;=0,"PRESUPUESTO: SI","PRESUPUESTO: NO")</f>
        <v>PRESUPUESTO: SI</v>
      </c>
      <c r="L1500" s="162">
        <f>SUMIF(PRESUPUESTO[CUENTA],EJECUTADO[[#This Row],[CUENTA]],PRESUPUESTO[MONTO])-SUMIF($F$1:F1499,EJECUTADO[[#This Row],[CUENTA]],$M$1:M1499)</f>
        <v>0</v>
      </c>
      <c r="M1500" s="2"/>
      <c r="N1500" s="84"/>
      <c r="O1500" s="84"/>
      <c r="P1500" s="162">
        <f>+EJECUTADO[[#This Row],[MONTO SOLICITADO]]-EJECUTADO[[#This Row],[RETENCION IVA]]-EJECUTADO[[#This Row],[RETENCION ISR]]</f>
        <v>0</v>
      </c>
      <c r="Q1500" s="84"/>
      <c r="R1500" s="84"/>
      <c r="T1500" s="168" t="e">
        <f t="shared" si="63"/>
        <v>#N/A</v>
      </c>
    </row>
    <row r="1501" spans="1:20" x14ac:dyDescent="0.25">
      <c r="A1501" s="6">
        <f t="shared" si="64"/>
        <v>1362</v>
      </c>
      <c r="B1501" s="21"/>
      <c r="C1501" s="126"/>
      <c r="E1501" s="65"/>
      <c r="G1501" s="161">
        <f>MONTH(EJECUTADO[[#This Row],[FECHA]])</f>
        <v>1</v>
      </c>
      <c r="H1501" s="163" t="str">
        <f>MID(EJECUTADO[[#This Row],[CUENTA]],1,4)</f>
        <v/>
      </c>
      <c r="I1501" s="163" t="e">
        <f>INDEX(CATALOGO[Descripción],MATCH(EJECUTADO[[#This Row],[APLICACIÓN]]&amp;"-00-00-00",CATALOGO[Código],0))</f>
        <v>#N/A</v>
      </c>
      <c r="J150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1" s="161" t="str">
        <f>IF((EJECUTADO[[#This Row],[MONTO DISPONIBLE ]]-EJECUTADO[[#This Row],[MONTO SOLICITADO]])&gt;=0,"PRESUPUESTO: SI","PRESUPUESTO: NO")</f>
        <v>PRESUPUESTO: SI</v>
      </c>
      <c r="L1501" s="162">
        <f>SUMIF(PRESUPUESTO[CUENTA],EJECUTADO[[#This Row],[CUENTA]],PRESUPUESTO[MONTO])-SUMIF($F$1:F1500,EJECUTADO[[#This Row],[CUENTA]],$M$1:M1500)</f>
        <v>0</v>
      </c>
      <c r="M1501" s="2"/>
      <c r="N1501" s="84"/>
      <c r="O1501" s="84"/>
      <c r="P1501" s="162">
        <f>+EJECUTADO[[#This Row],[MONTO SOLICITADO]]-EJECUTADO[[#This Row],[RETENCION IVA]]-EJECUTADO[[#This Row],[RETENCION ISR]]</f>
        <v>0</v>
      </c>
      <c r="Q1501" s="84"/>
      <c r="R1501" s="84"/>
      <c r="T1501" s="168" t="e">
        <f t="shared" si="63"/>
        <v>#N/A</v>
      </c>
    </row>
    <row r="1502" spans="1:20" x14ac:dyDescent="0.25">
      <c r="A1502" s="6">
        <f t="shared" si="64"/>
        <v>1363</v>
      </c>
      <c r="B1502" s="21"/>
      <c r="C1502" s="126"/>
      <c r="E1502" s="65"/>
      <c r="G1502" s="161">
        <f>MONTH(EJECUTADO[[#This Row],[FECHA]])</f>
        <v>1</v>
      </c>
      <c r="H1502" s="163" t="str">
        <f>MID(EJECUTADO[[#This Row],[CUENTA]],1,4)</f>
        <v/>
      </c>
      <c r="I1502" s="163" t="e">
        <f>INDEX(CATALOGO[Descripción],MATCH(EJECUTADO[[#This Row],[APLICACIÓN]]&amp;"-00-00-00",CATALOGO[Código],0))</f>
        <v>#N/A</v>
      </c>
      <c r="J150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2" s="161" t="str">
        <f>IF((EJECUTADO[[#This Row],[MONTO DISPONIBLE ]]-EJECUTADO[[#This Row],[MONTO SOLICITADO]])&gt;=0,"PRESUPUESTO: SI","PRESUPUESTO: NO")</f>
        <v>PRESUPUESTO: SI</v>
      </c>
      <c r="L1502" s="162">
        <f>SUMIF(PRESUPUESTO[CUENTA],EJECUTADO[[#This Row],[CUENTA]],PRESUPUESTO[MONTO])-SUMIF($F$1:F1501,EJECUTADO[[#This Row],[CUENTA]],$M$1:M1501)</f>
        <v>0</v>
      </c>
      <c r="M1502" s="2"/>
      <c r="N1502" s="84"/>
      <c r="O1502" s="84"/>
      <c r="P1502" s="162">
        <f>+EJECUTADO[[#This Row],[MONTO SOLICITADO]]-EJECUTADO[[#This Row],[RETENCION IVA]]-EJECUTADO[[#This Row],[RETENCION ISR]]</f>
        <v>0</v>
      </c>
      <c r="Q1502" s="84"/>
      <c r="R1502" s="84"/>
      <c r="T1502" s="168" t="e">
        <f t="shared" si="63"/>
        <v>#N/A</v>
      </c>
    </row>
    <row r="1503" spans="1:20" x14ac:dyDescent="0.25">
      <c r="A1503" s="6">
        <f t="shared" si="64"/>
        <v>1364</v>
      </c>
      <c r="B1503" s="21"/>
      <c r="C1503" s="126"/>
      <c r="E1503" s="65"/>
      <c r="G1503" s="161">
        <f>MONTH(EJECUTADO[[#This Row],[FECHA]])</f>
        <v>1</v>
      </c>
      <c r="H1503" s="163" t="str">
        <f>MID(EJECUTADO[[#This Row],[CUENTA]],1,4)</f>
        <v/>
      </c>
      <c r="I1503" s="163" t="e">
        <f>INDEX(CATALOGO[Descripción],MATCH(EJECUTADO[[#This Row],[APLICACIÓN]]&amp;"-00-00-00",CATALOGO[Código],0))</f>
        <v>#N/A</v>
      </c>
      <c r="J150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3" s="161" t="str">
        <f>IF((EJECUTADO[[#This Row],[MONTO DISPONIBLE ]]-EJECUTADO[[#This Row],[MONTO SOLICITADO]])&gt;=0,"PRESUPUESTO: SI","PRESUPUESTO: NO")</f>
        <v>PRESUPUESTO: SI</v>
      </c>
      <c r="L1503" s="162">
        <f>SUMIF(PRESUPUESTO[CUENTA],EJECUTADO[[#This Row],[CUENTA]],PRESUPUESTO[MONTO])-SUMIF($F$1:F1502,EJECUTADO[[#This Row],[CUENTA]],$M$1:M1502)</f>
        <v>0</v>
      </c>
      <c r="M1503" s="2"/>
      <c r="N1503" s="84"/>
      <c r="O1503" s="84"/>
      <c r="P1503" s="162">
        <f>+EJECUTADO[[#This Row],[MONTO SOLICITADO]]-EJECUTADO[[#This Row],[RETENCION IVA]]-EJECUTADO[[#This Row],[RETENCION ISR]]</f>
        <v>0</v>
      </c>
      <c r="Q1503" s="84"/>
      <c r="R1503" s="84"/>
      <c r="T1503" s="168" t="e">
        <f t="shared" si="63"/>
        <v>#N/A</v>
      </c>
    </row>
    <row r="1504" spans="1:20" x14ac:dyDescent="0.25">
      <c r="A1504" s="6">
        <f t="shared" si="64"/>
        <v>1365</v>
      </c>
      <c r="B1504" s="21"/>
      <c r="C1504" s="126"/>
      <c r="E1504" s="65"/>
      <c r="G1504" s="161">
        <f>MONTH(EJECUTADO[[#This Row],[FECHA]])</f>
        <v>1</v>
      </c>
      <c r="H1504" s="163" t="str">
        <f>MID(EJECUTADO[[#This Row],[CUENTA]],1,4)</f>
        <v/>
      </c>
      <c r="I1504" s="163" t="e">
        <f>INDEX(CATALOGO[Descripción],MATCH(EJECUTADO[[#This Row],[APLICACIÓN]]&amp;"-00-00-00",CATALOGO[Código],0))</f>
        <v>#N/A</v>
      </c>
      <c r="J150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4" s="161" t="str">
        <f>IF((EJECUTADO[[#This Row],[MONTO DISPONIBLE ]]-EJECUTADO[[#This Row],[MONTO SOLICITADO]])&gt;=0,"PRESUPUESTO: SI","PRESUPUESTO: NO")</f>
        <v>PRESUPUESTO: SI</v>
      </c>
      <c r="L1504" s="162">
        <f>SUMIF(PRESUPUESTO[CUENTA],EJECUTADO[[#This Row],[CUENTA]],PRESUPUESTO[MONTO])-SUMIF($F$1:F1503,EJECUTADO[[#This Row],[CUENTA]],$M$1:M1503)</f>
        <v>0</v>
      </c>
      <c r="M1504" s="2"/>
      <c r="N1504" s="84"/>
      <c r="O1504" s="84"/>
      <c r="P1504" s="162">
        <f>+EJECUTADO[[#This Row],[MONTO SOLICITADO]]-EJECUTADO[[#This Row],[RETENCION IVA]]-EJECUTADO[[#This Row],[RETENCION ISR]]</f>
        <v>0</v>
      </c>
      <c r="Q1504" s="84"/>
      <c r="R1504" s="84"/>
      <c r="T1504" s="168" t="e">
        <f t="shared" si="63"/>
        <v>#N/A</v>
      </c>
    </row>
    <row r="1505" spans="1:20" x14ac:dyDescent="0.25">
      <c r="A1505" s="6">
        <f t="shared" si="64"/>
        <v>1366</v>
      </c>
      <c r="B1505" s="21"/>
      <c r="C1505" s="126"/>
      <c r="E1505" s="65"/>
      <c r="G1505" s="161">
        <f>MONTH(EJECUTADO[[#This Row],[FECHA]])</f>
        <v>1</v>
      </c>
      <c r="H1505" s="163" t="str">
        <f>MID(EJECUTADO[[#This Row],[CUENTA]],1,4)</f>
        <v/>
      </c>
      <c r="I1505" s="163" t="e">
        <f>INDEX(CATALOGO[Descripción],MATCH(EJECUTADO[[#This Row],[APLICACIÓN]]&amp;"-00-00-00",CATALOGO[Código],0))</f>
        <v>#N/A</v>
      </c>
      <c r="J150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5" s="161" t="str">
        <f>IF((EJECUTADO[[#This Row],[MONTO DISPONIBLE ]]-EJECUTADO[[#This Row],[MONTO SOLICITADO]])&gt;=0,"PRESUPUESTO: SI","PRESUPUESTO: NO")</f>
        <v>PRESUPUESTO: SI</v>
      </c>
      <c r="L1505" s="162">
        <f>SUMIF(PRESUPUESTO[CUENTA],EJECUTADO[[#This Row],[CUENTA]],PRESUPUESTO[MONTO])-SUMIF($F$1:F1504,EJECUTADO[[#This Row],[CUENTA]],$M$1:M1504)</f>
        <v>0</v>
      </c>
      <c r="M1505" s="2"/>
      <c r="N1505" s="84"/>
      <c r="O1505" s="84"/>
      <c r="P1505" s="162">
        <f>+EJECUTADO[[#This Row],[MONTO SOLICITADO]]-EJECUTADO[[#This Row],[RETENCION IVA]]-EJECUTADO[[#This Row],[RETENCION ISR]]</f>
        <v>0</v>
      </c>
      <c r="Q1505" s="84"/>
      <c r="R1505" s="84"/>
      <c r="T1505" s="168" t="e">
        <f t="shared" si="63"/>
        <v>#N/A</v>
      </c>
    </row>
    <row r="1506" spans="1:20" x14ac:dyDescent="0.25">
      <c r="A1506" s="6">
        <f t="shared" si="64"/>
        <v>1367</v>
      </c>
      <c r="B1506" s="21"/>
      <c r="C1506" s="126"/>
      <c r="E1506" s="65"/>
      <c r="G1506" s="161">
        <f>MONTH(EJECUTADO[[#This Row],[FECHA]])</f>
        <v>1</v>
      </c>
      <c r="H1506" s="163" t="str">
        <f>MID(EJECUTADO[[#This Row],[CUENTA]],1,4)</f>
        <v/>
      </c>
      <c r="I1506" s="163" t="e">
        <f>INDEX(CATALOGO[Descripción],MATCH(EJECUTADO[[#This Row],[APLICACIÓN]]&amp;"-00-00-00",CATALOGO[Código],0))</f>
        <v>#N/A</v>
      </c>
      <c r="J150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6" s="161" t="str">
        <f>IF((EJECUTADO[[#This Row],[MONTO DISPONIBLE ]]-EJECUTADO[[#This Row],[MONTO SOLICITADO]])&gt;=0,"PRESUPUESTO: SI","PRESUPUESTO: NO")</f>
        <v>PRESUPUESTO: SI</v>
      </c>
      <c r="L1506" s="162">
        <f>SUMIF(PRESUPUESTO[CUENTA],EJECUTADO[[#This Row],[CUENTA]],PRESUPUESTO[MONTO])-SUMIF($F$1:F1505,EJECUTADO[[#This Row],[CUENTA]],$M$1:M1505)</f>
        <v>0</v>
      </c>
      <c r="M1506" s="2"/>
      <c r="N1506" s="84"/>
      <c r="O1506" s="84"/>
      <c r="P1506" s="162">
        <f>+EJECUTADO[[#This Row],[MONTO SOLICITADO]]-EJECUTADO[[#This Row],[RETENCION IVA]]-EJECUTADO[[#This Row],[RETENCION ISR]]</f>
        <v>0</v>
      </c>
      <c r="Q1506" s="84"/>
      <c r="R1506" s="84"/>
      <c r="T1506" s="168" t="e">
        <f t="shared" si="63"/>
        <v>#N/A</v>
      </c>
    </row>
    <row r="1507" spans="1:20" x14ac:dyDescent="0.25">
      <c r="A1507" s="6">
        <f t="shared" si="64"/>
        <v>1368</v>
      </c>
      <c r="B1507" s="21"/>
      <c r="C1507" s="126"/>
      <c r="E1507" s="65"/>
      <c r="G1507" s="161">
        <f>MONTH(EJECUTADO[[#This Row],[FECHA]])</f>
        <v>1</v>
      </c>
      <c r="H1507" s="163" t="str">
        <f>MID(EJECUTADO[[#This Row],[CUENTA]],1,4)</f>
        <v/>
      </c>
      <c r="I1507" s="163" t="e">
        <f>INDEX(CATALOGO[Descripción],MATCH(EJECUTADO[[#This Row],[APLICACIÓN]]&amp;"-00-00-00",CATALOGO[Código],0))</f>
        <v>#N/A</v>
      </c>
      <c r="J150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7" s="161" t="str">
        <f>IF((EJECUTADO[[#This Row],[MONTO DISPONIBLE ]]-EJECUTADO[[#This Row],[MONTO SOLICITADO]])&gt;=0,"PRESUPUESTO: SI","PRESUPUESTO: NO")</f>
        <v>PRESUPUESTO: SI</v>
      </c>
      <c r="L1507" s="162">
        <f>SUMIF(PRESUPUESTO[CUENTA],EJECUTADO[[#This Row],[CUENTA]],PRESUPUESTO[MONTO])-SUMIF($F$1:F1506,EJECUTADO[[#This Row],[CUENTA]],$M$1:M1506)</f>
        <v>0</v>
      </c>
      <c r="M1507" s="2"/>
      <c r="N1507" s="84"/>
      <c r="O1507" s="84"/>
      <c r="P1507" s="162">
        <f>+EJECUTADO[[#This Row],[MONTO SOLICITADO]]-EJECUTADO[[#This Row],[RETENCION IVA]]-EJECUTADO[[#This Row],[RETENCION ISR]]</f>
        <v>0</v>
      </c>
      <c r="Q1507" s="84"/>
      <c r="R1507" s="84"/>
      <c r="T1507" s="168" t="e">
        <f t="shared" si="63"/>
        <v>#N/A</v>
      </c>
    </row>
    <row r="1508" spans="1:20" x14ac:dyDescent="0.25">
      <c r="A1508" s="6">
        <f t="shared" si="64"/>
        <v>1369</v>
      </c>
      <c r="B1508" s="21"/>
      <c r="C1508" s="126"/>
      <c r="E1508" s="65"/>
      <c r="G1508" s="161">
        <f>MONTH(EJECUTADO[[#This Row],[FECHA]])</f>
        <v>1</v>
      </c>
      <c r="H1508" s="163" t="str">
        <f>MID(EJECUTADO[[#This Row],[CUENTA]],1,4)</f>
        <v/>
      </c>
      <c r="I1508" s="163" t="e">
        <f>INDEX(CATALOGO[Descripción],MATCH(EJECUTADO[[#This Row],[APLICACIÓN]]&amp;"-00-00-00",CATALOGO[Código],0))</f>
        <v>#N/A</v>
      </c>
      <c r="J150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8" s="161" t="str">
        <f>IF((EJECUTADO[[#This Row],[MONTO DISPONIBLE ]]-EJECUTADO[[#This Row],[MONTO SOLICITADO]])&gt;=0,"PRESUPUESTO: SI","PRESUPUESTO: NO")</f>
        <v>PRESUPUESTO: SI</v>
      </c>
      <c r="L1508" s="162">
        <f>SUMIF(PRESUPUESTO[CUENTA],EJECUTADO[[#This Row],[CUENTA]],PRESUPUESTO[MONTO])-SUMIF($F$1:F1507,EJECUTADO[[#This Row],[CUENTA]],$M$1:M1507)</f>
        <v>0</v>
      </c>
      <c r="M1508" s="2"/>
      <c r="N1508" s="84"/>
      <c r="O1508" s="84"/>
      <c r="P1508" s="162">
        <f>+EJECUTADO[[#This Row],[MONTO SOLICITADO]]-EJECUTADO[[#This Row],[RETENCION IVA]]-EJECUTADO[[#This Row],[RETENCION ISR]]</f>
        <v>0</v>
      </c>
      <c r="Q1508" s="84"/>
      <c r="R1508" s="84"/>
      <c r="T1508" s="168" t="e">
        <f t="shared" si="63"/>
        <v>#N/A</v>
      </c>
    </row>
    <row r="1509" spans="1:20" x14ac:dyDescent="0.25">
      <c r="A1509" s="6">
        <f t="shared" si="64"/>
        <v>1370</v>
      </c>
      <c r="B1509" s="21"/>
      <c r="C1509" s="126"/>
      <c r="E1509" s="65"/>
      <c r="G1509" s="161">
        <f>MONTH(EJECUTADO[[#This Row],[FECHA]])</f>
        <v>1</v>
      </c>
      <c r="H1509" s="163" t="str">
        <f>MID(EJECUTADO[[#This Row],[CUENTA]],1,4)</f>
        <v/>
      </c>
      <c r="I1509" s="163" t="e">
        <f>INDEX(CATALOGO[Descripción],MATCH(EJECUTADO[[#This Row],[APLICACIÓN]]&amp;"-00-00-00",CATALOGO[Código],0))</f>
        <v>#N/A</v>
      </c>
      <c r="J150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09" s="161" t="str">
        <f>IF((EJECUTADO[[#This Row],[MONTO DISPONIBLE ]]-EJECUTADO[[#This Row],[MONTO SOLICITADO]])&gt;=0,"PRESUPUESTO: SI","PRESUPUESTO: NO")</f>
        <v>PRESUPUESTO: SI</v>
      </c>
      <c r="L1509" s="162">
        <f>SUMIF(PRESUPUESTO[CUENTA],EJECUTADO[[#This Row],[CUENTA]],PRESUPUESTO[MONTO])-SUMIF($F$1:F1508,EJECUTADO[[#This Row],[CUENTA]],$M$1:M1508)</f>
        <v>0</v>
      </c>
      <c r="M1509" s="2"/>
      <c r="N1509" s="84"/>
      <c r="O1509" s="84"/>
      <c r="P1509" s="162">
        <f>+EJECUTADO[[#This Row],[MONTO SOLICITADO]]-EJECUTADO[[#This Row],[RETENCION IVA]]-EJECUTADO[[#This Row],[RETENCION ISR]]</f>
        <v>0</v>
      </c>
      <c r="Q1509" s="84"/>
      <c r="R1509" s="84"/>
      <c r="T1509" s="168" t="e">
        <f t="shared" si="63"/>
        <v>#N/A</v>
      </c>
    </row>
    <row r="1510" spans="1:20" x14ac:dyDescent="0.25">
      <c r="A1510" s="6">
        <f t="shared" si="64"/>
        <v>1371</v>
      </c>
      <c r="B1510" s="21"/>
      <c r="C1510" s="126"/>
      <c r="E1510" s="65"/>
      <c r="G1510" s="161">
        <f>MONTH(EJECUTADO[[#This Row],[FECHA]])</f>
        <v>1</v>
      </c>
      <c r="H1510" s="163" t="str">
        <f>MID(EJECUTADO[[#This Row],[CUENTA]],1,4)</f>
        <v/>
      </c>
      <c r="I1510" s="163" t="e">
        <f>INDEX(CATALOGO[Descripción],MATCH(EJECUTADO[[#This Row],[APLICACIÓN]]&amp;"-00-00-00",CATALOGO[Código],0))</f>
        <v>#N/A</v>
      </c>
      <c r="J151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0" s="161" t="str">
        <f>IF((EJECUTADO[[#This Row],[MONTO DISPONIBLE ]]-EJECUTADO[[#This Row],[MONTO SOLICITADO]])&gt;=0,"PRESUPUESTO: SI","PRESUPUESTO: NO")</f>
        <v>PRESUPUESTO: SI</v>
      </c>
      <c r="L1510" s="162">
        <f>SUMIF(PRESUPUESTO[CUENTA],EJECUTADO[[#This Row],[CUENTA]],PRESUPUESTO[MONTO])-SUMIF($F$1:F1509,EJECUTADO[[#This Row],[CUENTA]],$M$1:M1509)</f>
        <v>0</v>
      </c>
      <c r="M1510" s="2"/>
      <c r="N1510" s="84"/>
      <c r="O1510" s="84"/>
      <c r="P1510" s="162">
        <f>+EJECUTADO[[#This Row],[MONTO SOLICITADO]]-EJECUTADO[[#This Row],[RETENCION IVA]]-EJECUTADO[[#This Row],[RETENCION ISR]]</f>
        <v>0</v>
      </c>
      <c r="Q1510" s="84"/>
      <c r="R1510" s="84"/>
      <c r="T1510" s="168" t="e">
        <f t="shared" si="63"/>
        <v>#N/A</v>
      </c>
    </row>
    <row r="1511" spans="1:20" x14ac:dyDescent="0.25">
      <c r="A1511" s="6">
        <f t="shared" si="64"/>
        <v>1372</v>
      </c>
      <c r="B1511" s="21"/>
      <c r="C1511" s="126"/>
      <c r="E1511" s="65"/>
      <c r="G1511" s="161">
        <f>MONTH(EJECUTADO[[#This Row],[FECHA]])</f>
        <v>1</v>
      </c>
      <c r="H1511" s="163" t="str">
        <f>MID(EJECUTADO[[#This Row],[CUENTA]],1,4)</f>
        <v/>
      </c>
      <c r="I1511" s="163" t="e">
        <f>INDEX(CATALOGO[Descripción],MATCH(EJECUTADO[[#This Row],[APLICACIÓN]]&amp;"-00-00-00",CATALOGO[Código],0))</f>
        <v>#N/A</v>
      </c>
      <c r="J151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1" s="161" t="str">
        <f>IF((EJECUTADO[[#This Row],[MONTO DISPONIBLE ]]-EJECUTADO[[#This Row],[MONTO SOLICITADO]])&gt;=0,"PRESUPUESTO: SI","PRESUPUESTO: NO")</f>
        <v>PRESUPUESTO: SI</v>
      </c>
      <c r="L1511" s="162">
        <f>SUMIF(PRESUPUESTO[CUENTA],EJECUTADO[[#This Row],[CUENTA]],PRESUPUESTO[MONTO])-SUMIF($F$1:F1510,EJECUTADO[[#This Row],[CUENTA]],$M$1:M1510)</f>
        <v>0</v>
      </c>
      <c r="M1511" s="2"/>
      <c r="N1511" s="84"/>
      <c r="O1511" s="84"/>
      <c r="P1511" s="162">
        <f>+EJECUTADO[[#This Row],[MONTO SOLICITADO]]-EJECUTADO[[#This Row],[RETENCION IVA]]-EJECUTADO[[#This Row],[RETENCION ISR]]</f>
        <v>0</v>
      </c>
      <c r="Q1511" s="84"/>
      <c r="R1511" s="84"/>
      <c r="T1511" s="168" t="e">
        <f t="shared" si="63"/>
        <v>#N/A</v>
      </c>
    </row>
    <row r="1512" spans="1:20" x14ac:dyDescent="0.25">
      <c r="A1512" s="6">
        <f t="shared" si="64"/>
        <v>1373</v>
      </c>
      <c r="B1512" s="21"/>
      <c r="C1512" s="126"/>
      <c r="E1512" s="65"/>
      <c r="G1512" s="161">
        <f>MONTH(EJECUTADO[[#This Row],[FECHA]])</f>
        <v>1</v>
      </c>
      <c r="H1512" s="163" t="str">
        <f>MID(EJECUTADO[[#This Row],[CUENTA]],1,4)</f>
        <v/>
      </c>
      <c r="I1512" s="163" t="e">
        <f>INDEX(CATALOGO[Descripción],MATCH(EJECUTADO[[#This Row],[APLICACIÓN]]&amp;"-00-00-00",CATALOGO[Código],0))</f>
        <v>#N/A</v>
      </c>
      <c r="J151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2" s="161" t="str">
        <f>IF((EJECUTADO[[#This Row],[MONTO DISPONIBLE ]]-EJECUTADO[[#This Row],[MONTO SOLICITADO]])&gt;=0,"PRESUPUESTO: SI","PRESUPUESTO: NO")</f>
        <v>PRESUPUESTO: SI</v>
      </c>
      <c r="L1512" s="162">
        <f>SUMIF(PRESUPUESTO[CUENTA],EJECUTADO[[#This Row],[CUENTA]],PRESUPUESTO[MONTO])-SUMIF($F$1:F1511,EJECUTADO[[#This Row],[CUENTA]],$M$1:M1511)</f>
        <v>0</v>
      </c>
      <c r="M1512" s="2"/>
      <c r="N1512" s="84"/>
      <c r="O1512" s="84"/>
      <c r="P1512" s="162">
        <f>+EJECUTADO[[#This Row],[MONTO SOLICITADO]]-EJECUTADO[[#This Row],[RETENCION IVA]]-EJECUTADO[[#This Row],[RETENCION ISR]]</f>
        <v>0</v>
      </c>
      <c r="Q1512" s="84"/>
      <c r="R1512" s="84"/>
      <c r="T1512" s="168" t="e">
        <f t="shared" si="63"/>
        <v>#N/A</v>
      </c>
    </row>
    <row r="1513" spans="1:20" x14ac:dyDescent="0.25">
      <c r="A1513" s="6">
        <f t="shared" si="64"/>
        <v>1374</v>
      </c>
      <c r="B1513" s="21"/>
      <c r="C1513" s="126"/>
      <c r="E1513" s="65"/>
      <c r="G1513" s="161">
        <f>MONTH(EJECUTADO[[#This Row],[FECHA]])</f>
        <v>1</v>
      </c>
      <c r="H1513" s="163" t="str">
        <f>MID(EJECUTADO[[#This Row],[CUENTA]],1,4)</f>
        <v/>
      </c>
      <c r="I1513" s="163" t="e">
        <f>INDEX(CATALOGO[Descripción],MATCH(EJECUTADO[[#This Row],[APLICACIÓN]]&amp;"-00-00-00",CATALOGO[Código],0))</f>
        <v>#N/A</v>
      </c>
      <c r="J151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3" s="161" t="str">
        <f>IF((EJECUTADO[[#This Row],[MONTO DISPONIBLE ]]-EJECUTADO[[#This Row],[MONTO SOLICITADO]])&gt;=0,"PRESUPUESTO: SI","PRESUPUESTO: NO")</f>
        <v>PRESUPUESTO: SI</v>
      </c>
      <c r="L1513" s="162">
        <f>SUMIF(PRESUPUESTO[CUENTA],EJECUTADO[[#This Row],[CUENTA]],PRESUPUESTO[MONTO])-SUMIF($F$1:F1512,EJECUTADO[[#This Row],[CUENTA]],$M$1:M1512)</f>
        <v>0</v>
      </c>
      <c r="M1513" s="2"/>
      <c r="N1513" s="84"/>
      <c r="O1513" s="84"/>
      <c r="P1513" s="162">
        <f>+EJECUTADO[[#This Row],[MONTO SOLICITADO]]-EJECUTADO[[#This Row],[RETENCION IVA]]-EJECUTADO[[#This Row],[RETENCION ISR]]</f>
        <v>0</v>
      </c>
      <c r="Q1513" s="84"/>
      <c r="R1513" s="84"/>
      <c r="T1513" s="168" t="e">
        <f t="shared" si="63"/>
        <v>#N/A</v>
      </c>
    </row>
    <row r="1514" spans="1:20" x14ac:dyDescent="0.25">
      <c r="A1514" s="6">
        <f t="shared" si="64"/>
        <v>1375</v>
      </c>
      <c r="B1514" s="21"/>
      <c r="C1514" s="126"/>
      <c r="E1514" s="65"/>
      <c r="G1514" s="161">
        <f>MONTH(EJECUTADO[[#This Row],[FECHA]])</f>
        <v>1</v>
      </c>
      <c r="H1514" s="163" t="str">
        <f>MID(EJECUTADO[[#This Row],[CUENTA]],1,4)</f>
        <v/>
      </c>
      <c r="I1514" s="163" t="e">
        <f>INDEX(CATALOGO[Descripción],MATCH(EJECUTADO[[#This Row],[APLICACIÓN]]&amp;"-00-00-00",CATALOGO[Código],0))</f>
        <v>#N/A</v>
      </c>
      <c r="J151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4" s="161" t="str">
        <f>IF((EJECUTADO[[#This Row],[MONTO DISPONIBLE ]]-EJECUTADO[[#This Row],[MONTO SOLICITADO]])&gt;=0,"PRESUPUESTO: SI","PRESUPUESTO: NO")</f>
        <v>PRESUPUESTO: SI</v>
      </c>
      <c r="L1514" s="162">
        <f>SUMIF(PRESUPUESTO[CUENTA],EJECUTADO[[#This Row],[CUENTA]],PRESUPUESTO[MONTO])-SUMIF($F$1:F1513,EJECUTADO[[#This Row],[CUENTA]],$M$1:M1513)</f>
        <v>0</v>
      </c>
      <c r="M1514" s="2"/>
      <c r="N1514" s="84"/>
      <c r="O1514" s="84"/>
      <c r="P1514" s="162">
        <f>+EJECUTADO[[#This Row],[MONTO SOLICITADO]]-EJECUTADO[[#This Row],[RETENCION IVA]]-EJECUTADO[[#This Row],[RETENCION ISR]]</f>
        <v>0</v>
      </c>
      <c r="Q1514" s="84"/>
      <c r="R1514" s="84"/>
      <c r="T1514" s="168" t="e">
        <f t="shared" si="63"/>
        <v>#N/A</v>
      </c>
    </row>
    <row r="1515" spans="1:20" x14ac:dyDescent="0.25">
      <c r="A1515" s="6">
        <f t="shared" si="64"/>
        <v>1376</v>
      </c>
      <c r="B1515" s="21"/>
      <c r="C1515" s="126"/>
      <c r="E1515" s="65"/>
      <c r="G1515" s="161">
        <f>MONTH(EJECUTADO[[#This Row],[FECHA]])</f>
        <v>1</v>
      </c>
      <c r="H1515" s="163" t="str">
        <f>MID(EJECUTADO[[#This Row],[CUENTA]],1,4)</f>
        <v/>
      </c>
      <c r="I1515" s="163" t="e">
        <f>INDEX(CATALOGO[Descripción],MATCH(EJECUTADO[[#This Row],[APLICACIÓN]]&amp;"-00-00-00",CATALOGO[Código],0))</f>
        <v>#N/A</v>
      </c>
      <c r="J151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5" s="161" t="str">
        <f>IF((EJECUTADO[[#This Row],[MONTO DISPONIBLE ]]-EJECUTADO[[#This Row],[MONTO SOLICITADO]])&gt;=0,"PRESUPUESTO: SI","PRESUPUESTO: NO")</f>
        <v>PRESUPUESTO: SI</v>
      </c>
      <c r="L1515" s="162">
        <f>SUMIF(PRESUPUESTO[CUENTA],EJECUTADO[[#This Row],[CUENTA]],PRESUPUESTO[MONTO])-SUMIF($F$1:F1514,EJECUTADO[[#This Row],[CUENTA]],$M$1:M1514)</f>
        <v>0</v>
      </c>
      <c r="M1515" s="2"/>
      <c r="N1515" s="84"/>
      <c r="O1515" s="84"/>
      <c r="P1515" s="162">
        <f>+EJECUTADO[[#This Row],[MONTO SOLICITADO]]-EJECUTADO[[#This Row],[RETENCION IVA]]-EJECUTADO[[#This Row],[RETENCION ISR]]</f>
        <v>0</v>
      </c>
      <c r="Q1515" s="84"/>
      <c r="R1515" s="84"/>
      <c r="T1515" s="168" t="e">
        <f t="shared" si="63"/>
        <v>#N/A</v>
      </c>
    </row>
    <row r="1516" spans="1:20" x14ac:dyDescent="0.25">
      <c r="A1516" s="6">
        <f t="shared" si="64"/>
        <v>1377</v>
      </c>
      <c r="B1516" s="21"/>
      <c r="C1516" s="126"/>
      <c r="E1516" s="65"/>
      <c r="G1516" s="161">
        <f>MONTH(EJECUTADO[[#This Row],[FECHA]])</f>
        <v>1</v>
      </c>
      <c r="H1516" s="163" t="str">
        <f>MID(EJECUTADO[[#This Row],[CUENTA]],1,4)</f>
        <v/>
      </c>
      <c r="I1516" s="163" t="e">
        <f>INDEX(CATALOGO[Descripción],MATCH(EJECUTADO[[#This Row],[APLICACIÓN]]&amp;"-00-00-00",CATALOGO[Código],0))</f>
        <v>#N/A</v>
      </c>
      <c r="J151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6" s="161" t="str">
        <f>IF((EJECUTADO[[#This Row],[MONTO DISPONIBLE ]]-EJECUTADO[[#This Row],[MONTO SOLICITADO]])&gt;=0,"PRESUPUESTO: SI","PRESUPUESTO: NO")</f>
        <v>PRESUPUESTO: SI</v>
      </c>
      <c r="L1516" s="162">
        <f>SUMIF(PRESUPUESTO[CUENTA],EJECUTADO[[#This Row],[CUENTA]],PRESUPUESTO[MONTO])-SUMIF($F$1:F1515,EJECUTADO[[#This Row],[CUENTA]],$M$1:M1515)</f>
        <v>0</v>
      </c>
      <c r="M1516" s="2"/>
      <c r="N1516" s="84"/>
      <c r="O1516" s="84"/>
      <c r="P1516" s="162">
        <f>+EJECUTADO[[#This Row],[MONTO SOLICITADO]]-EJECUTADO[[#This Row],[RETENCION IVA]]-EJECUTADO[[#This Row],[RETENCION ISR]]</f>
        <v>0</v>
      </c>
      <c r="Q1516" s="84"/>
      <c r="R1516" s="84"/>
      <c r="T1516" s="168" t="e">
        <f t="shared" si="63"/>
        <v>#N/A</v>
      </c>
    </row>
    <row r="1517" spans="1:20" x14ac:dyDescent="0.25">
      <c r="A1517" s="6">
        <f t="shared" si="64"/>
        <v>1378</v>
      </c>
      <c r="B1517" s="21"/>
      <c r="C1517" s="126"/>
      <c r="E1517" s="65"/>
      <c r="G1517" s="161">
        <f>MONTH(EJECUTADO[[#This Row],[FECHA]])</f>
        <v>1</v>
      </c>
      <c r="H1517" s="163" t="str">
        <f>MID(EJECUTADO[[#This Row],[CUENTA]],1,4)</f>
        <v/>
      </c>
      <c r="I1517" s="163" t="e">
        <f>INDEX(CATALOGO[Descripción],MATCH(EJECUTADO[[#This Row],[APLICACIÓN]]&amp;"-00-00-00",CATALOGO[Código],0))</f>
        <v>#N/A</v>
      </c>
      <c r="J151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7" s="161" t="str">
        <f>IF((EJECUTADO[[#This Row],[MONTO DISPONIBLE ]]-EJECUTADO[[#This Row],[MONTO SOLICITADO]])&gt;=0,"PRESUPUESTO: SI","PRESUPUESTO: NO")</f>
        <v>PRESUPUESTO: SI</v>
      </c>
      <c r="L1517" s="162">
        <f>SUMIF(PRESUPUESTO[CUENTA],EJECUTADO[[#This Row],[CUENTA]],PRESUPUESTO[MONTO])-SUMIF($F$1:F1516,EJECUTADO[[#This Row],[CUENTA]],$M$1:M1516)</f>
        <v>0</v>
      </c>
      <c r="M1517" s="2"/>
      <c r="N1517" s="84"/>
      <c r="O1517" s="84"/>
      <c r="P1517" s="162">
        <f>+EJECUTADO[[#This Row],[MONTO SOLICITADO]]-EJECUTADO[[#This Row],[RETENCION IVA]]-EJECUTADO[[#This Row],[RETENCION ISR]]</f>
        <v>0</v>
      </c>
      <c r="Q1517" s="84"/>
      <c r="R1517" s="84"/>
      <c r="T1517" s="168" t="e">
        <f t="shared" si="63"/>
        <v>#N/A</v>
      </c>
    </row>
    <row r="1518" spans="1:20" x14ac:dyDescent="0.25">
      <c r="A1518" s="6">
        <f t="shared" si="64"/>
        <v>1379</v>
      </c>
      <c r="B1518" s="21"/>
      <c r="C1518" s="126"/>
      <c r="E1518" s="65"/>
      <c r="G1518" s="161">
        <f>MONTH(EJECUTADO[[#This Row],[FECHA]])</f>
        <v>1</v>
      </c>
      <c r="H1518" s="163" t="str">
        <f>MID(EJECUTADO[[#This Row],[CUENTA]],1,4)</f>
        <v/>
      </c>
      <c r="I1518" s="163" t="e">
        <f>INDEX(CATALOGO[Descripción],MATCH(EJECUTADO[[#This Row],[APLICACIÓN]]&amp;"-00-00-00",CATALOGO[Código],0))</f>
        <v>#N/A</v>
      </c>
      <c r="J151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8" s="161" t="str">
        <f>IF((EJECUTADO[[#This Row],[MONTO DISPONIBLE ]]-EJECUTADO[[#This Row],[MONTO SOLICITADO]])&gt;=0,"PRESUPUESTO: SI","PRESUPUESTO: NO")</f>
        <v>PRESUPUESTO: SI</v>
      </c>
      <c r="L1518" s="162">
        <f>SUMIF(PRESUPUESTO[CUENTA],EJECUTADO[[#This Row],[CUENTA]],PRESUPUESTO[MONTO])-SUMIF($F$1:F1517,EJECUTADO[[#This Row],[CUENTA]],$M$1:M1517)</f>
        <v>0</v>
      </c>
      <c r="M1518" s="2"/>
      <c r="N1518" s="84"/>
      <c r="O1518" s="84"/>
      <c r="P1518" s="162">
        <f>+EJECUTADO[[#This Row],[MONTO SOLICITADO]]-EJECUTADO[[#This Row],[RETENCION IVA]]-EJECUTADO[[#This Row],[RETENCION ISR]]</f>
        <v>0</v>
      </c>
      <c r="Q1518" s="84"/>
      <c r="R1518" s="84"/>
      <c r="T1518" s="168" t="e">
        <f t="shared" si="63"/>
        <v>#N/A</v>
      </c>
    </row>
    <row r="1519" spans="1:20" x14ac:dyDescent="0.25">
      <c r="A1519" s="6">
        <f t="shared" si="64"/>
        <v>1380</v>
      </c>
      <c r="B1519" s="21"/>
      <c r="C1519" s="126"/>
      <c r="E1519" s="65"/>
      <c r="G1519" s="161">
        <f>MONTH(EJECUTADO[[#This Row],[FECHA]])</f>
        <v>1</v>
      </c>
      <c r="H1519" s="163" t="str">
        <f>MID(EJECUTADO[[#This Row],[CUENTA]],1,4)</f>
        <v/>
      </c>
      <c r="I1519" s="163" t="e">
        <f>INDEX(CATALOGO[Descripción],MATCH(EJECUTADO[[#This Row],[APLICACIÓN]]&amp;"-00-00-00",CATALOGO[Código],0))</f>
        <v>#N/A</v>
      </c>
      <c r="J151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19" s="161" t="str">
        <f>IF((EJECUTADO[[#This Row],[MONTO DISPONIBLE ]]-EJECUTADO[[#This Row],[MONTO SOLICITADO]])&gt;=0,"PRESUPUESTO: SI","PRESUPUESTO: NO")</f>
        <v>PRESUPUESTO: SI</v>
      </c>
      <c r="L1519" s="162">
        <f>SUMIF(PRESUPUESTO[CUENTA],EJECUTADO[[#This Row],[CUENTA]],PRESUPUESTO[MONTO])-SUMIF($F$1:F1518,EJECUTADO[[#This Row],[CUENTA]],$M$1:M1518)</f>
        <v>0</v>
      </c>
      <c r="M1519" s="2"/>
      <c r="N1519" s="84"/>
      <c r="O1519" s="84"/>
      <c r="P1519" s="162">
        <f>+EJECUTADO[[#This Row],[MONTO SOLICITADO]]-EJECUTADO[[#This Row],[RETENCION IVA]]-EJECUTADO[[#This Row],[RETENCION ISR]]</f>
        <v>0</v>
      </c>
      <c r="Q1519" s="84"/>
      <c r="R1519" s="84"/>
      <c r="T1519" s="168" t="e">
        <f t="shared" si="63"/>
        <v>#N/A</v>
      </c>
    </row>
    <row r="1520" spans="1:20" x14ac:dyDescent="0.25">
      <c r="A1520" s="6">
        <f t="shared" si="64"/>
        <v>1381</v>
      </c>
      <c r="B1520" s="21"/>
      <c r="C1520" s="126"/>
      <c r="E1520" s="65"/>
      <c r="G1520" s="161">
        <f>MONTH(EJECUTADO[[#This Row],[FECHA]])</f>
        <v>1</v>
      </c>
      <c r="H1520" s="163" t="str">
        <f>MID(EJECUTADO[[#This Row],[CUENTA]],1,4)</f>
        <v/>
      </c>
      <c r="I1520" s="163" t="e">
        <f>INDEX(CATALOGO[Descripción],MATCH(EJECUTADO[[#This Row],[APLICACIÓN]]&amp;"-00-00-00",CATALOGO[Código],0))</f>
        <v>#N/A</v>
      </c>
      <c r="J152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0" s="161" t="str">
        <f>IF((EJECUTADO[[#This Row],[MONTO DISPONIBLE ]]-EJECUTADO[[#This Row],[MONTO SOLICITADO]])&gt;=0,"PRESUPUESTO: SI","PRESUPUESTO: NO")</f>
        <v>PRESUPUESTO: SI</v>
      </c>
      <c r="L1520" s="162">
        <f>SUMIF(PRESUPUESTO[CUENTA],EJECUTADO[[#This Row],[CUENTA]],PRESUPUESTO[MONTO])-SUMIF($F$1:F1519,EJECUTADO[[#This Row],[CUENTA]],$M$1:M1519)</f>
        <v>0</v>
      </c>
      <c r="M1520" s="2"/>
      <c r="N1520" s="84"/>
      <c r="O1520" s="84"/>
      <c r="P1520" s="162">
        <f>+EJECUTADO[[#This Row],[MONTO SOLICITADO]]-EJECUTADO[[#This Row],[RETENCION IVA]]-EJECUTADO[[#This Row],[RETENCION ISR]]</f>
        <v>0</v>
      </c>
      <c r="Q1520" s="84"/>
      <c r="R1520" s="84"/>
      <c r="T1520" s="168" t="e">
        <f t="shared" si="63"/>
        <v>#N/A</v>
      </c>
    </row>
    <row r="1521" spans="1:20" x14ac:dyDescent="0.25">
      <c r="A1521" s="6">
        <f t="shared" si="64"/>
        <v>1382</v>
      </c>
      <c r="B1521" s="21"/>
      <c r="C1521" s="126"/>
      <c r="E1521" s="65"/>
      <c r="G1521" s="161">
        <f>MONTH(EJECUTADO[[#This Row],[FECHA]])</f>
        <v>1</v>
      </c>
      <c r="H1521" s="163" t="str">
        <f>MID(EJECUTADO[[#This Row],[CUENTA]],1,4)</f>
        <v/>
      </c>
      <c r="I1521" s="163" t="e">
        <f>INDEX(CATALOGO[Descripción],MATCH(EJECUTADO[[#This Row],[APLICACIÓN]]&amp;"-00-00-00",CATALOGO[Código],0))</f>
        <v>#N/A</v>
      </c>
      <c r="J152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1" s="161" t="str">
        <f>IF((EJECUTADO[[#This Row],[MONTO DISPONIBLE ]]-EJECUTADO[[#This Row],[MONTO SOLICITADO]])&gt;=0,"PRESUPUESTO: SI","PRESUPUESTO: NO")</f>
        <v>PRESUPUESTO: SI</v>
      </c>
      <c r="L1521" s="162">
        <f>SUMIF(PRESUPUESTO[CUENTA],EJECUTADO[[#This Row],[CUENTA]],PRESUPUESTO[MONTO])-SUMIF($F$1:F1520,EJECUTADO[[#This Row],[CUENTA]],$M$1:M1520)</f>
        <v>0</v>
      </c>
      <c r="M1521" s="2"/>
      <c r="N1521" s="84"/>
      <c r="O1521" s="84"/>
      <c r="P1521" s="162">
        <f>+EJECUTADO[[#This Row],[MONTO SOLICITADO]]-EJECUTADO[[#This Row],[RETENCION IVA]]-EJECUTADO[[#This Row],[RETENCION ISR]]</f>
        <v>0</v>
      </c>
      <c r="Q1521" s="84"/>
      <c r="R1521" s="84"/>
      <c r="T1521" s="168" t="e">
        <f t="shared" si="63"/>
        <v>#N/A</v>
      </c>
    </row>
    <row r="1522" spans="1:20" x14ac:dyDescent="0.25">
      <c r="A1522" s="6">
        <f t="shared" si="64"/>
        <v>1383</v>
      </c>
      <c r="B1522" s="21"/>
      <c r="C1522" s="126"/>
      <c r="E1522" s="65"/>
      <c r="G1522" s="161">
        <f>MONTH(EJECUTADO[[#This Row],[FECHA]])</f>
        <v>1</v>
      </c>
      <c r="H1522" s="163" t="str">
        <f>MID(EJECUTADO[[#This Row],[CUENTA]],1,4)</f>
        <v/>
      </c>
      <c r="I1522" s="163" t="e">
        <f>INDEX(CATALOGO[Descripción],MATCH(EJECUTADO[[#This Row],[APLICACIÓN]]&amp;"-00-00-00",CATALOGO[Código],0))</f>
        <v>#N/A</v>
      </c>
      <c r="J152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2" s="161" t="str">
        <f>IF((EJECUTADO[[#This Row],[MONTO DISPONIBLE ]]-EJECUTADO[[#This Row],[MONTO SOLICITADO]])&gt;=0,"PRESUPUESTO: SI","PRESUPUESTO: NO")</f>
        <v>PRESUPUESTO: SI</v>
      </c>
      <c r="L1522" s="162">
        <f>SUMIF(PRESUPUESTO[CUENTA],EJECUTADO[[#This Row],[CUENTA]],PRESUPUESTO[MONTO])-SUMIF($F$1:F1521,EJECUTADO[[#This Row],[CUENTA]],$M$1:M1521)</f>
        <v>0</v>
      </c>
      <c r="M1522" s="2"/>
      <c r="N1522" s="84"/>
      <c r="O1522" s="84"/>
      <c r="P1522" s="162">
        <f>+EJECUTADO[[#This Row],[MONTO SOLICITADO]]-EJECUTADO[[#This Row],[RETENCION IVA]]-EJECUTADO[[#This Row],[RETENCION ISR]]</f>
        <v>0</v>
      </c>
      <c r="Q1522" s="84"/>
      <c r="R1522" s="84"/>
      <c r="T1522" s="168" t="e">
        <f t="shared" si="63"/>
        <v>#N/A</v>
      </c>
    </row>
    <row r="1523" spans="1:20" x14ac:dyDescent="0.25">
      <c r="A1523" s="6">
        <f t="shared" si="64"/>
        <v>1384</v>
      </c>
      <c r="B1523" s="21"/>
      <c r="C1523" s="126"/>
      <c r="E1523" s="65"/>
      <c r="G1523" s="161">
        <f>MONTH(EJECUTADO[[#This Row],[FECHA]])</f>
        <v>1</v>
      </c>
      <c r="H1523" s="163" t="str">
        <f>MID(EJECUTADO[[#This Row],[CUENTA]],1,4)</f>
        <v/>
      </c>
      <c r="I1523" s="163" t="e">
        <f>INDEX(CATALOGO[Descripción],MATCH(EJECUTADO[[#This Row],[APLICACIÓN]]&amp;"-00-00-00",CATALOGO[Código],0))</f>
        <v>#N/A</v>
      </c>
      <c r="J15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3" s="161" t="str">
        <f>IF((EJECUTADO[[#This Row],[MONTO DISPONIBLE ]]-EJECUTADO[[#This Row],[MONTO SOLICITADO]])&gt;=0,"PRESUPUESTO: SI","PRESUPUESTO: NO")</f>
        <v>PRESUPUESTO: SI</v>
      </c>
      <c r="L1523" s="162">
        <f>SUMIF(PRESUPUESTO[CUENTA],EJECUTADO[[#This Row],[CUENTA]],PRESUPUESTO[MONTO])-SUMIF($F$1:F1522,EJECUTADO[[#This Row],[CUENTA]],$M$1:M1522)</f>
        <v>0</v>
      </c>
      <c r="M1523" s="2"/>
      <c r="N1523" s="84"/>
      <c r="O1523" s="84"/>
      <c r="P1523" s="162">
        <f>+EJECUTADO[[#This Row],[MONTO SOLICITADO]]-EJECUTADO[[#This Row],[RETENCION IVA]]-EJECUTADO[[#This Row],[RETENCION ISR]]</f>
        <v>0</v>
      </c>
      <c r="Q1523" s="84"/>
      <c r="R1523" s="84"/>
      <c r="T1523" s="168" t="e">
        <f t="shared" si="63"/>
        <v>#N/A</v>
      </c>
    </row>
    <row r="1524" spans="1:20" x14ac:dyDescent="0.25">
      <c r="A1524" s="6">
        <f t="shared" si="64"/>
        <v>1385</v>
      </c>
      <c r="B1524" s="21"/>
      <c r="C1524" s="126"/>
      <c r="E1524" s="65"/>
      <c r="G1524" s="161">
        <f>MONTH(EJECUTADO[[#This Row],[FECHA]])</f>
        <v>1</v>
      </c>
      <c r="H1524" s="163" t="str">
        <f>MID(EJECUTADO[[#This Row],[CUENTA]],1,4)</f>
        <v/>
      </c>
      <c r="I1524" s="163" t="e">
        <f>INDEX(CATALOGO[Descripción],MATCH(EJECUTADO[[#This Row],[APLICACIÓN]]&amp;"-00-00-00",CATALOGO[Código],0))</f>
        <v>#N/A</v>
      </c>
      <c r="J15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4" s="161" t="str">
        <f>IF((EJECUTADO[[#This Row],[MONTO DISPONIBLE ]]-EJECUTADO[[#This Row],[MONTO SOLICITADO]])&gt;=0,"PRESUPUESTO: SI","PRESUPUESTO: NO")</f>
        <v>PRESUPUESTO: SI</v>
      </c>
      <c r="L1524" s="162">
        <f>SUMIF(PRESUPUESTO[CUENTA],EJECUTADO[[#This Row],[CUENTA]],PRESUPUESTO[MONTO])-SUMIF($F$1:F1523,EJECUTADO[[#This Row],[CUENTA]],$M$1:M1523)</f>
        <v>0</v>
      </c>
      <c r="M1524" s="2"/>
      <c r="N1524" s="84"/>
      <c r="O1524" s="84"/>
      <c r="P1524" s="162">
        <f>+EJECUTADO[[#This Row],[MONTO SOLICITADO]]-EJECUTADO[[#This Row],[RETENCION IVA]]-EJECUTADO[[#This Row],[RETENCION ISR]]</f>
        <v>0</v>
      </c>
      <c r="Q1524" s="84"/>
      <c r="R1524" s="84"/>
      <c r="T1524" s="168" t="e">
        <f t="shared" si="63"/>
        <v>#N/A</v>
      </c>
    </row>
    <row r="1525" spans="1:20" x14ac:dyDescent="0.25">
      <c r="A1525" s="6">
        <f t="shared" si="64"/>
        <v>1386</v>
      </c>
      <c r="B1525" s="21"/>
      <c r="C1525" s="126"/>
      <c r="E1525" s="65"/>
      <c r="G1525" s="161">
        <f>MONTH(EJECUTADO[[#This Row],[FECHA]])</f>
        <v>1</v>
      </c>
      <c r="H1525" s="163" t="str">
        <f>MID(EJECUTADO[[#This Row],[CUENTA]],1,4)</f>
        <v/>
      </c>
      <c r="I1525" s="163" t="e">
        <f>INDEX(CATALOGO[Descripción],MATCH(EJECUTADO[[#This Row],[APLICACIÓN]]&amp;"-00-00-00",CATALOGO[Código],0))</f>
        <v>#N/A</v>
      </c>
      <c r="J152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5" s="161" t="str">
        <f>IF((EJECUTADO[[#This Row],[MONTO DISPONIBLE ]]-EJECUTADO[[#This Row],[MONTO SOLICITADO]])&gt;=0,"PRESUPUESTO: SI","PRESUPUESTO: NO")</f>
        <v>PRESUPUESTO: SI</v>
      </c>
      <c r="L1525" s="162">
        <f>SUMIF(PRESUPUESTO[CUENTA],EJECUTADO[[#This Row],[CUENTA]],PRESUPUESTO[MONTO])-SUMIF($F$1:F1524,EJECUTADO[[#This Row],[CUENTA]],$M$1:M1524)</f>
        <v>0</v>
      </c>
      <c r="M1525" s="2"/>
      <c r="N1525" s="84"/>
      <c r="O1525" s="84"/>
      <c r="P1525" s="162">
        <f>+EJECUTADO[[#This Row],[MONTO SOLICITADO]]-EJECUTADO[[#This Row],[RETENCION IVA]]-EJECUTADO[[#This Row],[RETENCION ISR]]</f>
        <v>0</v>
      </c>
      <c r="Q1525" s="84"/>
      <c r="R1525" s="84"/>
      <c r="T1525" s="168" t="e">
        <f t="shared" si="63"/>
        <v>#N/A</v>
      </c>
    </row>
    <row r="1526" spans="1:20" x14ac:dyDescent="0.25">
      <c r="A1526" s="6">
        <f t="shared" si="64"/>
        <v>1387</v>
      </c>
      <c r="B1526" s="21"/>
      <c r="C1526" s="126"/>
      <c r="E1526" s="65"/>
      <c r="G1526" s="161">
        <f>MONTH(EJECUTADO[[#This Row],[FECHA]])</f>
        <v>1</v>
      </c>
      <c r="H1526" s="163" t="str">
        <f>MID(EJECUTADO[[#This Row],[CUENTA]],1,4)</f>
        <v/>
      </c>
      <c r="I1526" s="163" t="e">
        <f>INDEX(CATALOGO[Descripción],MATCH(EJECUTADO[[#This Row],[APLICACIÓN]]&amp;"-00-00-00",CATALOGO[Código],0))</f>
        <v>#N/A</v>
      </c>
      <c r="J152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6" s="161" t="str">
        <f>IF((EJECUTADO[[#This Row],[MONTO DISPONIBLE ]]-EJECUTADO[[#This Row],[MONTO SOLICITADO]])&gt;=0,"PRESUPUESTO: SI","PRESUPUESTO: NO")</f>
        <v>PRESUPUESTO: SI</v>
      </c>
      <c r="L1526" s="162">
        <f>SUMIF(PRESUPUESTO[CUENTA],EJECUTADO[[#This Row],[CUENTA]],PRESUPUESTO[MONTO])-SUMIF($F$1:F1525,EJECUTADO[[#This Row],[CUENTA]],$M$1:M1525)</f>
        <v>0</v>
      </c>
      <c r="M1526" s="2"/>
      <c r="N1526" s="84"/>
      <c r="O1526" s="84"/>
      <c r="P1526" s="162">
        <f>+EJECUTADO[[#This Row],[MONTO SOLICITADO]]-EJECUTADO[[#This Row],[RETENCION IVA]]-EJECUTADO[[#This Row],[RETENCION ISR]]</f>
        <v>0</v>
      </c>
      <c r="Q1526" s="84"/>
      <c r="R1526" s="84"/>
      <c r="T1526" s="168" t="e">
        <f t="shared" si="63"/>
        <v>#N/A</v>
      </c>
    </row>
    <row r="1527" spans="1:20" x14ac:dyDescent="0.25">
      <c r="A1527" s="6">
        <f t="shared" si="64"/>
        <v>1388</v>
      </c>
      <c r="B1527" s="21"/>
      <c r="C1527" s="126"/>
      <c r="E1527" s="65"/>
      <c r="G1527" s="161">
        <f>MONTH(EJECUTADO[[#This Row],[FECHA]])</f>
        <v>1</v>
      </c>
      <c r="H1527" s="163" t="str">
        <f>MID(EJECUTADO[[#This Row],[CUENTA]],1,4)</f>
        <v/>
      </c>
      <c r="I1527" s="163" t="e">
        <f>INDEX(CATALOGO[Descripción],MATCH(EJECUTADO[[#This Row],[APLICACIÓN]]&amp;"-00-00-00",CATALOGO[Código],0))</f>
        <v>#N/A</v>
      </c>
      <c r="J152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7" s="161" t="str">
        <f>IF((EJECUTADO[[#This Row],[MONTO DISPONIBLE ]]-EJECUTADO[[#This Row],[MONTO SOLICITADO]])&gt;=0,"PRESUPUESTO: SI","PRESUPUESTO: NO")</f>
        <v>PRESUPUESTO: SI</v>
      </c>
      <c r="L1527" s="162">
        <f>SUMIF(PRESUPUESTO[CUENTA],EJECUTADO[[#This Row],[CUENTA]],PRESUPUESTO[MONTO])-SUMIF($F$1:F1526,EJECUTADO[[#This Row],[CUENTA]],$M$1:M1526)</f>
        <v>0</v>
      </c>
      <c r="M1527" s="2"/>
      <c r="N1527" s="84"/>
      <c r="O1527" s="84"/>
      <c r="P1527" s="162">
        <f>+EJECUTADO[[#This Row],[MONTO SOLICITADO]]-EJECUTADO[[#This Row],[RETENCION IVA]]-EJECUTADO[[#This Row],[RETENCION ISR]]</f>
        <v>0</v>
      </c>
      <c r="Q1527" s="84"/>
      <c r="R1527" s="84"/>
      <c r="T1527" s="168" t="e">
        <f t="shared" si="63"/>
        <v>#N/A</v>
      </c>
    </row>
    <row r="1528" spans="1:20" x14ac:dyDescent="0.25">
      <c r="A1528" s="6">
        <f t="shared" si="64"/>
        <v>1389</v>
      </c>
      <c r="B1528" s="21"/>
      <c r="C1528" s="126"/>
      <c r="E1528" s="65"/>
      <c r="G1528" s="161">
        <f>MONTH(EJECUTADO[[#This Row],[FECHA]])</f>
        <v>1</v>
      </c>
      <c r="H1528" s="163" t="str">
        <f>MID(EJECUTADO[[#This Row],[CUENTA]],1,4)</f>
        <v/>
      </c>
      <c r="I1528" s="163" t="e">
        <f>INDEX(CATALOGO[Descripción],MATCH(EJECUTADO[[#This Row],[APLICACIÓN]]&amp;"-00-00-00",CATALOGO[Código],0))</f>
        <v>#N/A</v>
      </c>
      <c r="J152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8" s="161" t="str">
        <f>IF((EJECUTADO[[#This Row],[MONTO DISPONIBLE ]]-EJECUTADO[[#This Row],[MONTO SOLICITADO]])&gt;=0,"PRESUPUESTO: SI","PRESUPUESTO: NO")</f>
        <v>PRESUPUESTO: SI</v>
      </c>
      <c r="L1528" s="162">
        <f>SUMIF(PRESUPUESTO[CUENTA],EJECUTADO[[#This Row],[CUENTA]],PRESUPUESTO[MONTO])-SUMIF($F$1:F1527,EJECUTADO[[#This Row],[CUENTA]],$M$1:M1527)</f>
        <v>0</v>
      </c>
      <c r="M1528" s="2"/>
      <c r="N1528" s="84"/>
      <c r="O1528" s="84"/>
      <c r="P1528" s="162">
        <f>+EJECUTADO[[#This Row],[MONTO SOLICITADO]]-EJECUTADO[[#This Row],[RETENCION IVA]]-EJECUTADO[[#This Row],[RETENCION ISR]]</f>
        <v>0</v>
      </c>
      <c r="Q1528" s="84"/>
      <c r="R1528" s="84"/>
      <c r="T1528" s="168" t="e">
        <f t="shared" si="63"/>
        <v>#N/A</v>
      </c>
    </row>
    <row r="1529" spans="1:20" x14ac:dyDescent="0.25">
      <c r="A1529" s="6">
        <f t="shared" si="64"/>
        <v>1390</v>
      </c>
      <c r="B1529" s="21"/>
      <c r="C1529" s="126"/>
      <c r="E1529" s="65"/>
      <c r="G1529" s="161">
        <f>MONTH(EJECUTADO[[#This Row],[FECHA]])</f>
        <v>1</v>
      </c>
      <c r="H1529" s="163" t="str">
        <f>MID(EJECUTADO[[#This Row],[CUENTA]],1,4)</f>
        <v/>
      </c>
      <c r="I1529" s="163" t="e">
        <f>INDEX(CATALOGO[Descripción],MATCH(EJECUTADO[[#This Row],[APLICACIÓN]]&amp;"-00-00-00",CATALOGO[Código],0))</f>
        <v>#N/A</v>
      </c>
      <c r="J152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29" s="161" t="str">
        <f>IF((EJECUTADO[[#This Row],[MONTO DISPONIBLE ]]-EJECUTADO[[#This Row],[MONTO SOLICITADO]])&gt;=0,"PRESUPUESTO: SI","PRESUPUESTO: NO")</f>
        <v>PRESUPUESTO: SI</v>
      </c>
      <c r="L1529" s="162">
        <f>SUMIF(PRESUPUESTO[CUENTA],EJECUTADO[[#This Row],[CUENTA]],PRESUPUESTO[MONTO])-SUMIF($F$1:F1528,EJECUTADO[[#This Row],[CUENTA]],$M$1:M1528)</f>
        <v>0</v>
      </c>
      <c r="M1529" s="2"/>
      <c r="N1529" s="84"/>
      <c r="O1529" s="84"/>
      <c r="P1529" s="162">
        <f>+EJECUTADO[[#This Row],[MONTO SOLICITADO]]-EJECUTADO[[#This Row],[RETENCION IVA]]-EJECUTADO[[#This Row],[RETENCION ISR]]</f>
        <v>0</v>
      </c>
      <c r="Q1529" s="84"/>
      <c r="R1529" s="84"/>
      <c r="T1529" s="168" t="e">
        <f t="shared" si="63"/>
        <v>#N/A</v>
      </c>
    </row>
    <row r="1530" spans="1:20" x14ac:dyDescent="0.25">
      <c r="A1530" s="6">
        <f t="shared" si="64"/>
        <v>1391</v>
      </c>
      <c r="B1530" s="21"/>
      <c r="C1530" s="126"/>
      <c r="E1530" s="65"/>
      <c r="G1530" s="161">
        <f>MONTH(EJECUTADO[[#This Row],[FECHA]])</f>
        <v>1</v>
      </c>
      <c r="H1530" s="163" t="str">
        <f>MID(EJECUTADO[[#This Row],[CUENTA]],1,4)</f>
        <v/>
      </c>
      <c r="I1530" s="163" t="e">
        <f>INDEX(CATALOGO[Descripción],MATCH(EJECUTADO[[#This Row],[APLICACIÓN]]&amp;"-00-00-00",CATALOGO[Código],0))</f>
        <v>#N/A</v>
      </c>
      <c r="J153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0" s="161" t="str">
        <f>IF((EJECUTADO[[#This Row],[MONTO DISPONIBLE ]]-EJECUTADO[[#This Row],[MONTO SOLICITADO]])&gt;=0,"PRESUPUESTO: SI","PRESUPUESTO: NO")</f>
        <v>PRESUPUESTO: SI</v>
      </c>
      <c r="L1530" s="162">
        <f>SUMIF(PRESUPUESTO[CUENTA],EJECUTADO[[#This Row],[CUENTA]],PRESUPUESTO[MONTO])-SUMIF($F$1:F1529,EJECUTADO[[#This Row],[CUENTA]],$M$1:M1529)</f>
        <v>0</v>
      </c>
      <c r="M1530" s="2"/>
      <c r="N1530" s="84"/>
      <c r="O1530" s="84"/>
      <c r="P1530" s="162">
        <f>+EJECUTADO[[#This Row],[MONTO SOLICITADO]]-EJECUTADO[[#This Row],[RETENCION IVA]]-EJECUTADO[[#This Row],[RETENCION ISR]]</f>
        <v>0</v>
      </c>
      <c r="Q1530" s="84"/>
      <c r="R1530" s="84"/>
      <c r="T1530" s="168" t="e">
        <f t="shared" si="63"/>
        <v>#N/A</v>
      </c>
    </row>
    <row r="1531" spans="1:20" x14ac:dyDescent="0.25">
      <c r="A1531" s="6">
        <f t="shared" si="64"/>
        <v>1392</v>
      </c>
      <c r="B1531" s="21"/>
      <c r="C1531" s="126"/>
      <c r="E1531" s="65"/>
      <c r="G1531" s="161">
        <f>MONTH(EJECUTADO[[#This Row],[FECHA]])</f>
        <v>1</v>
      </c>
      <c r="H1531" s="163" t="str">
        <f>MID(EJECUTADO[[#This Row],[CUENTA]],1,4)</f>
        <v/>
      </c>
      <c r="I1531" s="163" t="e">
        <f>INDEX(CATALOGO[Descripción],MATCH(EJECUTADO[[#This Row],[APLICACIÓN]]&amp;"-00-00-00",CATALOGO[Código],0))</f>
        <v>#N/A</v>
      </c>
      <c r="J153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1" s="161" t="str">
        <f>IF((EJECUTADO[[#This Row],[MONTO DISPONIBLE ]]-EJECUTADO[[#This Row],[MONTO SOLICITADO]])&gt;=0,"PRESUPUESTO: SI","PRESUPUESTO: NO")</f>
        <v>PRESUPUESTO: SI</v>
      </c>
      <c r="L1531" s="162">
        <f>SUMIF(PRESUPUESTO[CUENTA],EJECUTADO[[#This Row],[CUENTA]],PRESUPUESTO[MONTO])-SUMIF($F$1:F1530,EJECUTADO[[#This Row],[CUENTA]],$M$1:M1530)</f>
        <v>0</v>
      </c>
      <c r="M1531" s="2"/>
      <c r="N1531" s="84"/>
      <c r="O1531" s="84"/>
      <c r="P1531" s="162">
        <f>+EJECUTADO[[#This Row],[MONTO SOLICITADO]]-EJECUTADO[[#This Row],[RETENCION IVA]]-EJECUTADO[[#This Row],[RETENCION ISR]]</f>
        <v>0</v>
      </c>
      <c r="Q1531" s="84"/>
      <c r="R1531" s="84"/>
      <c r="T1531" s="168" t="e">
        <f t="shared" si="63"/>
        <v>#N/A</v>
      </c>
    </row>
    <row r="1532" spans="1:20" x14ac:dyDescent="0.25">
      <c r="A1532" s="6">
        <f t="shared" si="64"/>
        <v>1393</v>
      </c>
      <c r="B1532" s="21"/>
      <c r="C1532" s="126"/>
      <c r="E1532" s="65"/>
      <c r="G1532" s="161">
        <f>MONTH(EJECUTADO[[#This Row],[FECHA]])</f>
        <v>1</v>
      </c>
      <c r="H1532" s="163" t="str">
        <f>MID(EJECUTADO[[#This Row],[CUENTA]],1,4)</f>
        <v/>
      </c>
      <c r="I1532" s="163" t="e">
        <f>INDEX(CATALOGO[Descripción],MATCH(EJECUTADO[[#This Row],[APLICACIÓN]]&amp;"-00-00-00",CATALOGO[Código],0))</f>
        <v>#N/A</v>
      </c>
      <c r="J153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2" s="161" t="str">
        <f>IF((EJECUTADO[[#This Row],[MONTO DISPONIBLE ]]-EJECUTADO[[#This Row],[MONTO SOLICITADO]])&gt;=0,"PRESUPUESTO: SI","PRESUPUESTO: NO")</f>
        <v>PRESUPUESTO: SI</v>
      </c>
      <c r="L1532" s="162">
        <f>SUMIF(PRESUPUESTO[CUENTA],EJECUTADO[[#This Row],[CUENTA]],PRESUPUESTO[MONTO])-SUMIF($F$1:F1531,EJECUTADO[[#This Row],[CUENTA]],$M$1:M1531)</f>
        <v>0</v>
      </c>
      <c r="M1532" s="2"/>
      <c r="N1532" s="84"/>
      <c r="O1532" s="84"/>
      <c r="P1532" s="162">
        <f>+EJECUTADO[[#This Row],[MONTO SOLICITADO]]-EJECUTADO[[#This Row],[RETENCION IVA]]-EJECUTADO[[#This Row],[RETENCION ISR]]</f>
        <v>0</v>
      </c>
      <c r="Q1532" s="84"/>
      <c r="R1532" s="84"/>
      <c r="T1532" s="168" t="e">
        <f t="shared" si="63"/>
        <v>#N/A</v>
      </c>
    </row>
    <row r="1533" spans="1:20" x14ac:dyDescent="0.25">
      <c r="A1533" s="6">
        <f t="shared" si="64"/>
        <v>1394</v>
      </c>
      <c r="B1533" s="21"/>
      <c r="C1533" s="126"/>
      <c r="E1533" s="65"/>
      <c r="G1533" s="161">
        <f>MONTH(EJECUTADO[[#This Row],[FECHA]])</f>
        <v>1</v>
      </c>
      <c r="H1533" s="163" t="str">
        <f>MID(EJECUTADO[[#This Row],[CUENTA]],1,4)</f>
        <v/>
      </c>
      <c r="I1533" s="163" t="e">
        <f>INDEX(CATALOGO[Descripción],MATCH(EJECUTADO[[#This Row],[APLICACIÓN]]&amp;"-00-00-00",CATALOGO[Código],0))</f>
        <v>#N/A</v>
      </c>
      <c r="J153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3" s="161" t="str">
        <f>IF((EJECUTADO[[#This Row],[MONTO DISPONIBLE ]]-EJECUTADO[[#This Row],[MONTO SOLICITADO]])&gt;=0,"PRESUPUESTO: SI","PRESUPUESTO: NO")</f>
        <v>PRESUPUESTO: SI</v>
      </c>
      <c r="L1533" s="162">
        <f>SUMIF(PRESUPUESTO[CUENTA],EJECUTADO[[#This Row],[CUENTA]],PRESUPUESTO[MONTO])-SUMIF($F$1:F1532,EJECUTADO[[#This Row],[CUENTA]],$M$1:M1532)</f>
        <v>0</v>
      </c>
      <c r="M1533" s="2"/>
      <c r="N1533" s="84"/>
      <c r="O1533" s="84"/>
      <c r="P1533" s="162">
        <f>+EJECUTADO[[#This Row],[MONTO SOLICITADO]]-EJECUTADO[[#This Row],[RETENCION IVA]]-EJECUTADO[[#This Row],[RETENCION ISR]]</f>
        <v>0</v>
      </c>
      <c r="Q1533" s="84"/>
      <c r="R1533" s="84"/>
      <c r="T1533" s="168" t="e">
        <f t="shared" ref="T1533:T1596" si="65">_xlfn.CONCAT(I1533," - ",J1533," Disponible $",L1533," Solicitado $",M1533," ",K1533,)</f>
        <v>#N/A</v>
      </c>
    </row>
    <row r="1534" spans="1:20" x14ac:dyDescent="0.25">
      <c r="A1534" s="6">
        <f t="shared" si="64"/>
        <v>1395</v>
      </c>
      <c r="B1534" s="21"/>
      <c r="C1534" s="126"/>
      <c r="E1534" s="65"/>
      <c r="G1534" s="161">
        <f>MONTH(EJECUTADO[[#This Row],[FECHA]])</f>
        <v>1</v>
      </c>
      <c r="H1534" s="163" t="str">
        <f>MID(EJECUTADO[[#This Row],[CUENTA]],1,4)</f>
        <v/>
      </c>
      <c r="I1534" s="163" t="e">
        <f>INDEX(CATALOGO[Descripción],MATCH(EJECUTADO[[#This Row],[APLICACIÓN]]&amp;"-00-00-00",CATALOGO[Código],0))</f>
        <v>#N/A</v>
      </c>
      <c r="J153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4" s="161" t="str">
        <f>IF((EJECUTADO[[#This Row],[MONTO DISPONIBLE ]]-EJECUTADO[[#This Row],[MONTO SOLICITADO]])&gt;=0,"PRESUPUESTO: SI","PRESUPUESTO: NO")</f>
        <v>PRESUPUESTO: SI</v>
      </c>
      <c r="L1534" s="162">
        <f>SUMIF(PRESUPUESTO[CUENTA],EJECUTADO[[#This Row],[CUENTA]],PRESUPUESTO[MONTO])-SUMIF($F$1:F1533,EJECUTADO[[#This Row],[CUENTA]],$M$1:M1533)</f>
        <v>0</v>
      </c>
      <c r="M1534" s="2"/>
      <c r="N1534" s="84"/>
      <c r="O1534" s="84"/>
      <c r="P1534" s="162">
        <f>+EJECUTADO[[#This Row],[MONTO SOLICITADO]]-EJECUTADO[[#This Row],[RETENCION IVA]]-EJECUTADO[[#This Row],[RETENCION ISR]]</f>
        <v>0</v>
      </c>
      <c r="Q1534" s="84"/>
      <c r="R1534" s="84"/>
      <c r="T1534" s="168" t="e">
        <f t="shared" si="65"/>
        <v>#N/A</v>
      </c>
    </row>
    <row r="1535" spans="1:20" x14ac:dyDescent="0.25">
      <c r="A1535" s="6">
        <f t="shared" si="64"/>
        <v>1396</v>
      </c>
      <c r="B1535" s="21"/>
      <c r="C1535" s="126"/>
      <c r="E1535" s="65"/>
      <c r="G1535" s="161">
        <f>MONTH(EJECUTADO[[#This Row],[FECHA]])</f>
        <v>1</v>
      </c>
      <c r="H1535" s="163" t="str">
        <f>MID(EJECUTADO[[#This Row],[CUENTA]],1,4)</f>
        <v/>
      </c>
      <c r="I1535" s="163" t="e">
        <f>INDEX(CATALOGO[Descripción],MATCH(EJECUTADO[[#This Row],[APLICACIÓN]]&amp;"-00-00-00",CATALOGO[Código],0))</f>
        <v>#N/A</v>
      </c>
      <c r="J153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5" s="161" t="str">
        <f>IF((EJECUTADO[[#This Row],[MONTO DISPONIBLE ]]-EJECUTADO[[#This Row],[MONTO SOLICITADO]])&gt;=0,"PRESUPUESTO: SI","PRESUPUESTO: NO")</f>
        <v>PRESUPUESTO: SI</v>
      </c>
      <c r="L1535" s="162">
        <f>SUMIF(PRESUPUESTO[CUENTA],EJECUTADO[[#This Row],[CUENTA]],PRESUPUESTO[MONTO])-SUMIF($F$1:F1534,EJECUTADO[[#This Row],[CUENTA]],$M$1:M1534)</f>
        <v>0</v>
      </c>
      <c r="M1535" s="2"/>
      <c r="N1535" s="84"/>
      <c r="O1535" s="84"/>
      <c r="P1535" s="162">
        <f>+EJECUTADO[[#This Row],[MONTO SOLICITADO]]-EJECUTADO[[#This Row],[RETENCION IVA]]-EJECUTADO[[#This Row],[RETENCION ISR]]</f>
        <v>0</v>
      </c>
      <c r="Q1535" s="84"/>
      <c r="R1535" s="84"/>
      <c r="T1535" s="168" t="e">
        <f t="shared" si="65"/>
        <v>#N/A</v>
      </c>
    </row>
    <row r="1536" spans="1:20" x14ac:dyDescent="0.25">
      <c r="A1536" s="6">
        <f t="shared" si="64"/>
        <v>1397</v>
      </c>
      <c r="B1536" s="21"/>
      <c r="C1536" s="126"/>
      <c r="E1536" s="65"/>
      <c r="G1536" s="161">
        <f>MONTH(EJECUTADO[[#This Row],[FECHA]])</f>
        <v>1</v>
      </c>
      <c r="H1536" s="163" t="str">
        <f>MID(EJECUTADO[[#This Row],[CUENTA]],1,4)</f>
        <v/>
      </c>
      <c r="I1536" s="163" t="e">
        <f>INDEX(CATALOGO[Descripción],MATCH(EJECUTADO[[#This Row],[APLICACIÓN]]&amp;"-00-00-00",CATALOGO[Código],0))</f>
        <v>#N/A</v>
      </c>
      <c r="J153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6" s="161" t="str">
        <f>IF((EJECUTADO[[#This Row],[MONTO DISPONIBLE ]]-EJECUTADO[[#This Row],[MONTO SOLICITADO]])&gt;=0,"PRESUPUESTO: SI","PRESUPUESTO: NO")</f>
        <v>PRESUPUESTO: SI</v>
      </c>
      <c r="L1536" s="162">
        <f>SUMIF(PRESUPUESTO[CUENTA],EJECUTADO[[#This Row],[CUENTA]],PRESUPUESTO[MONTO])-SUMIF($F$1:F1535,EJECUTADO[[#This Row],[CUENTA]],$M$1:M1535)</f>
        <v>0</v>
      </c>
      <c r="M1536" s="2"/>
      <c r="N1536" s="84"/>
      <c r="O1536" s="84"/>
      <c r="P1536" s="162">
        <f>+EJECUTADO[[#This Row],[MONTO SOLICITADO]]-EJECUTADO[[#This Row],[RETENCION IVA]]-EJECUTADO[[#This Row],[RETENCION ISR]]</f>
        <v>0</v>
      </c>
      <c r="Q1536" s="84"/>
      <c r="R1536" s="84"/>
      <c r="T1536" s="168" t="e">
        <f t="shared" si="65"/>
        <v>#N/A</v>
      </c>
    </row>
    <row r="1537" spans="1:20" x14ac:dyDescent="0.25">
      <c r="A1537" s="6">
        <f t="shared" si="64"/>
        <v>1398</v>
      </c>
      <c r="B1537" s="21"/>
      <c r="C1537" s="126"/>
      <c r="E1537" s="65"/>
      <c r="G1537" s="161">
        <f>MONTH(EJECUTADO[[#This Row],[FECHA]])</f>
        <v>1</v>
      </c>
      <c r="H1537" s="163" t="str">
        <f>MID(EJECUTADO[[#This Row],[CUENTA]],1,4)</f>
        <v/>
      </c>
      <c r="I1537" s="163" t="e">
        <f>INDEX(CATALOGO[Descripción],MATCH(EJECUTADO[[#This Row],[APLICACIÓN]]&amp;"-00-00-00",CATALOGO[Código],0))</f>
        <v>#N/A</v>
      </c>
      <c r="J153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7" s="161" t="str">
        <f>IF((EJECUTADO[[#This Row],[MONTO DISPONIBLE ]]-EJECUTADO[[#This Row],[MONTO SOLICITADO]])&gt;=0,"PRESUPUESTO: SI","PRESUPUESTO: NO")</f>
        <v>PRESUPUESTO: SI</v>
      </c>
      <c r="L1537" s="162">
        <f>SUMIF(PRESUPUESTO[CUENTA],EJECUTADO[[#This Row],[CUENTA]],PRESUPUESTO[MONTO])-SUMIF($F$1:F1536,EJECUTADO[[#This Row],[CUENTA]],$M$1:M1536)</f>
        <v>0</v>
      </c>
      <c r="M1537" s="2"/>
      <c r="N1537" s="84"/>
      <c r="O1537" s="84"/>
      <c r="P1537" s="162">
        <f>+EJECUTADO[[#This Row],[MONTO SOLICITADO]]-EJECUTADO[[#This Row],[RETENCION IVA]]-EJECUTADO[[#This Row],[RETENCION ISR]]</f>
        <v>0</v>
      </c>
      <c r="Q1537" s="84"/>
      <c r="R1537" s="84"/>
      <c r="T1537" s="168" t="e">
        <f t="shared" si="65"/>
        <v>#N/A</v>
      </c>
    </row>
    <row r="1538" spans="1:20" x14ac:dyDescent="0.25">
      <c r="A1538" s="6">
        <f t="shared" ref="A1538:A1601" si="66">+A1537+1</f>
        <v>1399</v>
      </c>
      <c r="B1538" s="21"/>
      <c r="C1538" s="126"/>
      <c r="E1538" s="65"/>
      <c r="G1538" s="161">
        <f>MONTH(EJECUTADO[[#This Row],[FECHA]])</f>
        <v>1</v>
      </c>
      <c r="H1538" s="163" t="str">
        <f>MID(EJECUTADO[[#This Row],[CUENTA]],1,4)</f>
        <v/>
      </c>
      <c r="I1538" s="163" t="e">
        <f>INDEX(CATALOGO[Descripción],MATCH(EJECUTADO[[#This Row],[APLICACIÓN]]&amp;"-00-00-00",CATALOGO[Código],0))</f>
        <v>#N/A</v>
      </c>
      <c r="J153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8" s="161" t="str">
        <f>IF((EJECUTADO[[#This Row],[MONTO DISPONIBLE ]]-EJECUTADO[[#This Row],[MONTO SOLICITADO]])&gt;=0,"PRESUPUESTO: SI","PRESUPUESTO: NO")</f>
        <v>PRESUPUESTO: SI</v>
      </c>
      <c r="L1538" s="162">
        <f>SUMIF(PRESUPUESTO[CUENTA],EJECUTADO[[#This Row],[CUENTA]],PRESUPUESTO[MONTO])-SUMIF($F$1:F1537,EJECUTADO[[#This Row],[CUENTA]],$M$1:M1537)</f>
        <v>0</v>
      </c>
      <c r="M1538" s="2"/>
      <c r="N1538" s="84"/>
      <c r="O1538" s="84"/>
      <c r="P1538" s="162">
        <f>+EJECUTADO[[#This Row],[MONTO SOLICITADO]]-EJECUTADO[[#This Row],[RETENCION IVA]]-EJECUTADO[[#This Row],[RETENCION ISR]]</f>
        <v>0</v>
      </c>
      <c r="Q1538" s="84"/>
      <c r="R1538" s="84"/>
      <c r="T1538" s="168" t="e">
        <f t="shared" si="65"/>
        <v>#N/A</v>
      </c>
    </row>
    <row r="1539" spans="1:20" x14ac:dyDescent="0.25">
      <c r="A1539" s="6">
        <f t="shared" si="66"/>
        <v>1400</v>
      </c>
      <c r="B1539" s="21"/>
      <c r="C1539" s="126"/>
      <c r="E1539" s="65"/>
      <c r="G1539" s="161">
        <f>MONTH(EJECUTADO[[#This Row],[FECHA]])</f>
        <v>1</v>
      </c>
      <c r="H1539" s="163" t="str">
        <f>MID(EJECUTADO[[#This Row],[CUENTA]],1,4)</f>
        <v/>
      </c>
      <c r="I1539" s="163" t="e">
        <f>INDEX(CATALOGO[Descripción],MATCH(EJECUTADO[[#This Row],[APLICACIÓN]]&amp;"-00-00-00",CATALOGO[Código],0))</f>
        <v>#N/A</v>
      </c>
      <c r="J153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39" s="161" t="str">
        <f>IF((EJECUTADO[[#This Row],[MONTO DISPONIBLE ]]-EJECUTADO[[#This Row],[MONTO SOLICITADO]])&gt;=0,"PRESUPUESTO: SI","PRESUPUESTO: NO")</f>
        <v>PRESUPUESTO: SI</v>
      </c>
      <c r="L1539" s="162">
        <f>SUMIF(PRESUPUESTO[CUENTA],EJECUTADO[[#This Row],[CUENTA]],PRESUPUESTO[MONTO])-SUMIF($F$1:F1538,EJECUTADO[[#This Row],[CUENTA]],$M$1:M1538)</f>
        <v>0</v>
      </c>
      <c r="M1539" s="2"/>
      <c r="N1539" s="84"/>
      <c r="O1539" s="84"/>
      <c r="P1539" s="162">
        <f>+EJECUTADO[[#This Row],[MONTO SOLICITADO]]-EJECUTADO[[#This Row],[RETENCION IVA]]-EJECUTADO[[#This Row],[RETENCION ISR]]</f>
        <v>0</v>
      </c>
      <c r="Q1539" s="84"/>
      <c r="R1539" s="84"/>
      <c r="T1539" s="168" t="e">
        <f t="shared" si="65"/>
        <v>#N/A</v>
      </c>
    </row>
    <row r="1540" spans="1:20" x14ac:dyDescent="0.25">
      <c r="A1540" s="6">
        <f t="shared" si="66"/>
        <v>1401</v>
      </c>
      <c r="B1540" s="21"/>
      <c r="C1540" s="126"/>
      <c r="E1540" s="65"/>
      <c r="G1540" s="161">
        <f>MONTH(EJECUTADO[[#This Row],[FECHA]])</f>
        <v>1</v>
      </c>
      <c r="H1540" s="163" t="str">
        <f>MID(EJECUTADO[[#This Row],[CUENTA]],1,4)</f>
        <v/>
      </c>
      <c r="I1540" s="163" t="e">
        <f>INDEX(CATALOGO[Descripción],MATCH(EJECUTADO[[#This Row],[APLICACIÓN]]&amp;"-00-00-00",CATALOGO[Código],0))</f>
        <v>#N/A</v>
      </c>
      <c r="J154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0" s="161" t="str">
        <f>IF((EJECUTADO[[#This Row],[MONTO DISPONIBLE ]]-EJECUTADO[[#This Row],[MONTO SOLICITADO]])&gt;=0,"PRESUPUESTO: SI","PRESUPUESTO: NO")</f>
        <v>PRESUPUESTO: SI</v>
      </c>
      <c r="L1540" s="162">
        <f>SUMIF(PRESUPUESTO[CUENTA],EJECUTADO[[#This Row],[CUENTA]],PRESUPUESTO[MONTO])-SUMIF($F$1:F1539,EJECUTADO[[#This Row],[CUENTA]],$M$1:M1539)</f>
        <v>0</v>
      </c>
      <c r="M1540" s="2"/>
      <c r="N1540" s="84"/>
      <c r="O1540" s="84"/>
      <c r="P1540" s="162">
        <f>+EJECUTADO[[#This Row],[MONTO SOLICITADO]]-EJECUTADO[[#This Row],[RETENCION IVA]]-EJECUTADO[[#This Row],[RETENCION ISR]]</f>
        <v>0</v>
      </c>
      <c r="Q1540" s="84"/>
      <c r="R1540" s="84"/>
      <c r="T1540" s="168" t="e">
        <f t="shared" si="65"/>
        <v>#N/A</v>
      </c>
    </row>
    <row r="1541" spans="1:20" x14ac:dyDescent="0.25">
      <c r="A1541" s="6">
        <f t="shared" si="66"/>
        <v>1402</v>
      </c>
      <c r="B1541" s="21"/>
      <c r="C1541" s="126"/>
      <c r="E1541" s="65"/>
      <c r="G1541" s="161">
        <f>MONTH(EJECUTADO[[#This Row],[FECHA]])</f>
        <v>1</v>
      </c>
      <c r="H1541" s="163" t="str">
        <f>MID(EJECUTADO[[#This Row],[CUENTA]],1,4)</f>
        <v/>
      </c>
      <c r="I1541" s="163" t="e">
        <f>INDEX(CATALOGO[Descripción],MATCH(EJECUTADO[[#This Row],[APLICACIÓN]]&amp;"-00-00-00",CATALOGO[Código],0))</f>
        <v>#N/A</v>
      </c>
      <c r="J154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1" s="161" t="str">
        <f>IF((EJECUTADO[[#This Row],[MONTO DISPONIBLE ]]-EJECUTADO[[#This Row],[MONTO SOLICITADO]])&gt;=0,"PRESUPUESTO: SI","PRESUPUESTO: NO")</f>
        <v>PRESUPUESTO: SI</v>
      </c>
      <c r="L1541" s="162">
        <f>SUMIF(PRESUPUESTO[CUENTA],EJECUTADO[[#This Row],[CUENTA]],PRESUPUESTO[MONTO])-SUMIF($F$1:F1540,EJECUTADO[[#This Row],[CUENTA]],$M$1:M1540)</f>
        <v>0</v>
      </c>
      <c r="M1541" s="2"/>
      <c r="N1541" s="84"/>
      <c r="O1541" s="84"/>
      <c r="P1541" s="162">
        <f>+EJECUTADO[[#This Row],[MONTO SOLICITADO]]-EJECUTADO[[#This Row],[RETENCION IVA]]-EJECUTADO[[#This Row],[RETENCION ISR]]</f>
        <v>0</v>
      </c>
      <c r="Q1541" s="84"/>
      <c r="R1541" s="84"/>
      <c r="T1541" s="168" t="e">
        <f t="shared" si="65"/>
        <v>#N/A</v>
      </c>
    </row>
    <row r="1542" spans="1:20" x14ac:dyDescent="0.25">
      <c r="A1542" s="6">
        <f t="shared" si="66"/>
        <v>1403</v>
      </c>
      <c r="B1542" s="21"/>
      <c r="C1542" s="126"/>
      <c r="E1542" s="65"/>
      <c r="G1542" s="161">
        <f>MONTH(EJECUTADO[[#This Row],[FECHA]])</f>
        <v>1</v>
      </c>
      <c r="H1542" s="163" t="str">
        <f>MID(EJECUTADO[[#This Row],[CUENTA]],1,4)</f>
        <v/>
      </c>
      <c r="I1542" s="163" t="e">
        <f>INDEX(CATALOGO[Descripción],MATCH(EJECUTADO[[#This Row],[APLICACIÓN]]&amp;"-00-00-00",CATALOGO[Código],0))</f>
        <v>#N/A</v>
      </c>
      <c r="J154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2" s="161" t="str">
        <f>IF((EJECUTADO[[#This Row],[MONTO DISPONIBLE ]]-EJECUTADO[[#This Row],[MONTO SOLICITADO]])&gt;=0,"PRESUPUESTO: SI","PRESUPUESTO: NO")</f>
        <v>PRESUPUESTO: SI</v>
      </c>
      <c r="L1542" s="162">
        <f>SUMIF(PRESUPUESTO[CUENTA],EJECUTADO[[#This Row],[CUENTA]],PRESUPUESTO[MONTO])-SUMIF($F$1:F1541,EJECUTADO[[#This Row],[CUENTA]],$M$1:M1541)</f>
        <v>0</v>
      </c>
      <c r="M1542" s="2"/>
      <c r="N1542" s="84"/>
      <c r="O1542" s="84"/>
      <c r="P1542" s="162">
        <f>+EJECUTADO[[#This Row],[MONTO SOLICITADO]]-EJECUTADO[[#This Row],[RETENCION IVA]]-EJECUTADO[[#This Row],[RETENCION ISR]]</f>
        <v>0</v>
      </c>
      <c r="Q1542" s="84"/>
      <c r="R1542" s="84"/>
      <c r="T1542" s="168" t="e">
        <f t="shared" si="65"/>
        <v>#N/A</v>
      </c>
    </row>
    <row r="1543" spans="1:20" x14ac:dyDescent="0.25">
      <c r="A1543" s="6">
        <f t="shared" si="66"/>
        <v>1404</v>
      </c>
      <c r="B1543" s="21"/>
      <c r="C1543" s="126"/>
      <c r="E1543" s="65"/>
      <c r="G1543" s="161">
        <f>MONTH(EJECUTADO[[#This Row],[FECHA]])</f>
        <v>1</v>
      </c>
      <c r="H1543" s="163" t="str">
        <f>MID(EJECUTADO[[#This Row],[CUENTA]],1,4)</f>
        <v/>
      </c>
      <c r="I1543" s="163" t="e">
        <f>INDEX(CATALOGO[Descripción],MATCH(EJECUTADO[[#This Row],[APLICACIÓN]]&amp;"-00-00-00",CATALOGO[Código],0))</f>
        <v>#N/A</v>
      </c>
      <c r="J154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3" s="161" t="str">
        <f>IF((EJECUTADO[[#This Row],[MONTO DISPONIBLE ]]-EJECUTADO[[#This Row],[MONTO SOLICITADO]])&gt;=0,"PRESUPUESTO: SI","PRESUPUESTO: NO")</f>
        <v>PRESUPUESTO: SI</v>
      </c>
      <c r="L1543" s="162">
        <f>SUMIF(PRESUPUESTO[CUENTA],EJECUTADO[[#This Row],[CUENTA]],PRESUPUESTO[MONTO])-SUMIF($F$1:F1542,EJECUTADO[[#This Row],[CUENTA]],$M$1:M1542)</f>
        <v>0</v>
      </c>
      <c r="M1543" s="2"/>
      <c r="N1543" s="84"/>
      <c r="O1543" s="84"/>
      <c r="P1543" s="162">
        <f>+EJECUTADO[[#This Row],[MONTO SOLICITADO]]-EJECUTADO[[#This Row],[RETENCION IVA]]-EJECUTADO[[#This Row],[RETENCION ISR]]</f>
        <v>0</v>
      </c>
      <c r="Q1543" s="84"/>
      <c r="R1543" s="84"/>
      <c r="T1543" s="168" t="e">
        <f t="shared" si="65"/>
        <v>#N/A</v>
      </c>
    </row>
    <row r="1544" spans="1:20" x14ac:dyDescent="0.25">
      <c r="A1544" s="6">
        <f t="shared" si="66"/>
        <v>1405</v>
      </c>
      <c r="B1544" s="21"/>
      <c r="C1544" s="126"/>
      <c r="E1544" s="65"/>
      <c r="G1544" s="161">
        <f>MONTH(EJECUTADO[[#This Row],[FECHA]])</f>
        <v>1</v>
      </c>
      <c r="H1544" s="163" t="str">
        <f>MID(EJECUTADO[[#This Row],[CUENTA]],1,4)</f>
        <v/>
      </c>
      <c r="I1544" s="163" t="e">
        <f>INDEX(CATALOGO[Descripción],MATCH(EJECUTADO[[#This Row],[APLICACIÓN]]&amp;"-00-00-00",CATALOGO[Código],0))</f>
        <v>#N/A</v>
      </c>
      <c r="J154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4" s="161" t="str">
        <f>IF((EJECUTADO[[#This Row],[MONTO DISPONIBLE ]]-EJECUTADO[[#This Row],[MONTO SOLICITADO]])&gt;=0,"PRESUPUESTO: SI","PRESUPUESTO: NO")</f>
        <v>PRESUPUESTO: SI</v>
      </c>
      <c r="L1544" s="162">
        <f>SUMIF(PRESUPUESTO[CUENTA],EJECUTADO[[#This Row],[CUENTA]],PRESUPUESTO[MONTO])-SUMIF($F$1:F1543,EJECUTADO[[#This Row],[CUENTA]],$M$1:M1543)</f>
        <v>0</v>
      </c>
      <c r="M1544" s="2"/>
      <c r="N1544" s="84"/>
      <c r="O1544" s="84"/>
      <c r="P1544" s="162">
        <f>+EJECUTADO[[#This Row],[MONTO SOLICITADO]]-EJECUTADO[[#This Row],[RETENCION IVA]]-EJECUTADO[[#This Row],[RETENCION ISR]]</f>
        <v>0</v>
      </c>
      <c r="Q1544" s="84"/>
      <c r="R1544" s="84"/>
      <c r="T1544" s="168" t="e">
        <f t="shared" si="65"/>
        <v>#N/A</v>
      </c>
    </row>
    <row r="1545" spans="1:20" x14ac:dyDescent="0.25">
      <c r="A1545" s="6">
        <f t="shared" si="66"/>
        <v>1406</v>
      </c>
      <c r="B1545" s="21"/>
      <c r="C1545" s="126"/>
      <c r="E1545" s="65"/>
      <c r="G1545" s="161">
        <f>MONTH(EJECUTADO[[#This Row],[FECHA]])</f>
        <v>1</v>
      </c>
      <c r="H1545" s="163" t="str">
        <f>MID(EJECUTADO[[#This Row],[CUENTA]],1,4)</f>
        <v/>
      </c>
      <c r="I1545" s="163" t="e">
        <f>INDEX(CATALOGO[Descripción],MATCH(EJECUTADO[[#This Row],[APLICACIÓN]]&amp;"-00-00-00",CATALOGO[Código],0))</f>
        <v>#N/A</v>
      </c>
      <c r="J154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5" s="161" t="str">
        <f>IF((EJECUTADO[[#This Row],[MONTO DISPONIBLE ]]-EJECUTADO[[#This Row],[MONTO SOLICITADO]])&gt;=0,"PRESUPUESTO: SI","PRESUPUESTO: NO")</f>
        <v>PRESUPUESTO: SI</v>
      </c>
      <c r="L1545" s="162">
        <f>SUMIF(PRESUPUESTO[CUENTA],EJECUTADO[[#This Row],[CUENTA]],PRESUPUESTO[MONTO])-SUMIF($F$1:F1544,EJECUTADO[[#This Row],[CUENTA]],$M$1:M1544)</f>
        <v>0</v>
      </c>
      <c r="M1545" s="2"/>
      <c r="N1545" s="84"/>
      <c r="O1545" s="84"/>
      <c r="P1545" s="162">
        <f>+EJECUTADO[[#This Row],[MONTO SOLICITADO]]-EJECUTADO[[#This Row],[RETENCION IVA]]-EJECUTADO[[#This Row],[RETENCION ISR]]</f>
        <v>0</v>
      </c>
      <c r="Q1545" s="84"/>
      <c r="R1545" s="84"/>
      <c r="T1545" s="168" t="e">
        <f t="shared" si="65"/>
        <v>#N/A</v>
      </c>
    </row>
    <row r="1546" spans="1:20" x14ac:dyDescent="0.25">
      <c r="A1546" s="6">
        <f t="shared" si="66"/>
        <v>1407</v>
      </c>
      <c r="B1546" s="21"/>
      <c r="C1546" s="126"/>
      <c r="E1546" s="65"/>
      <c r="G1546" s="161">
        <f>MONTH(EJECUTADO[[#This Row],[FECHA]])</f>
        <v>1</v>
      </c>
      <c r="H1546" s="163" t="str">
        <f>MID(EJECUTADO[[#This Row],[CUENTA]],1,4)</f>
        <v/>
      </c>
      <c r="I1546" s="163" t="e">
        <f>INDEX(CATALOGO[Descripción],MATCH(EJECUTADO[[#This Row],[APLICACIÓN]]&amp;"-00-00-00",CATALOGO[Código],0))</f>
        <v>#N/A</v>
      </c>
      <c r="J154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6" s="161" t="str">
        <f>IF((EJECUTADO[[#This Row],[MONTO DISPONIBLE ]]-EJECUTADO[[#This Row],[MONTO SOLICITADO]])&gt;=0,"PRESUPUESTO: SI","PRESUPUESTO: NO")</f>
        <v>PRESUPUESTO: SI</v>
      </c>
      <c r="L1546" s="162">
        <f>SUMIF(PRESUPUESTO[CUENTA],EJECUTADO[[#This Row],[CUENTA]],PRESUPUESTO[MONTO])-SUMIF($F$1:F1545,EJECUTADO[[#This Row],[CUENTA]],$M$1:M1545)</f>
        <v>0</v>
      </c>
      <c r="M1546" s="2"/>
      <c r="N1546" s="84"/>
      <c r="O1546" s="84"/>
      <c r="P1546" s="162">
        <f>+EJECUTADO[[#This Row],[MONTO SOLICITADO]]-EJECUTADO[[#This Row],[RETENCION IVA]]-EJECUTADO[[#This Row],[RETENCION ISR]]</f>
        <v>0</v>
      </c>
      <c r="Q1546" s="84"/>
      <c r="R1546" s="84"/>
      <c r="T1546" s="168" t="e">
        <f t="shared" si="65"/>
        <v>#N/A</v>
      </c>
    </row>
    <row r="1547" spans="1:20" x14ac:dyDescent="0.25">
      <c r="A1547" s="6">
        <f t="shared" si="66"/>
        <v>1408</v>
      </c>
      <c r="B1547" s="21"/>
      <c r="C1547" s="126"/>
      <c r="E1547" s="65"/>
      <c r="G1547" s="161">
        <f>MONTH(EJECUTADO[[#This Row],[FECHA]])</f>
        <v>1</v>
      </c>
      <c r="H1547" s="163" t="str">
        <f>MID(EJECUTADO[[#This Row],[CUENTA]],1,4)</f>
        <v/>
      </c>
      <c r="I1547" s="163" t="e">
        <f>INDEX(CATALOGO[Descripción],MATCH(EJECUTADO[[#This Row],[APLICACIÓN]]&amp;"-00-00-00",CATALOGO[Código],0))</f>
        <v>#N/A</v>
      </c>
      <c r="J154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7" s="161" t="str">
        <f>IF((EJECUTADO[[#This Row],[MONTO DISPONIBLE ]]-EJECUTADO[[#This Row],[MONTO SOLICITADO]])&gt;=0,"PRESUPUESTO: SI","PRESUPUESTO: NO")</f>
        <v>PRESUPUESTO: SI</v>
      </c>
      <c r="L1547" s="162">
        <f>SUMIF(PRESUPUESTO[CUENTA],EJECUTADO[[#This Row],[CUENTA]],PRESUPUESTO[MONTO])-SUMIF($F$1:F1546,EJECUTADO[[#This Row],[CUENTA]],$M$1:M1546)</f>
        <v>0</v>
      </c>
      <c r="M1547" s="2"/>
      <c r="N1547" s="84"/>
      <c r="O1547" s="84"/>
      <c r="P1547" s="162">
        <f>+EJECUTADO[[#This Row],[MONTO SOLICITADO]]-EJECUTADO[[#This Row],[RETENCION IVA]]-EJECUTADO[[#This Row],[RETENCION ISR]]</f>
        <v>0</v>
      </c>
      <c r="Q1547" s="84"/>
      <c r="R1547" s="84"/>
      <c r="T1547" s="168" t="e">
        <f t="shared" si="65"/>
        <v>#N/A</v>
      </c>
    </row>
    <row r="1548" spans="1:20" x14ac:dyDescent="0.25">
      <c r="A1548" s="6">
        <f t="shared" si="66"/>
        <v>1409</v>
      </c>
      <c r="B1548" s="21"/>
      <c r="C1548" s="126"/>
      <c r="E1548" s="65"/>
      <c r="G1548" s="161">
        <f>MONTH(EJECUTADO[[#This Row],[FECHA]])</f>
        <v>1</v>
      </c>
      <c r="H1548" s="163" t="str">
        <f>MID(EJECUTADO[[#This Row],[CUENTA]],1,4)</f>
        <v/>
      </c>
      <c r="I1548" s="163" t="e">
        <f>INDEX(CATALOGO[Descripción],MATCH(EJECUTADO[[#This Row],[APLICACIÓN]]&amp;"-00-00-00",CATALOGO[Código],0))</f>
        <v>#N/A</v>
      </c>
      <c r="J154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8" s="161" t="str">
        <f>IF((EJECUTADO[[#This Row],[MONTO DISPONIBLE ]]-EJECUTADO[[#This Row],[MONTO SOLICITADO]])&gt;=0,"PRESUPUESTO: SI","PRESUPUESTO: NO")</f>
        <v>PRESUPUESTO: SI</v>
      </c>
      <c r="L1548" s="162">
        <f>SUMIF(PRESUPUESTO[CUENTA],EJECUTADO[[#This Row],[CUENTA]],PRESUPUESTO[MONTO])-SUMIF($F$1:F1547,EJECUTADO[[#This Row],[CUENTA]],$M$1:M1547)</f>
        <v>0</v>
      </c>
      <c r="M1548" s="2"/>
      <c r="N1548" s="84"/>
      <c r="O1548" s="84"/>
      <c r="P1548" s="162">
        <f>+EJECUTADO[[#This Row],[MONTO SOLICITADO]]-EJECUTADO[[#This Row],[RETENCION IVA]]-EJECUTADO[[#This Row],[RETENCION ISR]]</f>
        <v>0</v>
      </c>
      <c r="Q1548" s="84"/>
      <c r="R1548" s="84"/>
      <c r="T1548" s="168" t="e">
        <f t="shared" si="65"/>
        <v>#N/A</v>
      </c>
    </row>
    <row r="1549" spans="1:20" x14ac:dyDescent="0.25">
      <c r="A1549" s="6">
        <f t="shared" si="66"/>
        <v>1410</v>
      </c>
      <c r="B1549" s="21"/>
      <c r="C1549" s="126"/>
      <c r="E1549" s="65"/>
      <c r="G1549" s="161">
        <f>MONTH(EJECUTADO[[#This Row],[FECHA]])</f>
        <v>1</v>
      </c>
      <c r="H1549" s="163" t="str">
        <f>MID(EJECUTADO[[#This Row],[CUENTA]],1,4)</f>
        <v/>
      </c>
      <c r="I1549" s="163" t="e">
        <f>INDEX(CATALOGO[Descripción],MATCH(EJECUTADO[[#This Row],[APLICACIÓN]]&amp;"-00-00-00",CATALOGO[Código],0))</f>
        <v>#N/A</v>
      </c>
      <c r="J154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49" s="161" t="str">
        <f>IF((EJECUTADO[[#This Row],[MONTO DISPONIBLE ]]-EJECUTADO[[#This Row],[MONTO SOLICITADO]])&gt;=0,"PRESUPUESTO: SI","PRESUPUESTO: NO")</f>
        <v>PRESUPUESTO: SI</v>
      </c>
      <c r="L1549" s="162">
        <f>SUMIF(PRESUPUESTO[CUENTA],EJECUTADO[[#This Row],[CUENTA]],PRESUPUESTO[MONTO])-SUMIF($F$1:F1548,EJECUTADO[[#This Row],[CUENTA]],$M$1:M1548)</f>
        <v>0</v>
      </c>
      <c r="M1549" s="2"/>
      <c r="N1549" s="84"/>
      <c r="O1549" s="84"/>
      <c r="P1549" s="162">
        <f>+EJECUTADO[[#This Row],[MONTO SOLICITADO]]-EJECUTADO[[#This Row],[RETENCION IVA]]-EJECUTADO[[#This Row],[RETENCION ISR]]</f>
        <v>0</v>
      </c>
      <c r="Q1549" s="84"/>
      <c r="R1549" s="84"/>
      <c r="T1549" s="168" t="e">
        <f t="shared" si="65"/>
        <v>#N/A</v>
      </c>
    </row>
    <row r="1550" spans="1:20" x14ac:dyDescent="0.25">
      <c r="A1550" s="6">
        <f t="shared" si="66"/>
        <v>1411</v>
      </c>
      <c r="B1550" s="21"/>
      <c r="C1550" s="126"/>
      <c r="E1550" s="65"/>
      <c r="G1550" s="161">
        <f>MONTH(EJECUTADO[[#This Row],[FECHA]])</f>
        <v>1</v>
      </c>
      <c r="H1550" s="163" t="str">
        <f>MID(EJECUTADO[[#This Row],[CUENTA]],1,4)</f>
        <v/>
      </c>
      <c r="I1550" s="163" t="e">
        <f>INDEX(CATALOGO[Descripción],MATCH(EJECUTADO[[#This Row],[APLICACIÓN]]&amp;"-00-00-00",CATALOGO[Código],0))</f>
        <v>#N/A</v>
      </c>
      <c r="J155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0" s="161" t="str">
        <f>IF((EJECUTADO[[#This Row],[MONTO DISPONIBLE ]]-EJECUTADO[[#This Row],[MONTO SOLICITADO]])&gt;=0,"PRESUPUESTO: SI","PRESUPUESTO: NO")</f>
        <v>PRESUPUESTO: SI</v>
      </c>
      <c r="L1550" s="162">
        <f>SUMIF(PRESUPUESTO[CUENTA],EJECUTADO[[#This Row],[CUENTA]],PRESUPUESTO[MONTO])-SUMIF($F$1:F1549,EJECUTADO[[#This Row],[CUENTA]],$M$1:M1549)</f>
        <v>0</v>
      </c>
      <c r="M1550" s="2"/>
      <c r="N1550" s="84"/>
      <c r="O1550" s="84"/>
      <c r="P1550" s="162">
        <f>+EJECUTADO[[#This Row],[MONTO SOLICITADO]]-EJECUTADO[[#This Row],[RETENCION IVA]]-EJECUTADO[[#This Row],[RETENCION ISR]]</f>
        <v>0</v>
      </c>
      <c r="Q1550" s="84"/>
      <c r="R1550" s="84"/>
      <c r="T1550" s="168" t="e">
        <f t="shared" si="65"/>
        <v>#N/A</v>
      </c>
    </row>
    <row r="1551" spans="1:20" x14ac:dyDescent="0.25">
      <c r="A1551" s="6">
        <f t="shared" si="66"/>
        <v>1412</v>
      </c>
      <c r="B1551" s="21"/>
      <c r="C1551" s="126"/>
      <c r="E1551" s="65"/>
      <c r="G1551" s="161">
        <f>MONTH(EJECUTADO[[#This Row],[FECHA]])</f>
        <v>1</v>
      </c>
      <c r="H1551" s="163" t="str">
        <f>MID(EJECUTADO[[#This Row],[CUENTA]],1,4)</f>
        <v/>
      </c>
      <c r="I1551" s="163" t="e">
        <f>INDEX(CATALOGO[Descripción],MATCH(EJECUTADO[[#This Row],[APLICACIÓN]]&amp;"-00-00-00",CATALOGO[Código],0))</f>
        <v>#N/A</v>
      </c>
      <c r="J155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1" s="161" t="str">
        <f>IF((EJECUTADO[[#This Row],[MONTO DISPONIBLE ]]-EJECUTADO[[#This Row],[MONTO SOLICITADO]])&gt;=0,"PRESUPUESTO: SI","PRESUPUESTO: NO")</f>
        <v>PRESUPUESTO: SI</v>
      </c>
      <c r="L1551" s="162">
        <f>SUMIF(PRESUPUESTO[CUENTA],EJECUTADO[[#This Row],[CUENTA]],PRESUPUESTO[MONTO])-SUMIF($F$1:F1550,EJECUTADO[[#This Row],[CUENTA]],$M$1:M1550)</f>
        <v>0</v>
      </c>
      <c r="M1551" s="2"/>
      <c r="N1551" s="84"/>
      <c r="O1551" s="84"/>
      <c r="P1551" s="162">
        <f>+EJECUTADO[[#This Row],[MONTO SOLICITADO]]-EJECUTADO[[#This Row],[RETENCION IVA]]-EJECUTADO[[#This Row],[RETENCION ISR]]</f>
        <v>0</v>
      </c>
      <c r="Q1551" s="84"/>
      <c r="R1551" s="84"/>
      <c r="T1551" s="168" t="e">
        <f t="shared" si="65"/>
        <v>#N/A</v>
      </c>
    </row>
    <row r="1552" spans="1:20" x14ac:dyDescent="0.25">
      <c r="A1552" s="6">
        <f t="shared" si="66"/>
        <v>1413</v>
      </c>
      <c r="B1552" s="21"/>
      <c r="C1552" s="126"/>
      <c r="E1552" s="65"/>
      <c r="G1552" s="161">
        <f>MONTH(EJECUTADO[[#This Row],[FECHA]])</f>
        <v>1</v>
      </c>
      <c r="H1552" s="163" t="str">
        <f>MID(EJECUTADO[[#This Row],[CUENTA]],1,4)</f>
        <v/>
      </c>
      <c r="I1552" s="163" t="e">
        <f>INDEX(CATALOGO[Descripción],MATCH(EJECUTADO[[#This Row],[APLICACIÓN]]&amp;"-00-00-00",CATALOGO[Código],0))</f>
        <v>#N/A</v>
      </c>
      <c r="J155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2" s="161" t="str">
        <f>IF((EJECUTADO[[#This Row],[MONTO DISPONIBLE ]]-EJECUTADO[[#This Row],[MONTO SOLICITADO]])&gt;=0,"PRESUPUESTO: SI","PRESUPUESTO: NO")</f>
        <v>PRESUPUESTO: SI</v>
      </c>
      <c r="L1552" s="162">
        <f>SUMIF(PRESUPUESTO[CUENTA],EJECUTADO[[#This Row],[CUENTA]],PRESUPUESTO[MONTO])-SUMIF($F$1:F1551,EJECUTADO[[#This Row],[CUENTA]],$M$1:M1551)</f>
        <v>0</v>
      </c>
      <c r="M1552" s="2"/>
      <c r="N1552" s="84"/>
      <c r="O1552" s="84"/>
      <c r="P1552" s="162">
        <f>+EJECUTADO[[#This Row],[MONTO SOLICITADO]]-EJECUTADO[[#This Row],[RETENCION IVA]]-EJECUTADO[[#This Row],[RETENCION ISR]]</f>
        <v>0</v>
      </c>
      <c r="Q1552" s="84"/>
      <c r="R1552" s="84"/>
      <c r="T1552" s="168" t="e">
        <f t="shared" si="65"/>
        <v>#N/A</v>
      </c>
    </row>
    <row r="1553" spans="1:20" x14ac:dyDescent="0.25">
      <c r="A1553" s="6">
        <f t="shared" si="66"/>
        <v>1414</v>
      </c>
      <c r="B1553" s="21"/>
      <c r="C1553" s="126"/>
      <c r="E1553" s="65"/>
      <c r="G1553" s="161">
        <f>MONTH(EJECUTADO[[#This Row],[FECHA]])</f>
        <v>1</v>
      </c>
      <c r="H1553" s="163" t="str">
        <f>MID(EJECUTADO[[#This Row],[CUENTA]],1,4)</f>
        <v/>
      </c>
      <c r="I1553" s="163" t="e">
        <f>INDEX(CATALOGO[Descripción],MATCH(EJECUTADO[[#This Row],[APLICACIÓN]]&amp;"-00-00-00",CATALOGO[Código],0))</f>
        <v>#N/A</v>
      </c>
      <c r="J155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3" s="161" t="str">
        <f>IF((EJECUTADO[[#This Row],[MONTO DISPONIBLE ]]-EJECUTADO[[#This Row],[MONTO SOLICITADO]])&gt;=0,"PRESUPUESTO: SI","PRESUPUESTO: NO")</f>
        <v>PRESUPUESTO: SI</v>
      </c>
      <c r="L1553" s="162">
        <f>SUMIF(PRESUPUESTO[CUENTA],EJECUTADO[[#This Row],[CUENTA]],PRESUPUESTO[MONTO])-SUMIF($F$1:F1552,EJECUTADO[[#This Row],[CUENTA]],$M$1:M1552)</f>
        <v>0</v>
      </c>
      <c r="M1553" s="2"/>
      <c r="N1553" s="84"/>
      <c r="O1553" s="84"/>
      <c r="P1553" s="162">
        <f>+EJECUTADO[[#This Row],[MONTO SOLICITADO]]-EJECUTADO[[#This Row],[RETENCION IVA]]-EJECUTADO[[#This Row],[RETENCION ISR]]</f>
        <v>0</v>
      </c>
      <c r="Q1553" s="84"/>
      <c r="R1553" s="84"/>
      <c r="T1553" s="168" t="e">
        <f t="shared" si="65"/>
        <v>#N/A</v>
      </c>
    </row>
    <row r="1554" spans="1:20" x14ac:dyDescent="0.25">
      <c r="A1554" s="6">
        <f t="shared" si="66"/>
        <v>1415</v>
      </c>
      <c r="B1554" s="21"/>
      <c r="C1554" s="126"/>
      <c r="E1554" s="65"/>
      <c r="G1554" s="161">
        <f>MONTH(EJECUTADO[[#This Row],[FECHA]])</f>
        <v>1</v>
      </c>
      <c r="H1554" s="163" t="str">
        <f>MID(EJECUTADO[[#This Row],[CUENTA]],1,4)</f>
        <v/>
      </c>
      <c r="I1554" s="163" t="e">
        <f>INDEX(CATALOGO[Descripción],MATCH(EJECUTADO[[#This Row],[APLICACIÓN]]&amp;"-00-00-00",CATALOGO[Código],0))</f>
        <v>#N/A</v>
      </c>
      <c r="J155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4" s="161" t="str">
        <f>IF((EJECUTADO[[#This Row],[MONTO DISPONIBLE ]]-EJECUTADO[[#This Row],[MONTO SOLICITADO]])&gt;=0,"PRESUPUESTO: SI","PRESUPUESTO: NO")</f>
        <v>PRESUPUESTO: SI</v>
      </c>
      <c r="L1554" s="162">
        <f>SUMIF(PRESUPUESTO[CUENTA],EJECUTADO[[#This Row],[CUENTA]],PRESUPUESTO[MONTO])-SUMIF($F$1:F1553,EJECUTADO[[#This Row],[CUENTA]],$M$1:M1553)</f>
        <v>0</v>
      </c>
      <c r="M1554" s="2"/>
      <c r="N1554" s="84"/>
      <c r="O1554" s="84"/>
      <c r="P1554" s="162">
        <f>+EJECUTADO[[#This Row],[MONTO SOLICITADO]]-EJECUTADO[[#This Row],[RETENCION IVA]]-EJECUTADO[[#This Row],[RETENCION ISR]]</f>
        <v>0</v>
      </c>
      <c r="Q1554" s="84"/>
      <c r="R1554" s="84"/>
      <c r="T1554" s="168" t="e">
        <f t="shared" si="65"/>
        <v>#N/A</v>
      </c>
    </row>
    <row r="1555" spans="1:20" x14ac:dyDescent="0.25">
      <c r="A1555" s="6">
        <f t="shared" si="66"/>
        <v>1416</v>
      </c>
      <c r="B1555" s="21"/>
      <c r="C1555" s="126"/>
      <c r="E1555" s="65"/>
      <c r="G1555" s="161">
        <f>MONTH(EJECUTADO[[#This Row],[FECHA]])</f>
        <v>1</v>
      </c>
      <c r="H1555" s="163" t="str">
        <f>MID(EJECUTADO[[#This Row],[CUENTA]],1,4)</f>
        <v/>
      </c>
      <c r="I1555" s="163" t="e">
        <f>INDEX(CATALOGO[Descripción],MATCH(EJECUTADO[[#This Row],[APLICACIÓN]]&amp;"-00-00-00",CATALOGO[Código],0))</f>
        <v>#N/A</v>
      </c>
      <c r="J155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5" s="161" t="str">
        <f>IF((EJECUTADO[[#This Row],[MONTO DISPONIBLE ]]-EJECUTADO[[#This Row],[MONTO SOLICITADO]])&gt;=0,"PRESUPUESTO: SI","PRESUPUESTO: NO")</f>
        <v>PRESUPUESTO: SI</v>
      </c>
      <c r="L1555" s="162">
        <f>SUMIF(PRESUPUESTO[CUENTA],EJECUTADO[[#This Row],[CUENTA]],PRESUPUESTO[MONTO])-SUMIF($F$1:F1554,EJECUTADO[[#This Row],[CUENTA]],$M$1:M1554)</f>
        <v>0</v>
      </c>
      <c r="M1555" s="2"/>
      <c r="N1555" s="84"/>
      <c r="O1555" s="84"/>
      <c r="P1555" s="162">
        <f>+EJECUTADO[[#This Row],[MONTO SOLICITADO]]-EJECUTADO[[#This Row],[RETENCION IVA]]-EJECUTADO[[#This Row],[RETENCION ISR]]</f>
        <v>0</v>
      </c>
      <c r="Q1555" s="84"/>
      <c r="R1555" s="84"/>
      <c r="T1555" s="168" t="e">
        <f t="shared" si="65"/>
        <v>#N/A</v>
      </c>
    </row>
    <row r="1556" spans="1:20" x14ac:dyDescent="0.25">
      <c r="A1556" s="6">
        <f t="shared" si="66"/>
        <v>1417</v>
      </c>
      <c r="B1556" s="21"/>
      <c r="C1556" s="126"/>
      <c r="E1556" s="65"/>
      <c r="G1556" s="161">
        <f>MONTH(EJECUTADO[[#This Row],[FECHA]])</f>
        <v>1</v>
      </c>
      <c r="H1556" s="163" t="str">
        <f>MID(EJECUTADO[[#This Row],[CUENTA]],1,4)</f>
        <v/>
      </c>
      <c r="I1556" s="163" t="e">
        <f>INDEX(CATALOGO[Descripción],MATCH(EJECUTADO[[#This Row],[APLICACIÓN]]&amp;"-00-00-00",CATALOGO[Código],0))</f>
        <v>#N/A</v>
      </c>
      <c r="J155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6" s="161" t="str">
        <f>IF((EJECUTADO[[#This Row],[MONTO DISPONIBLE ]]-EJECUTADO[[#This Row],[MONTO SOLICITADO]])&gt;=0,"PRESUPUESTO: SI","PRESUPUESTO: NO")</f>
        <v>PRESUPUESTO: SI</v>
      </c>
      <c r="L1556" s="162">
        <f>SUMIF(PRESUPUESTO[CUENTA],EJECUTADO[[#This Row],[CUENTA]],PRESUPUESTO[MONTO])-SUMIF($F$1:F1555,EJECUTADO[[#This Row],[CUENTA]],$M$1:M1555)</f>
        <v>0</v>
      </c>
      <c r="M1556" s="2"/>
      <c r="N1556" s="84"/>
      <c r="O1556" s="84"/>
      <c r="P1556" s="162">
        <f>+EJECUTADO[[#This Row],[MONTO SOLICITADO]]-EJECUTADO[[#This Row],[RETENCION IVA]]-EJECUTADO[[#This Row],[RETENCION ISR]]</f>
        <v>0</v>
      </c>
      <c r="Q1556" s="84"/>
      <c r="R1556" s="84"/>
      <c r="T1556" s="168" t="e">
        <f t="shared" si="65"/>
        <v>#N/A</v>
      </c>
    </row>
    <row r="1557" spans="1:20" x14ac:dyDescent="0.25">
      <c r="A1557" s="6">
        <f t="shared" si="66"/>
        <v>1418</v>
      </c>
      <c r="B1557" s="21"/>
      <c r="C1557" s="126"/>
      <c r="E1557" s="65"/>
      <c r="G1557" s="161">
        <f>MONTH(EJECUTADO[[#This Row],[FECHA]])</f>
        <v>1</v>
      </c>
      <c r="H1557" s="163" t="str">
        <f>MID(EJECUTADO[[#This Row],[CUENTA]],1,4)</f>
        <v/>
      </c>
      <c r="I1557" s="163" t="e">
        <f>INDEX(CATALOGO[Descripción],MATCH(EJECUTADO[[#This Row],[APLICACIÓN]]&amp;"-00-00-00",CATALOGO[Código],0))</f>
        <v>#N/A</v>
      </c>
      <c r="J155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7" s="161" t="str">
        <f>IF((EJECUTADO[[#This Row],[MONTO DISPONIBLE ]]-EJECUTADO[[#This Row],[MONTO SOLICITADO]])&gt;=0,"PRESUPUESTO: SI","PRESUPUESTO: NO")</f>
        <v>PRESUPUESTO: SI</v>
      </c>
      <c r="L1557" s="162">
        <f>SUMIF(PRESUPUESTO[CUENTA],EJECUTADO[[#This Row],[CUENTA]],PRESUPUESTO[MONTO])-SUMIF($F$1:F1556,EJECUTADO[[#This Row],[CUENTA]],$M$1:M1556)</f>
        <v>0</v>
      </c>
      <c r="M1557" s="2"/>
      <c r="N1557" s="84"/>
      <c r="O1557" s="84"/>
      <c r="P1557" s="162">
        <f>+EJECUTADO[[#This Row],[MONTO SOLICITADO]]-EJECUTADO[[#This Row],[RETENCION IVA]]-EJECUTADO[[#This Row],[RETENCION ISR]]</f>
        <v>0</v>
      </c>
      <c r="Q1557" s="84"/>
      <c r="R1557" s="84"/>
      <c r="T1557" s="168" t="e">
        <f t="shared" si="65"/>
        <v>#N/A</v>
      </c>
    </row>
    <row r="1558" spans="1:20" x14ac:dyDescent="0.25">
      <c r="A1558" s="6">
        <f t="shared" si="66"/>
        <v>1419</v>
      </c>
      <c r="B1558" s="21"/>
      <c r="C1558" s="126"/>
      <c r="E1558" s="65"/>
      <c r="G1558" s="161">
        <f>MONTH(EJECUTADO[[#This Row],[FECHA]])</f>
        <v>1</v>
      </c>
      <c r="H1558" s="163" t="str">
        <f>MID(EJECUTADO[[#This Row],[CUENTA]],1,4)</f>
        <v/>
      </c>
      <c r="I1558" s="163" t="e">
        <f>INDEX(CATALOGO[Descripción],MATCH(EJECUTADO[[#This Row],[APLICACIÓN]]&amp;"-00-00-00",CATALOGO[Código],0))</f>
        <v>#N/A</v>
      </c>
      <c r="J155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8" s="161" t="str">
        <f>IF((EJECUTADO[[#This Row],[MONTO DISPONIBLE ]]-EJECUTADO[[#This Row],[MONTO SOLICITADO]])&gt;=0,"PRESUPUESTO: SI","PRESUPUESTO: NO")</f>
        <v>PRESUPUESTO: SI</v>
      </c>
      <c r="L1558" s="162">
        <f>SUMIF(PRESUPUESTO[CUENTA],EJECUTADO[[#This Row],[CUENTA]],PRESUPUESTO[MONTO])-SUMIF($F$1:F1557,EJECUTADO[[#This Row],[CUENTA]],$M$1:M1557)</f>
        <v>0</v>
      </c>
      <c r="M1558" s="2"/>
      <c r="N1558" s="84"/>
      <c r="O1558" s="84"/>
      <c r="P1558" s="162">
        <f>+EJECUTADO[[#This Row],[MONTO SOLICITADO]]-EJECUTADO[[#This Row],[RETENCION IVA]]-EJECUTADO[[#This Row],[RETENCION ISR]]</f>
        <v>0</v>
      </c>
      <c r="Q1558" s="84"/>
      <c r="R1558" s="84"/>
      <c r="T1558" s="168" t="e">
        <f t="shared" si="65"/>
        <v>#N/A</v>
      </c>
    </row>
    <row r="1559" spans="1:20" x14ac:dyDescent="0.25">
      <c r="A1559" s="6">
        <f t="shared" si="66"/>
        <v>1420</v>
      </c>
      <c r="B1559" s="21"/>
      <c r="C1559" s="126"/>
      <c r="E1559" s="65"/>
      <c r="G1559" s="161">
        <f>MONTH(EJECUTADO[[#This Row],[FECHA]])</f>
        <v>1</v>
      </c>
      <c r="H1559" s="163" t="str">
        <f>MID(EJECUTADO[[#This Row],[CUENTA]],1,4)</f>
        <v/>
      </c>
      <c r="I1559" s="163" t="e">
        <f>INDEX(CATALOGO[Descripción],MATCH(EJECUTADO[[#This Row],[APLICACIÓN]]&amp;"-00-00-00",CATALOGO[Código],0))</f>
        <v>#N/A</v>
      </c>
      <c r="J155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59" s="161" t="str">
        <f>IF((EJECUTADO[[#This Row],[MONTO DISPONIBLE ]]-EJECUTADO[[#This Row],[MONTO SOLICITADO]])&gt;=0,"PRESUPUESTO: SI","PRESUPUESTO: NO")</f>
        <v>PRESUPUESTO: SI</v>
      </c>
      <c r="L1559" s="162">
        <f>SUMIF(PRESUPUESTO[CUENTA],EJECUTADO[[#This Row],[CUENTA]],PRESUPUESTO[MONTO])-SUMIF($F$1:F1558,EJECUTADO[[#This Row],[CUENTA]],$M$1:M1558)</f>
        <v>0</v>
      </c>
      <c r="M1559" s="2"/>
      <c r="N1559" s="84"/>
      <c r="O1559" s="84"/>
      <c r="P1559" s="162">
        <f>+EJECUTADO[[#This Row],[MONTO SOLICITADO]]-EJECUTADO[[#This Row],[RETENCION IVA]]-EJECUTADO[[#This Row],[RETENCION ISR]]</f>
        <v>0</v>
      </c>
      <c r="Q1559" s="84"/>
      <c r="R1559" s="84"/>
      <c r="T1559" s="168" t="e">
        <f t="shared" si="65"/>
        <v>#N/A</v>
      </c>
    </row>
    <row r="1560" spans="1:20" x14ac:dyDescent="0.25">
      <c r="A1560" s="6">
        <f t="shared" si="66"/>
        <v>1421</v>
      </c>
      <c r="B1560" s="21"/>
      <c r="C1560" s="126"/>
      <c r="E1560" s="65"/>
      <c r="G1560" s="161">
        <f>MONTH(EJECUTADO[[#This Row],[FECHA]])</f>
        <v>1</v>
      </c>
      <c r="H1560" s="163" t="str">
        <f>MID(EJECUTADO[[#This Row],[CUENTA]],1,4)</f>
        <v/>
      </c>
      <c r="I1560" s="163" t="e">
        <f>INDEX(CATALOGO[Descripción],MATCH(EJECUTADO[[#This Row],[APLICACIÓN]]&amp;"-00-00-00",CATALOGO[Código],0))</f>
        <v>#N/A</v>
      </c>
      <c r="J156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0" s="161" t="str">
        <f>IF((EJECUTADO[[#This Row],[MONTO DISPONIBLE ]]-EJECUTADO[[#This Row],[MONTO SOLICITADO]])&gt;=0,"PRESUPUESTO: SI","PRESUPUESTO: NO")</f>
        <v>PRESUPUESTO: SI</v>
      </c>
      <c r="L1560" s="162">
        <f>SUMIF(PRESUPUESTO[CUENTA],EJECUTADO[[#This Row],[CUENTA]],PRESUPUESTO[MONTO])-SUMIF($F$1:F1559,EJECUTADO[[#This Row],[CUENTA]],$M$1:M1559)</f>
        <v>0</v>
      </c>
      <c r="M1560" s="2"/>
      <c r="N1560" s="84"/>
      <c r="O1560" s="84"/>
      <c r="P1560" s="162">
        <f>+EJECUTADO[[#This Row],[MONTO SOLICITADO]]-EJECUTADO[[#This Row],[RETENCION IVA]]-EJECUTADO[[#This Row],[RETENCION ISR]]</f>
        <v>0</v>
      </c>
      <c r="Q1560" s="84"/>
      <c r="R1560" s="84"/>
      <c r="T1560" s="168" t="e">
        <f t="shared" si="65"/>
        <v>#N/A</v>
      </c>
    </row>
    <row r="1561" spans="1:20" x14ac:dyDescent="0.25">
      <c r="A1561" s="6">
        <f t="shared" si="66"/>
        <v>1422</v>
      </c>
      <c r="B1561" s="21"/>
      <c r="C1561" s="126"/>
      <c r="E1561" s="65"/>
      <c r="G1561" s="161">
        <f>MONTH(EJECUTADO[[#This Row],[FECHA]])</f>
        <v>1</v>
      </c>
      <c r="H1561" s="163" t="str">
        <f>MID(EJECUTADO[[#This Row],[CUENTA]],1,4)</f>
        <v/>
      </c>
      <c r="I1561" s="163" t="e">
        <f>INDEX(CATALOGO[Descripción],MATCH(EJECUTADO[[#This Row],[APLICACIÓN]]&amp;"-00-00-00",CATALOGO[Código],0))</f>
        <v>#N/A</v>
      </c>
      <c r="J156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1" s="161" t="str">
        <f>IF((EJECUTADO[[#This Row],[MONTO DISPONIBLE ]]-EJECUTADO[[#This Row],[MONTO SOLICITADO]])&gt;=0,"PRESUPUESTO: SI","PRESUPUESTO: NO")</f>
        <v>PRESUPUESTO: SI</v>
      </c>
      <c r="L1561" s="162">
        <f>SUMIF(PRESUPUESTO[CUENTA],EJECUTADO[[#This Row],[CUENTA]],PRESUPUESTO[MONTO])-SUMIF($F$1:F1560,EJECUTADO[[#This Row],[CUENTA]],$M$1:M1560)</f>
        <v>0</v>
      </c>
      <c r="M1561" s="2"/>
      <c r="N1561" s="84"/>
      <c r="O1561" s="84"/>
      <c r="P1561" s="162">
        <f>+EJECUTADO[[#This Row],[MONTO SOLICITADO]]-EJECUTADO[[#This Row],[RETENCION IVA]]-EJECUTADO[[#This Row],[RETENCION ISR]]</f>
        <v>0</v>
      </c>
      <c r="Q1561" s="84"/>
      <c r="R1561" s="84"/>
      <c r="T1561" s="168" t="e">
        <f t="shared" si="65"/>
        <v>#N/A</v>
      </c>
    </row>
    <row r="1562" spans="1:20" x14ac:dyDescent="0.25">
      <c r="A1562" s="6">
        <f t="shared" si="66"/>
        <v>1423</v>
      </c>
      <c r="B1562" s="21"/>
      <c r="C1562" s="126"/>
      <c r="E1562" s="65"/>
      <c r="G1562" s="161">
        <f>MONTH(EJECUTADO[[#This Row],[FECHA]])</f>
        <v>1</v>
      </c>
      <c r="H1562" s="163" t="str">
        <f>MID(EJECUTADO[[#This Row],[CUENTA]],1,4)</f>
        <v/>
      </c>
      <c r="I1562" s="163" t="e">
        <f>INDEX(CATALOGO[Descripción],MATCH(EJECUTADO[[#This Row],[APLICACIÓN]]&amp;"-00-00-00",CATALOGO[Código],0))</f>
        <v>#N/A</v>
      </c>
      <c r="J156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2" s="161" t="str">
        <f>IF((EJECUTADO[[#This Row],[MONTO DISPONIBLE ]]-EJECUTADO[[#This Row],[MONTO SOLICITADO]])&gt;=0,"PRESUPUESTO: SI","PRESUPUESTO: NO")</f>
        <v>PRESUPUESTO: SI</v>
      </c>
      <c r="L1562" s="162">
        <f>SUMIF(PRESUPUESTO[CUENTA],EJECUTADO[[#This Row],[CUENTA]],PRESUPUESTO[MONTO])-SUMIF($F$1:F1561,EJECUTADO[[#This Row],[CUENTA]],$M$1:M1561)</f>
        <v>0</v>
      </c>
      <c r="M1562" s="2"/>
      <c r="N1562" s="84"/>
      <c r="O1562" s="84"/>
      <c r="P1562" s="162">
        <f>+EJECUTADO[[#This Row],[MONTO SOLICITADO]]-EJECUTADO[[#This Row],[RETENCION IVA]]-EJECUTADO[[#This Row],[RETENCION ISR]]</f>
        <v>0</v>
      </c>
      <c r="Q1562" s="84"/>
      <c r="R1562" s="84"/>
      <c r="T1562" s="168" t="e">
        <f t="shared" si="65"/>
        <v>#N/A</v>
      </c>
    </row>
    <row r="1563" spans="1:20" x14ac:dyDescent="0.25">
      <c r="A1563" s="6">
        <f t="shared" si="66"/>
        <v>1424</v>
      </c>
      <c r="B1563" s="21"/>
      <c r="C1563" s="126"/>
      <c r="E1563" s="65"/>
      <c r="G1563" s="161">
        <f>MONTH(EJECUTADO[[#This Row],[FECHA]])</f>
        <v>1</v>
      </c>
      <c r="H1563" s="163" t="str">
        <f>MID(EJECUTADO[[#This Row],[CUENTA]],1,4)</f>
        <v/>
      </c>
      <c r="I1563" s="163" t="e">
        <f>INDEX(CATALOGO[Descripción],MATCH(EJECUTADO[[#This Row],[APLICACIÓN]]&amp;"-00-00-00",CATALOGO[Código],0))</f>
        <v>#N/A</v>
      </c>
      <c r="J156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3" s="161" t="str">
        <f>IF((EJECUTADO[[#This Row],[MONTO DISPONIBLE ]]-EJECUTADO[[#This Row],[MONTO SOLICITADO]])&gt;=0,"PRESUPUESTO: SI","PRESUPUESTO: NO")</f>
        <v>PRESUPUESTO: SI</v>
      </c>
      <c r="L1563" s="162">
        <f>SUMIF(PRESUPUESTO[CUENTA],EJECUTADO[[#This Row],[CUENTA]],PRESUPUESTO[MONTO])-SUMIF($F$1:F1562,EJECUTADO[[#This Row],[CUENTA]],$M$1:M1562)</f>
        <v>0</v>
      </c>
      <c r="M1563" s="2"/>
      <c r="N1563" s="84"/>
      <c r="O1563" s="84"/>
      <c r="P1563" s="162">
        <f>+EJECUTADO[[#This Row],[MONTO SOLICITADO]]-EJECUTADO[[#This Row],[RETENCION IVA]]-EJECUTADO[[#This Row],[RETENCION ISR]]</f>
        <v>0</v>
      </c>
      <c r="Q1563" s="84"/>
      <c r="R1563" s="84"/>
      <c r="T1563" s="168" t="e">
        <f t="shared" si="65"/>
        <v>#N/A</v>
      </c>
    </row>
    <row r="1564" spans="1:20" x14ac:dyDescent="0.25">
      <c r="A1564" s="6">
        <f t="shared" si="66"/>
        <v>1425</v>
      </c>
      <c r="B1564" s="21"/>
      <c r="C1564" s="126"/>
      <c r="E1564" s="65"/>
      <c r="G1564" s="161">
        <f>MONTH(EJECUTADO[[#This Row],[FECHA]])</f>
        <v>1</v>
      </c>
      <c r="H1564" s="163" t="str">
        <f>MID(EJECUTADO[[#This Row],[CUENTA]],1,4)</f>
        <v/>
      </c>
      <c r="I1564" s="163" t="e">
        <f>INDEX(CATALOGO[Descripción],MATCH(EJECUTADO[[#This Row],[APLICACIÓN]]&amp;"-00-00-00",CATALOGO[Código],0))</f>
        <v>#N/A</v>
      </c>
      <c r="J156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4" s="161" t="str">
        <f>IF((EJECUTADO[[#This Row],[MONTO DISPONIBLE ]]-EJECUTADO[[#This Row],[MONTO SOLICITADO]])&gt;=0,"PRESUPUESTO: SI","PRESUPUESTO: NO")</f>
        <v>PRESUPUESTO: SI</v>
      </c>
      <c r="L1564" s="162">
        <f>SUMIF(PRESUPUESTO[CUENTA],EJECUTADO[[#This Row],[CUENTA]],PRESUPUESTO[MONTO])-SUMIF($F$1:F1563,EJECUTADO[[#This Row],[CUENTA]],$M$1:M1563)</f>
        <v>0</v>
      </c>
      <c r="M1564" s="2"/>
      <c r="N1564" s="84"/>
      <c r="O1564" s="84"/>
      <c r="P1564" s="162">
        <f>+EJECUTADO[[#This Row],[MONTO SOLICITADO]]-EJECUTADO[[#This Row],[RETENCION IVA]]-EJECUTADO[[#This Row],[RETENCION ISR]]</f>
        <v>0</v>
      </c>
      <c r="Q1564" s="84"/>
      <c r="R1564" s="84"/>
      <c r="T1564" s="168" t="e">
        <f t="shared" si="65"/>
        <v>#N/A</v>
      </c>
    </row>
    <row r="1565" spans="1:20" x14ac:dyDescent="0.25">
      <c r="A1565" s="6">
        <f t="shared" si="66"/>
        <v>1426</v>
      </c>
      <c r="B1565" s="21"/>
      <c r="C1565" s="126"/>
      <c r="E1565" s="65"/>
      <c r="G1565" s="161">
        <f>MONTH(EJECUTADO[[#This Row],[FECHA]])</f>
        <v>1</v>
      </c>
      <c r="H1565" s="163" t="str">
        <f>MID(EJECUTADO[[#This Row],[CUENTA]],1,4)</f>
        <v/>
      </c>
      <c r="I1565" s="163" t="e">
        <f>INDEX(CATALOGO[Descripción],MATCH(EJECUTADO[[#This Row],[APLICACIÓN]]&amp;"-00-00-00",CATALOGO[Código],0))</f>
        <v>#N/A</v>
      </c>
      <c r="J156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5" s="161" t="str">
        <f>IF((EJECUTADO[[#This Row],[MONTO DISPONIBLE ]]-EJECUTADO[[#This Row],[MONTO SOLICITADO]])&gt;=0,"PRESUPUESTO: SI","PRESUPUESTO: NO")</f>
        <v>PRESUPUESTO: SI</v>
      </c>
      <c r="L1565" s="162">
        <f>SUMIF(PRESUPUESTO[CUENTA],EJECUTADO[[#This Row],[CUENTA]],PRESUPUESTO[MONTO])-SUMIF($F$1:F1564,EJECUTADO[[#This Row],[CUENTA]],$M$1:M1564)</f>
        <v>0</v>
      </c>
      <c r="M1565" s="2"/>
      <c r="N1565" s="84"/>
      <c r="O1565" s="84"/>
      <c r="P1565" s="162">
        <f>+EJECUTADO[[#This Row],[MONTO SOLICITADO]]-EJECUTADO[[#This Row],[RETENCION IVA]]-EJECUTADO[[#This Row],[RETENCION ISR]]</f>
        <v>0</v>
      </c>
      <c r="Q1565" s="84"/>
      <c r="R1565" s="84"/>
      <c r="T1565" s="168" t="e">
        <f t="shared" si="65"/>
        <v>#N/A</v>
      </c>
    </row>
    <row r="1566" spans="1:20" x14ac:dyDescent="0.25">
      <c r="A1566" s="6">
        <f t="shared" si="66"/>
        <v>1427</v>
      </c>
      <c r="B1566" s="21"/>
      <c r="C1566" s="126"/>
      <c r="E1566" s="65"/>
      <c r="G1566" s="161">
        <f>MONTH(EJECUTADO[[#This Row],[FECHA]])</f>
        <v>1</v>
      </c>
      <c r="H1566" s="163" t="str">
        <f>MID(EJECUTADO[[#This Row],[CUENTA]],1,4)</f>
        <v/>
      </c>
      <c r="I1566" s="163" t="e">
        <f>INDEX(CATALOGO[Descripción],MATCH(EJECUTADO[[#This Row],[APLICACIÓN]]&amp;"-00-00-00",CATALOGO[Código],0))</f>
        <v>#N/A</v>
      </c>
      <c r="J156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6" s="161" t="str">
        <f>IF((EJECUTADO[[#This Row],[MONTO DISPONIBLE ]]-EJECUTADO[[#This Row],[MONTO SOLICITADO]])&gt;=0,"PRESUPUESTO: SI","PRESUPUESTO: NO")</f>
        <v>PRESUPUESTO: SI</v>
      </c>
      <c r="L1566" s="162">
        <f>SUMIF(PRESUPUESTO[CUENTA],EJECUTADO[[#This Row],[CUENTA]],PRESUPUESTO[MONTO])-SUMIF($F$1:F1565,EJECUTADO[[#This Row],[CUENTA]],$M$1:M1565)</f>
        <v>0</v>
      </c>
      <c r="M1566" s="2"/>
      <c r="N1566" s="84"/>
      <c r="O1566" s="84"/>
      <c r="P1566" s="162">
        <f>+EJECUTADO[[#This Row],[MONTO SOLICITADO]]-EJECUTADO[[#This Row],[RETENCION IVA]]-EJECUTADO[[#This Row],[RETENCION ISR]]</f>
        <v>0</v>
      </c>
      <c r="Q1566" s="84"/>
      <c r="R1566" s="84"/>
      <c r="T1566" s="168" t="e">
        <f t="shared" si="65"/>
        <v>#N/A</v>
      </c>
    </row>
    <row r="1567" spans="1:20" x14ac:dyDescent="0.25">
      <c r="A1567" s="6">
        <f t="shared" si="66"/>
        <v>1428</v>
      </c>
      <c r="B1567" s="21"/>
      <c r="C1567" s="126"/>
      <c r="E1567" s="65"/>
      <c r="G1567" s="161">
        <f>MONTH(EJECUTADO[[#This Row],[FECHA]])</f>
        <v>1</v>
      </c>
      <c r="H1567" s="163" t="str">
        <f>MID(EJECUTADO[[#This Row],[CUENTA]],1,4)</f>
        <v/>
      </c>
      <c r="I1567" s="163" t="e">
        <f>INDEX(CATALOGO[Descripción],MATCH(EJECUTADO[[#This Row],[APLICACIÓN]]&amp;"-00-00-00",CATALOGO[Código],0))</f>
        <v>#N/A</v>
      </c>
      <c r="J156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7" s="161" t="str">
        <f>IF((EJECUTADO[[#This Row],[MONTO DISPONIBLE ]]-EJECUTADO[[#This Row],[MONTO SOLICITADO]])&gt;=0,"PRESUPUESTO: SI","PRESUPUESTO: NO")</f>
        <v>PRESUPUESTO: SI</v>
      </c>
      <c r="L1567" s="162">
        <f>SUMIF(PRESUPUESTO[CUENTA],EJECUTADO[[#This Row],[CUENTA]],PRESUPUESTO[MONTO])-SUMIF($F$1:F1566,EJECUTADO[[#This Row],[CUENTA]],$M$1:M1566)</f>
        <v>0</v>
      </c>
      <c r="M1567" s="2"/>
      <c r="N1567" s="84"/>
      <c r="O1567" s="84"/>
      <c r="P1567" s="162">
        <f>+EJECUTADO[[#This Row],[MONTO SOLICITADO]]-EJECUTADO[[#This Row],[RETENCION IVA]]-EJECUTADO[[#This Row],[RETENCION ISR]]</f>
        <v>0</v>
      </c>
      <c r="Q1567" s="84"/>
      <c r="R1567" s="84"/>
      <c r="T1567" s="168" t="e">
        <f t="shared" si="65"/>
        <v>#N/A</v>
      </c>
    </row>
    <row r="1568" spans="1:20" x14ac:dyDescent="0.25">
      <c r="A1568" s="6">
        <f t="shared" si="66"/>
        <v>1429</v>
      </c>
      <c r="B1568" s="21"/>
      <c r="C1568" s="126"/>
      <c r="E1568" s="65"/>
      <c r="G1568" s="161">
        <f>MONTH(EJECUTADO[[#This Row],[FECHA]])</f>
        <v>1</v>
      </c>
      <c r="H1568" s="163" t="str">
        <f>MID(EJECUTADO[[#This Row],[CUENTA]],1,4)</f>
        <v/>
      </c>
      <c r="I1568" s="163" t="e">
        <f>INDEX(CATALOGO[Descripción],MATCH(EJECUTADO[[#This Row],[APLICACIÓN]]&amp;"-00-00-00",CATALOGO[Código],0))</f>
        <v>#N/A</v>
      </c>
      <c r="J156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8" s="161" t="str">
        <f>IF((EJECUTADO[[#This Row],[MONTO DISPONIBLE ]]-EJECUTADO[[#This Row],[MONTO SOLICITADO]])&gt;=0,"PRESUPUESTO: SI","PRESUPUESTO: NO")</f>
        <v>PRESUPUESTO: SI</v>
      </c>
      <c r="L1568" s="162">
        <f>SUMIF(PRESUPUESTO[CUENTA],EJECUTADO[[#This Row],[CUENTA]],PRESUPUESTO[MONTO])-SUMIF($F$1:F1567,EJECUTADO[[#This Row],[CUENTA]],$M$1:M1567)</f>
        <v>0</v>
      </c>
      <c r="M1568" s="2"/>
      <c r="N1568" s="84"/>
      <c r="O1568" s="84"/>
      <c r="P1568" s="162">
        <f>+EJECUTADO[[#This Row],[MONTO SOLICITADO]]-EJECUTADO[[#This Row],[RETENCION IVA]]-EJECUTADO[[#This Row],[RETENCION ISR]]</f>
        <v>0</v>
      </c>
      <c r="Q1568" s="84"/>
      <c r="R1568" s="84"/>
      <c r="T1568" s="168" t="e">
        <f t="shared" si="65"/>
        <v>#N/A</v>
      </c>
    </row>
    <row r="1569" spans="1:20" x14ac:dyDescent="0.25">
      <c r="A1569" s="6">
        <f t="shared" si="66"/>
        <v>1430</v>
      </c>
      <c r="B1569" s="21"/>
      <c r="C1569" s="126"/>
      <c r="E1569" s="65"/>
      <c r="G1569" s="161">
        <f>MONTH(EJECUTADO[[#This Row],[FECHA]])</f>
        <v>1</v>
      </c>
      <c r="H1569" s="163" t="str">
        <f>MID(EJECUTADO[[#This Row],[CUENTA]],1,4)</f>
        <v/>
      </c>
      <c r="I1569" s="163" t="e">
        <f>INDEX(CATALOGO[Descripción],MATCH(EJECUTADO[[#This Row],[APLICACIÓN]]&amp;"-00-00-00",CATALOGO[Código],0))</f>
        <v>#N/A</v>
      </c>
      <c r="J156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69" s="161" t="str">
        <f>IF((EJECUTADO[[#This Row],[MONTO DISPONIBLE ]]-EJECUTADO[[#This Row],[MONTO SOLICITADO]])&gt;=0,"PRESUPUESTO: SI","PRESUPUESTO: NO")</f>
        <v>PRESUPUESTO: SI</v>
      </c>
      <c r="L1569" s="162">
        <f>SUMIF(PRESUPUESTO[CUENTA],EJECUTADO[[#This Row],[CUENTA]],PRESUPUESTO[MONTO])-SUMIF($F$1:F1568,EJECUTADO[[#This Row],[CUENTA]],$M$1:M1568)</f>
        <v>0</v>
      </c>
      <c r="M1569" s="2"/>
      <c r="N1569" s="84"/>
      <c r="O1569" s="84"/>
      <c r="P1569" s="162">
        <f>+EJECUTADO[[#This Row],[MONTO SOLICITADO]]-EJECUTADO[[#This Row],[RETENCION IVA]]-EJECUTADO[[#This Row],[RETENCION ISR]]</f>
        <v>0</v>
      </c>
      <c r="Q1569" s="84"/>
      <c r="R1569" s="84"/>
      <c r="T1569" s="168" t="e">
        <f t="shared" si="65"/>
        <v>#N/A</v>
      </c>
    </row>
    <row r="1570" spans="1:20" x14ac:dyDescent="0.25">
      <c r="A1570" s="6">
        <f t="shared" si="66"/>
        <v>1431</v>
      </c>
      <c r="B1570" s="21"/>
      <c r="C1570" s="126"/>
      <c r="E1570" s="65"/>
      <c r="G1570" s="161">
        <f>MONTH(EJECUTADO[[#This Row],[FECHA]])</f>
        <v>1</v>
      </c>
      <c r="H1570" s="163" t="str">
        <f>MID(EJECUTADO[[#This Row],[CUENTA]],1,4)</f>
        <v/>
      </c>
      <c r="I1570" s="163" t="e">
        <f>INDEX(CATALOGO[Descripción],MATCH(EJECUTADO[[#This Row],[APLICACIÓN]]&amp;"-00-00-00",CATALOGO[Código],0))</f>
        <v>#N/A</v>
      </c>
      <c r="J157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0" s="161" t="str">
        <f>IF((EJECUTADO[[#This Row],[MONTO DISPONIBLE ]]-EJECUTADO[[#This Row],[MONTO SOLICITADO]])&gt;=0,"PRESUPUESTO: SI","PRESUPUESTO: NO")</f>
        <v>PRESUPUESTO: SI</v>
      </c>
      <c r="L1570" s="162">
        <f>SUMIF(PRESUPUESTO[CUENTA],EJECUTADO[[#This Row],[CUENTA]],PRESUPUESTO[MONTO])-SUMIF($F$1:F1569,EJECUTADO[[#This Row],[CUENTA]],$M$1:M1569)</f>
        <v>0</v>
      </c>
      <c r="M1570" s="2"/>
      <c r="N1570" s="84"/>
      <c r="O1570" s="84"/>
      <c r="P1570" s="162">
        <f>+EJECUTADO[[#This Row],[MONTO SOLICITADO]]-EJECUTADO[[#This Row],[RETENCION IVA]]-EJECUTADO[[#This Row],[RETENCION ISR]]</f>
        <v>0</v>
      </c>
      <c r="Q1570" s="84"/>
      <c r="R1570" s="84"/>
      <c r="T1570" s="168" t="e">
        <f t="shared" si="65"/>
        <v>#N/A</v>
      </c>
    </row>
    <row r="1571" spans="1:20" x14ac:dyDescent="0.25">
      <c r="A1571" s="6">
        <f t="shared" si="66"/>
        <v>1432</v>
      </c>
      <c r="B1571" s="21"/>
      <c r="C1571" s="126"/>
      <c r="E1571" s="65"/>
      <c r="G1571" s="161">
        <f>MONTH(EJECUTADO[[#This Row],[FECHA]])</f>
        <v>1</v>
      </c>
      <c r="H1571" s="163" t="str">
        <f>MID(EJECUTADO[[#This Row],[CUENTA]],1,4)</f>
        <v/>
      </c>
      <c r="I1571" s="163" t="e">
        <f>INDEX(CATALOGO[Descripción],MATCH(EJECUTADO[[#This Row],[APLICACIÓN]]&amp;"-00-00-00",CATALOGO[Código],0))</f>
        <v>#N/A</v>
      </c>
      <c r="J157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1" s="161" t="str">
        <f>IF((EJECUTADO[[#This Row],[MONTO DISPONIBLE ]]-EJECUTADO[[#This Row],[MONTO SOLICITADO]])&gt;=0,"PRESUPUESTO: SI","PRESUPUESTO: NO")</f>
        <v>PRESUPUESTO: SI</v>
      </c>
      <c r="L1571" s="162">
        <f>SUMIF(PRESUPUESTO[CUENTA],EJECUTADO[[#This Row],[CUENTA]],PRESUPUESTO[MONTO])-SUMIF($F$1:F1570,EJECUTADO[[#This Row],[CUENTA]],$M$1:M1570)</f>
        <v>0</v>
      </c>
      <c r="M1571" s="2"/>
      <c r="N1571" s="84"/>
      <c r="O1571" s="84"/>
      <c r="P1571" s="162">
        <f>+EJECUTADO[[#This Row],[MONTO SOLICITADO]]-EJECUTADO[[#This Row],[RETENCION IVA]]-EJECUTADO[[#This Row],[RETENCION ISR]]</f>
        <v>0</v>
      </c>
      <c r="Q1571" s="84"/>
      <c r="R1571" s="84"/>
      <c r="T1571" s="168" t="e">
        <f t="shared" si="65"/>
        <v>#N/A</v>
      </c>
    </row>
    <row r="1572" spans="1:20" x14ac:dyDescent="0.25">
      <c r="A1572" s="6">
        <f t="shared" si="66"/>
        <v>1433</v>
      </c>
      <c r="B1572" s="21"/>
      <c r="C1572" s="126"/>
      <c r="E1572" s="65"/>
      <c r="G1572" s="161">
        <f>MONTH(EJECUTADO[[#This Row],[FECHA]])</f>
        <v>1</v>
      </c>
      <c r="H1572" s="163" t="str">
        <f>MID(EJECUTADO[[#This Row],[CUENTA]],1,4)</f>
        <v/>
      </c>
      <c r="I1572" s="163" t="e">
        <f>INDEX(CATALOGO[Descripción],MATCH(EJECUTADO[[#This Row],[APLICACIÓN]]&amp;"-00-00-00",CATALOGO[Código],0))</f>
        <v>#N/A</v>
      </c>
      <c r="J157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2" s="161" t="str">
        <f>IF((EJECUTADO[[#This Row],[MONTO DISPONIBLE ]]-EJECUTADO[[#This Row],[MONTO SOLICITADO]])&gt;=0,"PRESUPUESTO: SI","PRESUPUESTO: NO")</f>
        <v>PRESUPUESTO: SI</v>
      </c>
      <c r="L1572" s="162">
        <f>SUMIF(PRESUPUESTO[CUENTA],EJECUTADO[[#This Row],[CUENTA]],PRESUPUESTO[MONTO])-SUMIF($F$1:F1571,EJECUTADO[[#This Row],[CUENTA]],$M$1:M1571)</f>
        <v>0</v>
      </c>
      <c r="M1572" s="2"/>
      <c r="N1572" s="84"/>
      <c r="O1572" s="84"/>
      <c r="P1572" s="162">
        <f>+EJECUTADO[[#This Row],[MONTO SOLICITADO]]-EJECUTADO[[#This Row],[RETENCION IVA]]-EJECUTADO[[#This Row],[RETENCION ISR]]</f>
        <v>0</v>
      </c>
      <c r="Q1572" s="84"/>
      <c r="R1572" s="84"/>
      <c r="T1572" s="168" t="e">
        <f t="shared" si="65"/>
        <v>#N/A</v>
      </c>
    </row>
    <row r="1573" spans="1:20" x14ac:dyDescent="0.25">
      <c r="A1573" s="6">
        <f t="shared" si="66"/>
        <v>1434</v>
      </c>
      <c r="B1573" s="21"/>
      <c r="C1573" s="126"/>
      <c r="E1573" s="65"/>
      <c r="G1573" s="161">
        <f>MONTH(EJECUTADO[[#This Row],[FECHA]])</f>
        <v>1</v>
      </c>
      <c r="H1573" s="163" t="str">
        <f>MID(EJECUTADO[[#This Row],[CUENTA]],1,4)</f>
        <v/>
      </c>
      <c r="I1573" s="163" t="e">
        <f>INDEX(CATALOGO[Descripción],MATCH(EJECUTADO[[#This Row],[APLICACIÓN]]&amp;"-00-00-00",CATALOGO[Código],0))</f>
        <v>#N/A</v>
      </c>
      <c r="J157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3" s="161" t="str">
        <f>IF((EJECUTADO[[#This Row],[MONTO DISPONIBLE ]]-EJECUTADO[[#This Row],[MONTO SOLICITADO]])&gt;=0,"PRESUPUESTO: SI","PRESUPUESTO: NO")</f>
        <v>PRESUPUESTO: SI</v>
      </c>
      <c r="L1573" s="162">
        <f>SUMIF(PRESUPUESTO[CUENTA],EJECUTADO[[#This Row],[CUENTA]],PRESUPUESTO[MONTO])-SUMIF($F$1:F1572,EJECUTADO[[#This Row],[CUENTA]],$M$1:M1572)</f>
        <v>0</v>
      </c>
      <c r="M1573" s="2"/>
      <c r="N1573" s="84"/>
      <c r="O1573" s="84"/>
      <c r="P1573" s="162">
        <f>+EJECUTADO[[#This Row],[MONTO SOLICITADO]]-EJECUTADO[[#This Row],[RETENCION IVA]]-EJECUTADO[[#This Row],[RETENCION ISR]]</f>
        <v>0</v>
      </c>
      <c r="Q1573" s="84"/>
      <c r="R1573" s="84"/>
      <c r="T1573" s="168" t="e">
        <f t="shared" si="65"/>
        <v>#N/A</v>
      </c>
    </row>
    <row r="1574" spans="1:20" x14ac:dyDescent="0.25">
      <c r="A1574" s="6">
        <f t="shared" si="66"/>
        <v>1435</v>
      </c>
      <c r="B1574" s="21"/>
      <c r="C1574" s="126"/>
      <c r="E1574" s="65"/>
      <c r="G1574" s="161">
        <f>MONTH(EJECUTADO[[#This Row],[FECHA]])</f>
        <v>1</v>
      </c>
      <c r="H1574" s="163" t="str">
        <f>MID(EJECUTADO[[#This Row],[CUENTA]],1,4)</f>
        <v/>
      </c>
      <c r="I1574" s="163" t="e">
        <f>INDEX(CATALOGO[Descripción],MATCH(EJECUTADO[[#This Row],[APLICACIÓN]]&amp;"-00-00-00",CATALOGO[Código],0))</f>
        <v>#N/A</v>
      </c>
      <c r="J157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4" s="161" t="str">
        <f>IF((EJECUTADO[[#This Row],[MONTO DISPONIBLE ]]-EJECUTADO[[#This Row],[MONTO SOLICITADO]])&gt;=0,"PRESUPUESTO: SI","PRESUPUESTO: NO")</f>
        <v>PRESUPUESTO: SI</v>
      </c>
      <c r="L1574" s="162">
        <f>SUMIF(PRESUPUESTO[CUENTA],EJECUTADO[[#This Row],[CUENTA]],PRESUPUESTO[MONTO])-SUMIF($F$1:F1573,EJECUTADO[[#This Row],[CUENTA]],$M$1:M1573)</f>
        <v>0</v>
      </c>
      <c r="M1574" s="2"/>
      <c r="N1574" s="84"/>
      <c r="O1574" s="84"/>
      <c r="P1574" s="162">
        <f>+EJECUTADO[[#This Row],[MONTO SOLICITADO]]-EJECUTADO[[#This Row],[RETENCION IVA]]-EJECUTADO[[#This Row],[RETENCION ISR]]</f>
        <v>0</v>
      </c>
      <c r="Q1574" s="84"/>
      <c r="R1574" s="84"/>
      <c r="T1574" s="168" t="e">
        <f t="shared" si="65"/>
        <v>#N/A</v>
      </c>
    </row>
    <row r="1575" spans="1:20" x14ac:dyDescent="0.25">
      <c r="A1575" s="6">
        <f t="shared" si="66"/>
        <v>1436</v>
      </c>
      <c r="B1575" s="21"/>
      <c r="C1575" s="126"/>
      <c r="E1575" s="65"/>
      <c r="G1575" s="161">
        <f>MONTH(EJECUTADO[[#This Row],[FECHA]])</f>
        <v>1</v>
      </c>
      <c r="H1575" s="163" t="str">
        <f>MID(EJECUTADO[[#This Row],[CUENTA]],1,4)</f>
        <v/>
      </c>
      <c r="I1575" s="163" t="e">
        <f>INDEX(CATALOGO[Descripción],MATCH(EJECUTADO[[#This Row],[APLICACIÓN]]&amp;"-00-00-00",CATALOGO[Código],0))</f>
        <v>#N/A</v>
      </c>
      <c r="J157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5" s="161" t="str">
        <f>IF((EJECUTADO[[#This Row],[MONTO DISPONIBLE ]]-EJECUTADO[[#This Row],[MONTO SOLICITADO]])&gt;=0,"PRESUPUESTO: SI","PRESUPUESTO: NO")</f>
        <v>PRESUPUESTO: SI</v>
      </c>
      <c r="L1575" s="162">
        <f>SUMIF(PRESUPUESTO[CUENTA],EJECUTADO[[#This Row],[CUENTA]],PRESUPUESTO[MONTO])-SUMIF($F$1:F1574,EJECUTADO[[#This Row],[CUENTA]],$M$1:M1574)</f>
        <v>0</v>
      </c>
      <c r="M1575" s="2"/>
      <c r="N1575" s="84"/>
      <c r="O1575" s="84"/>
      <c r="P1575" s="162">
        <f>+EJECUTADO[[#This Row],[MONTO SOLICITADO]]-EJECUTADO[[#This Row],[RETENCION IVA]]-EJECUTADO[[#This Row],[RETENCION ISR]]</f>
        <v>0</v>
      </c>
      <c r="Q1575" s="84"/>
      <c r="R1575" s="84"/>
      <c r="T1575" s="168" t="e">
        <f t="shared" si="65"/>
        <v>#N/A</v>
      </c>
    </row>
    <row r="1576" spans="1:20" x14ac:dyDescent="0.25">
      <c r="A1576" s="6">
        <f t="shared" si="66"/>
        <v>1437</v>
      </c>
      <c r="B1576" s="21"/>
      <c r="C1576" s="126"/>
      <c r="E1576" s="65"/>
      <c r="G1576" s="161">
        <f>MONTH(EJECUTADO[[#This Row],[FECHA]])</f>
        <v>1</v>
      </c>
      <c r="H1576" s="163" t="str">
        <f>MID(EJECUTADO[[#This Row],[CUENTA]],1,4)</f>
        <v/>
      </c>
      <c r="I1576" s="163" t="e">
        <f>INDEX(CATALOGO[Descripción],MATCH(EJECUTADO[[#This Row],[APLICACIÓN]]&amp;"-00-00-00",CATALOGO[Código],0))</f>
        <v>#N/A</v>
      </c>
      <c r="J157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6" s="161" t="str">
        <f>IF((EJECUTADO[[#This Row],[MONTO DISPONIBLE ]]-EJECUTADO[[#This Row],[MONTO SOLICITADO]])&gt;=0,"PRESUPUESTO: SI","PRESUPUESTO: NO")</f>
        <v>PRESUPUESTO: SI</v>
      </c>
      <c r="L1576" s="162">
        <f>SUMIF(PRESUPUESTO[CUENTA],EJECUTADO[[#This Row],[CUENTA]],PRESUPUESTO[MONTO])-SUMIF($F$1:F1575,EJECUTADO[[#This Row],[CUENTA]],$M$1:M1575)</f>
        <v>0</v>
      </c>
      <c r="M1576" s="2"/>
      <c r="N1576" s="84"/>
      <c r="O1576" s="84"/>
      <c r="P1576" s="162">
        <f>+EJECUTADO[[#This Row],[MONTO SOLICITADO]]-EJECUTADO[[#This Row],[RETENCION IVA]]-EJECUTADO[[#This Row],[RETENCION ISR]]</f>
        <v>0</v>
      </c>
      <c r="Q1576" s="84"/>
      <c r="R1576" s="84"/>
      <c r="T1576" s="168" t="e">
        <f t="shared" si="65"/>
        <v>#N/A</v>
      </c>
    </row>
    <row r="1577" spans="1:20" x14ac:dyDescent="0.25">
      <c r="A1577" s="6">
        <f t="shared" si="66"/>
        <v>1438</v>
      </c>
      <c r="B1577" s="21"/>
      <c r="C1577" s="126"/>
      <c r="E1577" s="65"/>
      <c r="G1577" s="161">
        <f>MONTH(EJECUTADO[[#This Row],[FECHA]])</f>
        <v>1</v>
      </c>
      <c r="H1577" s="163" t="str">
        <f>MID(EJECUTADO[[#This Row],[CUENTA]],1,4)</f>
        <v/>
      </c>
      <c r="I1577" s="163" t="e">
        <f>INDEX(CATALOGO[Descripción],MATCH(EJECUTADO[[#This Row],[APLICACIÓN]]&amp;"-00-00-00",CATALOGO[Código],0))</f>
        <v>#N/A</v>
      </c>
      <c r="J157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7" s="161" t="str">
        <f>IF((EJECUTADO[[#This Row],[MONTO DISPONIBLE ]]-EJECUTADO[[#This Row],[MONTO SOLICITADO]])&gt;=0,"PRESUPUESTO: SI","PRESUPUESTO: NO")</f>
        <v>PRESUPUESTO: SI</v>
      </c>
      <c r="L1577" s="162">
        <f>SUMIF(PRESUPUESTO[CUENTA],EJECUTADO[[#This Row],[CUENTA]],PRESUPUESTO[MONTO])-SUMIF($F$1:F1576,EJECUTADO[[#This Row],[CUENTA]],$M$1:M1576)</f>
        <v>0</v>
      </c>
      <c r="M1577" s="2"/>
      <c r="N1577" s="84"/>
      <c r="O1577" s="84"/>
      <c r="P1577" s="162">
        <f>+EJECUTADO[[#This Row],[MONTO SOLICITADO]]-EJECUTADO[[#This Row],[RETENCION IVA]]-EJECUTADO[[#This Row],[RETENCION ISR]]</f>
        <v>0</v>
      </c>
      <c r="Q1577" s="84"/>
      <c r="R1577" s="84"/>
      <c r="T1577" s="168" t="e">
        <f t="shared" si="65"/>
        <v>#N/A</v>
      </c>
    </row>
    <row r="1578" spans="1:20" x14ac:dyDescent="0.25">
      <c r="A1578" s="6">
        <f t="shared" si="66"/>
        <v>1439</v>
      </c>
      <c r="B1578" s="21"/>
      <c r="C1578" s="126"/>
      <c r="E1578" s="65"/>
      <c r="G1578" s="161">
        <f>MONTH(EJECUTADO[[#This Row],[FECHA]])</f>
        <v>1</v>
      </c>
      <c r="H1578" s="163" t="str">
        <f>MID(EJECUTADO[[#This Row],[CUENTA]],1,4)</f>
        <v/>
      </c>
      <c r="I1578" s="163" t="e">
        <f>INDEX(CATALOGO[Descripción],MATCH(EJECUTADO[[#This Row],[APLICACIÓN]]&amp;"-00-00-00",CATALOGO[Código],0))</f>
        <v>#N/A</v>
      </c>
      <c r="J157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8" s="161" t="str">
        <f>IF((EJECUTADO[[#This Row],[MONTO DISPONIBLE ]]-EJECUTADO[[#This Row],[MONTO SOLICITADO]])&gt;=0,"PRESUPUESTO: SI","PRESUPUESTO: NO")</f>
        <v>PRESUPUESTO: SI</v>
      </c>
      <c r="L1578" s="162">
        <f>SUMIF(PRESUPUESTO[CUENTA],EJECUTADO[[#This Row],[CUENTA]],PRESUPUESTO[MONTO])-SUMIF($F$1:F1577,EJECUTADO[[#This Row],[CUENTA]],$M$1:M1577)</f>
        <v>0</v>
      </c>
      <c r="M1578" s="2"/>
      <c r="N1578" s="84"/>
      <c r="O1578" s="84"/>
      <c r="P1578" s="162">
        <f>+EJECUTADO[[#This Row],[MONTO SOLICITADO]]-EJECUTADO[[#This Row],[RETENCION IVA]]-EJECUTADO[[#This Row],[RETENCION ISR]]</f>
        <v>0</v>
      </c>
      <c r="Q1578" s="84"/>
      <c r="R1578" s="84"/>
      <c r="T1578" s="168" t="e">
        <f t="shared" si="65"/>
        <v>#N/A</v>
      </c>
    </row>
    <row r="1579" spans="1:20" x14ac:dyDescent="0.25">
      <c r="A1579" s="6">
        <f t="shared" si="66"/>
        <v>1440</v>
      </c>
      <c r="B1579" s="21"/>
      <c r="C1579" s="126"/>
      <c r="E1579" s="65"/>
      <c r="G1579" s="161">
        <f>MONTH(EJECUTADO[[#This Row],[FECHA]])</f>
        <v>1</v>
      </c>
      <c r="H1579" s="163" t="str">
        <f>MID(EJECUTADO[[#This Row],[CUENTA]],1,4)</f>
        <v/>
      </c>
      <c r="I1579" s="163" t="e">
        <f>INDEX(CATALOGO[Descripción],MATCH(EJECUTADO[[#This Row],[APLICACIÓN]]&amp;"-00-00-00",CATALOGO[Código],0))</f>
        <v>#N/A</v>
      </c>
      <c r="J157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79" s="161" t="str">
        <f>IF((EJECUTADO[[#This Row],[MONTO DISPONIBLE ]]-EJECUTADO[[#This Row],[MONTO SOLICITADO]])&gt;=0,"PRESUPUESTO: SI","PRESUPUESTO: NO")</f>
        <v>PRESUPUESTO: SI</v>
      </c>
      <c r="L1579" s="162">
        <f>SUMIF(PRESUPUESTO[CUENTA],EJECUTADO[[#This Row],[CUENTA]],PRESUPUESTO[MONTO])-SUMIF($F$1:F1578,EJECUTADO[[#This Row],[CUENTA]],$M$1:M1578)</f>
        <v>0</v>
      </c>
      <c r="M1579" s="2"/>
      <c r="N1579" s="84"/>
      <c r="O1579" s="84"/>
      <c r="P1579" s="162">
        <f>+EJECUTADO[[#This Row],[MONTO SOLICITADO]]-EJECUTADO[[#This Row],[RETENCION IVA]]-EJECUTADO[[#This Row],[RETENCION ISR]]</f>
        <v>0</v>
      </c>
      <c r="Q1579" s="84"/>
      <c r="R1579" s="84"/>
      <c r="T1579" s="168" t="e">
        <f t="shared" si="65"/>
        <v>#N/A</v>
      </c>
    </row>
    <row r="1580" spans="1:20" x14ac:dyDescent="0.25">
      <c r="A1580" s="6">
        <f t="shared" si="66"/>
        <v>1441</v>
      </c>
      <c r="B1580" s="21"/>
      <c r="C1580" s="126"/>
      <c r="E1580" s="65"/>
      <c r="G1580" s="161">
        <f>MONTH(EJECUTADO[[#This Row],[FECHA]])</f>
        <v>1</v>
      </c>
      <c r="H1580" s="163" t="str">
        <f>MID(EJECUTADO[[#This Row],[CUENTA]],1,4)</f>
        <v/>
      </c>
      <c r="I1580" s="163" t="e">
        <f>INDEX(CATALOGO[Descripción],MATCH(EJECUTADO[[#This Row],[APLICACIÓN]]&amp;"-00-00-00",CATALOGO[Código],0))</f>
        <v>#N/A</v>
      </c>
      <c r="J158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0" s="161" t="str">
        <f>IF((EJECUTADO[[#This Row],[MONTO DISPONIBLE ]]-EJECUTADO[[#This Row],[MONTO SOLICITADO]])&gt;=0,"PRESUPUESTO: SI","PRESUPUESTO: NO")</f>
        <v>PRESUPUESTO: SI</v>
      </c>
      <c r="L1580" s="162">
        <f>SUMIF(PRESUPUESTO[CUENTA],EJECUTADO[[#This Row],[CUENTA]],PRESUPUESTO[MONTO])-SUMIF($F$1:F1579,EJECUTADO[[#This Row],[CUENTA]],$M$1:M1579)</f>
        <v>0</v>
      </c>
      <c r="M1580" s="2"/>
      <c r="N1580" s="84"/>
      <c r="O1580" s="84"/>
      <c r="P1580" s="162">
        <f>+EJECUTADO[[#This Row],[MONTO SOLICITADO]]-EJECUTADO[[#This Row],[RETENCION IVA]]-EJECUTADO[[#This Row],[RETENCION ISR]]</f>
        <v>0</v>
      </c>
      <c r="Q1580" s="84"/>
      <c r="R1580" s="84"/>
      <c r="T1580" s="168" t="e">
        <f t="shared" si="65"/>
        <v>#N/A</v>
      </c>
    </row>
    <row r="1581" spans="1:20" x14ac:dyDescent="0.25">
      <c r="A1581" s="6">
        <f t="shared" si="66"/>
        <v>1442</v>
      </c>
      <c r="B1581" s="21"/>
      <c r="C1581" s="126"/>
      <c r="E1581" s="65"/>
      <c r="G1581" s="161">
        <f>MONTH(EJECUTADO[[#This Row],[FECHA]])</f>
        <v>1</v>
      </c>
      <c r="H1581" s="163" t="str">
        <f>MID(EJECUTADO[[#This Row],[CUENTA]],1,4)</f>
        <v/>
      </c>
      <c r="I1581" s="163" t="e">
        <f>INDEX(CATALOGO[Descripción],MATCH(EJECUTADO[[#This Row],[APLICACIÓN]]&amp;"-00-00-00",CATALOGO[Código],0))</f>
        <v>#N/A</v>
      </c>
      <c r="J158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1" s="161" t="str">
        <f>IF((EJECUTADO[[#This Row],[MONTO DISPONIBLE ]]-EJECUTADO[[#This Row],[MONTO SOLICITADO]])&gt;=0,"PRESUPUESTO: SI","PRESUPUESTO: NO")</f>
        <v>PRESUPUESTO: SI</v>
      </c>
      <c r="L1581" s="162">
        <f>SUMIF(PRESUPUESTO[CUENTA],EJECUTADO[[#This Row],[CUENTA]],PRESUPUESTO[MONTO])-SUMIF($F$1:F1580,EJECUTADO[[#This Row],[CUENTA]],$M$1:M1580)</f>
        <v>0</v>
      </c>
      <c r="M1581" s="2"/>
      <c r="N1581" s="84"/>
      <c r="O1581" s="84"/>
      <c r="P1581" s="162">
        <f>+EJECUTADO[[#This Row],[MONTO SOLICITADO]]-EJECUTADO[[#This Row],[RETENCION IVA]]-EJECUTADO[[#This Row],[RETENCION ISR]]</f>
        <v>0</v>
      </c>
      <c r="Q1581" s="84"/>
      <c r="R1581" s="84"/>
      <c r="T1581" s="168" t="e">
        <f t="shared" si="65"/>
        <v>#N/A</v>
      </c>
    </row>
    <row r="1582" spans="1:20" x14ac:dyDescent="0.25">
      <c r="A1582" s="6">
        <f t="shared" si="66"/>
        <v>1443</v>
      </c>
      <c r="B1582" s="21"/>
      <c r="C1582" s="126"/>
      <c r="E1582" s="65"/>
      <c r="G1582" s="161">
        <f>MONTH(EJECUTADO[[#This Row],[FECHA]])</f>
        <v>1</v>
      </c>
      <c r="H1582" s="163" t="str">
        <f>MID(EJECUTADO[[#This Row],[CUENTA]],1,4)</f>
        <v/>
      </c>
      <c r="I1582" s="163" t="e">
        <f>INDEX(CATALOGO[Descripción],MATCH(EJECUTADO[[#This Row],[APLICACIÓN]]&amp;"-00-00-00",CATALOGO[Código],0))</f>
        <v>#N/A</v>
      </c>
      <c r="J158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2" s="161" t="str">
        <f>IF((EJECUTADO[[#This Row],[MONTO DISPONIBLE ]]-EJECUTADO[[#This Row],[MONTO SOLICITADO]])&gt;=0,"PRESUPUESTO: SI","PRESUPUESTO: NO")</f>
        <v>PRESUPUESTO: SI</v>
      </c>
      <c r="L1582" s="162">
        <f>SUMIF(PRESUPUESTO[CUENTA],EJECUTADO[[#This Row],[CUENTA]],PRESUPUESTO[MONTO])-SUMIF($F$1:F1581,EJECUTADO[[#This Row],[CUENTA]],$M$1:M1581)</f>
        <v>0</v>
      </c>
      <c r="M1582" s="2"/>
      <c r="N1582" s="84"/>
      <c r="O1582" s="84"/>
      <c r="P1582" s="162">
        <f>+EJECUTADO[[#This Row],[MONTO SOLICITADO]]-EJECUTADO[[#This Row],[RETENCION IVA]]-EJECUTADO[[#This Row],[RETENCION ISR]]</f>
        <v>0</v>
      </c>
      <c r="Q1582" s="84"/>
      <c r="R1582" s="84"/>
      <c r="T1582" s="168" t="e">
        <f t="shared" si="65"/>
        <v>#N/A</v>
      </c>
    </row>
    <row r="1583" spans="1:20" x14ac:dyDescent="0.25">
      <c r="A1583" s="6">
        <f t="shared" si="66"/>
        <v>1444</v>
      </c>
      <c r="B1583" s="21"/>
      <c r="C1583" s="126"/>
      <c r="E1583" s="65"/>
      <c r="G1583" s="161">
        <f>MONTH(EJECUTADO[[#This Row],[FECHA]])</f>
        <v>1</v>
      </c>
      <c r="H1583" s="163" t="str">
        <f>MID(EJECUTADO[[#This Row],[CUENTA]],1,4)</f>
        <v/>
      </c>
      <c r="I1583" s="163" t="e">
        <f>INDEX(CATALOGO[Descripción],MATCH(EJECUTADO[[#This Row],[APLICACIÓN]]&amp;"-00-00-00",CATALOGO[Código],0))</f>
        <v>#N/A</v>
      </c>
      <c r="J158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3" s="161" t="str">
        <f>IF((EJECUTADO[[#This Row],[MONTO DISPONIBLE ]]-EJECUTADO[[#This Row],[MONTO SOLICITADO]])&gt;=0,"PRESUPUESTO: SI","PRESUPUESTO: NO")</f>
        <v>PRESUPUESTO: SI</v>
      </c>
      <c r="L1583" s="162">
        <f>SUMIF(PRESUPUESTO[CUENTA],EJECUTADO[[#This Row],[CUENTA]],PRESUPUESTO[MONTO])-SUMIF($F$1:F1582,EJECUTADO[[#This Row],[CUENTA]],$M$1:M1582)</f>
        <v>0</v>
      </c>
      <c r="M1583" s="2"/>
      <c r="N1583" s="84"/>
      <c r="O1583" s="84"/>
      <c r="P1583" s="162">
        <f>+EJECUTADO[[#This Row],[MONTO SOLICITADO]]-EJECUTADO[[#This Row],[RETENCION IVA]]-EJECUTADO[[#This Row],[RETENCION ISR]]</f>
        <v>0</v>
      </c>
      <c r="Q1583" s="84"/>
      <c r="R1583" s="84"/>
      <c r="T1583" s="168" t="e">
        <f t="shared" si="65"/>
        <v>#N/A</v>
      </c>
    </row>
    <row r="1584" spans="1:20" x14ac:dyDescent="0.25">
      <c r="A1584" s="6">
        <f t="shared" si="66"/>
        <v>1445</v>
      </c>
      <c r="B1584" s="21"/>
      <c r="C1584" s="126"/>
      <c r="E1584" s="65"/>
      <c r="G1584" s="161">
        <f>MONTH(EJECUTADO[[#This Row],[FECHA]])</f>
        <v>1</v>
      </c>
      <c r="H1584" s="163" t="str">
        <f>MID(EJECUTADO[[#This Row],[CUENTA]],1,4)</f>
        <v/>
      </c>
      <c r="I1584" s="163" t="e">
        <f>INDEX(CATALOGO[Descripción],MATCH(EJECUTADO[[#This Row],[APLICACIÓN]]&amp;"-00-00-00",CATALOGO[Código],0))</f>
        <v>#N/A</v>
      </c>
      <c r="J158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4" s="161" t="str">
        <f>IF((EJECUTADO[[#This Row],[MONTO DISPONIBLE ]]-EJECUTADO[[#This Row],[MONTO SOLICITADO]])&gt;=0,"PRESUPUESTO: SI","PRESUPUESTO: NO")</f>
        <v>PRESUPUESTO: SI</v>
      </c>
      <c r="L1584" s="162">
        <f>SUMIF(PRESUPUESTO[CUENTA],EJECUTADO[[#This Row],[CUENTA]],PRESUPUESTO[MONTO])-SUMIF($F$1:F1583,EJECUTADO[[#This Row],[CUENTA]],$M$1:M1583)</f>
        <v>0</v>
      </c>
      <c r="M1584" s="2"/>
      <c r="N1584" s="84"/>
      <c r="O1584" s="84"/>
      <c r="P1584" s="162">
        <f>+EJECUTADO[[#This Row],[MONTO SOLICITADO]]-EJECUTADO[[#This Row],[RETENCION IVA]]-EJECUTADO[[#This Row],[RETENCION ISR]]</f>
        <v>0</v>
      </c>
      <c r="Q1584" s="84"/>
      <c r="R1584" s="84"/>
      <c r="T1584" s="168" t="e">
        <f t="shared" si="65"/>
        <v>#N/A</v>
      </c>
    </row>
    <row r="1585" spans="1:20" x14ac:dyDescent="0.25">
      <c r="A1585" s="6">
        <f t="shared" si="66"/>
        <v>1446</v>
      </c>
      <c r="B1585" s="21"/>
      <c r="C1585" s="126"/>
      <c r="E1585" s="65"/>
      <c r="G1585" s="161">
        <f>MONTH(EJECUTADO[[#This Row],[FECHA]])</f>
        <v>1</v>
      </c>
      <c r="H1585" s="163" t="str">
        <f>MID(EJECUTADO[[#This Row],[CUENTA]],1,4)</f>
        <v/>
      </c>
      <c r="I1585" s="163" t="e">
        <f>INDEX(CATALOGO[Descripción],MATCH(EJECUTADO[[#This Row],[APLICACIÓN]]&amp;"-00-00-00",CATALOGO[Código],0))</f>
        <v>#N/A</v>
      </c>
      <c r="J158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5" s="161" t="str">
        <f>IF((EJECUTADO[[#This Row],[MONTO DISPONIBLE ]]-EJECUTADO[[#This Row],[MONTO SOLICITADO]])&gt;=0,"PRESUPUESTO: SI","PRESUPUESTO: NO")</f>
        <v>PRESUPUESTO: SI</v>
      </c>
      <c r="L1585" s="162">
        <f>SUMIF(PRESUPUESTO[CUENTA],EJECUTADO[[#This Row],[CUENTA]],PRESUPUESTO[MONTO])-SUMIF($F$1:F1584,EJECUTADO[[#This Row],[CUENTA]],$M$1:M1584)</f>
        <v>0</v>
      </c>
      <c r="M1585" s="2"/>
      <c r="N1585" s="84"/>
      <c r="O1585" s="84"/>
      <c r="P1585" s="162">
        <f>+EJECUTADO[[#This Row],[MONTO SOLICITADO]]-EJECUTADO[[#This Row],[RETENCION IVA]]-EJECUTADO[[#This Row],[RETENCION ISR]]</f>
        <v>0</v>
      </c>
      <c r="Q1585" s="84"/>
      <c r="R1585" s="84"/>
      <c r="T1585" s="168" t="e">
        <f t="shared" si="65"/>
        <v>#N/A</v>
      </c>
    </row>
    <row r="1586" spans="1:20" x14ac:dyDescent="0.25">
      <c r="A1586" s="6">
        <f t="shared" si="66"/>
        <v>1447</v>
      </c>
      <c r="B1586" s="21"/>
      <c r="C1586" s="126"/>
      <c r="E1586" s="65"/>
      <c r="G1586" s="161">
        <f>MONTH(EJECUTADO[[#This Row],[FECHA]])</f>
        <v>1</v>
      </c>
      <c r="H1586" s="163" t="str">
        <f>MID(EJECUTADO[[#This Row],[CUENTA]],1,4)</f>
        <v/>
      </c>
      <c r="I1586" s="163" t="e">
        <f>INDEX(CATALOGO[Descripción],MATCH(EJECUTADO[[#This Row],[APLICACIÓN]]&amp;"-00-00-00",CATALOGO[Código],0))</f>
        <v>#N/A</v>
      </c>
      <c r="J158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6" s="161" t="str">
        <f>IF((EJECUTADO[[#This Row],[MONTO DISPONIBLE ]]-EJECUTADO[[#This Row],[MONTO SOLICITADO]])&gt;=0,"PRESUPUESTO: SI","PRESUPUESTO: NO")</f>
        <v>PRESUPUESTO: SI</v>
      </c>
      <c r="L1586" s="162">
        <f>SUMIF(PRESUPUESTO[CUENTA],EJECUTADO[[#This Row],[CUENTA]],PRESUPUESTO[MONTO])-SUMIF($F$1:F1585,EJECUTADO[[#This Row],[CUENTA]],$M$1:M1585)</f>
        <v>0</v>
      </c>
      <c r="M1586" s="2"/>
      <c r="N1586" s="84"/>
      <c r="O1586" s="84"/>
      <c r="P1586" s="162">
        <f>+EJECUTADO[[#This Row],[MONTO SOLICITADO]]-EJECUTADO[[#This Row],[RETENCION IVA]]-EJECUTADO[[#This Row],[RETENCION ISR]]</f>
        <v>0</v>
      </c>
      <c r="Q1586" s="84"/>
      <c r="R1586" s="84"/>
      <c r="T1586" s="168" t="e">
        <f t="shared" si="65"/>
        <v>#N/A</v>
      </c>
    </row>
    <row r="1587" spans="1:20" x14ac:dyDescent="0.25">
      <c r="A1587" s="6">
        <f t="shared" si="66"/>
        <v>1448</v>
      </c>
      <c r="B1587" s="21"/>
      <c r="C1587" s="126"/>
      <c r="E1587" s="65"/>
      <c r="G1587" s="161">
        <f>MONTH(EJECUTADO[[#This Row],[FECHA]])</f>
        <v>1</v>
      </c>
      <c r="H1587" s="163" t="str">
        <f>MID(EJECUTADO[[#This Row],[CUENTA]],1,4)</f>
        <v/>
      </c>
      <c r="I1587" s="163" t="e">
        <f>INDEX(CATALOGO[Descripción],MATCH(EJECUTADO[[#This Row],[APLICACIÓN]]&amp;"-00-00-00",CATALOGO[Código],0))</f>
        <v>#N/A</v>
      </c>
      <c r="J158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7" s="161" t="str">
        <f>IF((EJECUTADO[[#This Row],[MONTO DISPONIBLE ]]-EJECUTADO[[#This Row],[MONTO SOLICITADO]])&gt;=0,"PRESUPUESTO: SI","PRESUPUESTO: NO")</f>
        <v>PRESUPUESTO: SI</v>
      </c>
      <c r="L1587" s="162">
        <f>SUMIF(PRESUPUESTO[CUENTA],EJECUTADO[[#This Row],[CUENTA]],PRESUPUESTO[MONTO])-SUMIF($F$1:F1586,EJECUTADO[[#This Row],[CUENTA]],$M$1:M1586)</f>
        <v>0</v>
      </c>
      <c r="M1587" s="2"/>
      <c r="N1587" s="84"/>
      <c r="O1587" s="84"/>
      <c r="P1587" s="162">
        <f>+EJECUTADO[[#This Row],[MONTO SOLICITADO]]-EJECUTADO[[#This Row],[RETENCION IVA]]-EJECUTADO[[#This Row],[RETENCION ISR]]</f>
        <v>0</v>
      </c>
      <c r="Q1587" s="84"/>
      <c r="R1587" s="84"/>
      <c r="T1587" s="168" t="e">
        <f t="shared" si="65"/>
        <v>#N/A</v>
      </c>
    </row>
    <row r="1588" spans="1:20" x14ac:dyDescent="0.25">
      <c r="A1588" s="6">
        <f t="shared" si="66"/>
        <v>1449</v>
      </c>
      <c r="B1588" s="21"/>
      <c r="C1588" s="126"/>
      <c r="E1588" s="65"/>
      <c r="G1588" s="161">
        <f>MONTH(EJECUTADO[[#This Row],[FECHA]])</f>
        <v>1</v>
      </c>
      <c r="H1588" s="163" t="str">
        <f>MID(EJECUTADO[[#This Row],[CUENTA]],1,4)</f>
        <v/>
      </c>
      <c r="I1588" s="163" t="e">
        <f>INDEX(CATALOGO[Descripción],MATCH(EJECUTADO[[#This Row],[APLICACIÓN]]&amp;"-00-00-00",CATALOGO[Código],0))</f>
        <v>#N/A</v>
      </c>
      <c r="J158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8" s="161" t="str">
        <f>IF((EJECUTADO[[#This Row],[MONTO DISPONIBLE ]]-EJECUTADO[[#This Row],[MONTO SOLICITADO]])&gt;=0,"PRESUPUESTO: SI","PRESUPUESTO: NO")</f>
        <v>PRESUPUESTO: SI</v>
      </c>
      <c r="L1588" s="162">
        <f>SUMIF(PRESUPUESTO[CUENTA],EJECUTADO[[#This Row],[CUENTA]],PRESUPUESTO[MONTO])-SUMIF($F$1:F1587,EJECUTADO[[#This Row],[CUENTA]],$M$1:M1587)</f>
        <v>0</v>
      </c>
      <c r="M1588" s="2"/>
      <c r="N1588" s="84"/>
      <c r="O1588" s="84"/>
      <c r="P1588" s="162">
        <f>+EJECUTADO[[#This Row],[MONTO SOLICITADO]]-EJECUTADO[[#This Row],[RETENCION IVA]]-EJECUTADO[[#This Row],[RETENCION ISR]]</f>
        <v>0</v>
      </c>
      <c r="Q1588" s="84"/>
      <c r="R1588" s="84"/>
      <c r="T1588" s="168" t="e">
        <f t="shared" si="65"/>
        <v>#N/A</v>
      </c>
    </row>
    <row r="1589" spans="1:20" x14ac:dyDescent="0.25">
      <c r="A1589" s="6">
        <f t="shared" si="66"/>
        <v>1450</v>
      </c>
      <c r="B1589" s="21"/>
      <c r="C1589" s="126"/>
      <c r="E1589" s="65"/>
      <c r="G1589" s="161">
        <f>MONTH(EJECUTADO[[#This Row],[FECHA]])</f>
        <v>1</v>
      </c>
      <c r="H1589" s="163" t="str">
        <f>MID(EJECUTADO[[#This Row],[CUENTA]],1,4)</f>
        <v/>
      </c>
      <c r="I1589" s="163" t="e">
        <f>INDEX(CATALOGO[Descripción],MATCH(EJECUTADO[[#This Row],[APLICACIÓN]]&amp;"-00-00-00",CATALOGO[Código],0))</f>
        <v>#N/A</v>
      </c>
      <c r="J158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89" s="161" t="str">
        <f>IF((EJECUTADO[[#This Row],[MONTO DISPONIBLE ]]-EJECUTADO[[#This Row],[MONTO SOLICITADO]])&gt;=0,"PRESUPUESTO: SI","PRESUPUESTO: NO")</f>
        <v>PRESUPUESTO: SI</v>
      </c>
      <c r="L1589" s="162">
        <f>SUMIF(PRESUPUESTO[CUENTA],EJECUTADO[[#This Row],[CUENTA]],PRESUPUESTO[MONTO])-SUMIF($F$1:F1588,EJECUTADO[[#This Row],[CUENTA]],$M$1:M1588)</f>
        <v>0</v>
      </c>
      <c r="M1589" s="2"/>
      <c r="N1589" s="84"/>
      <c r="O1589" s="84"/>
      <c r="P1589" s="162">
        <f>+EJECUTADO[[#This Row],[MONTO SOLICITADO]]-EJECUTADO[[#This Row],[RETENCION IVA]]-EJECUTADO[[#This Row],[RETENCION ISR]]</f>
        <v>0</v>
      </c>
      <c r="Q1589" s="84"/>
      <c r="R1589" s="84"/>
      <c r="T1589" s="168" t="e">
        <f t="shared" si="65"/>
        <v>#N/A</v>
      </c>
    </row>
    <row r="1590" spans="1:20" x14ac:dyDescent="0.25">
      <c r="A1590" s="6">
        <f t="shared" si="66"/>
        <v>1451</v>
      </c>
      <c r="B1590" s="21"/>
      <c r="C1590" s="126"/>
      <c r="E1590" s="65"/>
      <c r="G1590" s="161">
        <f>MONTH(EJECUTADO[[#This Row],[FECHA]])</f>
        <v>1</v>
      </c>
      <c r="H1590" s="163" t="str">
        <f>MID(EJECUTADO[[#This Row],[CUENTA]],1,4)</f>
        <v/>
      </c>
      <c r="I1590" s="163" t="e">
        <f>INDEX(CATALOGO[Descripción],MATCH(EJECUTADO[[#This Row],[APLICACIÓN]]&amp;"-00-00-00",CATALOGO[Código],0))</f>
        <v>#N/A</v>
      </c>
      <c r="J159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0" s="161" t="str">
        <f>IF((EJECUTADO[[#This Row],[MONTO DISPONIBLE ]]-EJECUTADO[[#This Row],[MONTO SOLICITADO]])&gt;=0,"PRESUPUESTO: SI","PRESUPUESTO: NO")</f>
        <v>PRESUPUESTO: SI</v>
      </c>
      <c r="L1590" s="162">
        <f>SUMIF(PRESUPUESTO[CUENTA],EJECUTADO[[#This Row],[CUENTA]],PRESUPUESTO[MONTO])-SUMIF($F$1:F1589,EJECUTADO[[#This Row],[CUENTA]],$M$1:M1589)</f>
        <v>0</v>
      </c>
      <c r="M1590" s="2"/>
      <c r="N1590" s="84"/>
      <c r="O1590" s="84"/>
      <c r="P1590" s="162">
        <f>+EJECUTADO[[#This Row],[MONTO SOLICITADO]]-EJECUTADO[[#This Row],[RETENCION IVA]]-EJECUTADO[[#This Row],[RETENCION ISR]]</f>
        <v>0</v>
      </c>
      <c r="Q1590" s="84"/>
      <c r="R1590" s="84"/>
      <c r="T1590" s="168" t="e">
        <f t="shared" si="65"/>
        <v>#N/A</v>
      </c>
    </row>
    <row r="1591" spans="1:20" x14ac:dyDescent="0.25">
      <c r="A1591" s="6">
        <f t="shared" si="66"/>
        <v>1452</v>
      </c>
      <c r="B1591" s="21"/>
      <c r="C1591" s="126"/>
      <c r="E1591" s="65"/>
      <c r="G1591" s="161">
        <f>MONTH(EJECUTADO[[#This Row],[FECHA]])</f>
        <v>1</v>
      </c>
      <c r="H1591" s="163" t="str">
        <f>MID(EJECUTADO[[#This Row],[CUENTA]],1,4)</f>
        <v/>
      </c>
      <c r="I1591" s="163" t="e">
        <f>INDEX(CATALOGO[Descripción],MATCH(EJECUTADO[[#This Row],[APLICACIÓN]]&amp;"-00-00-00",CATALOGO[Código],0))</f>
        <v>#N/A</v>
      </c>
      <c r="J159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1" s="161" t="str">
        <f>IF((EJECUTADO[[#This Row],[MONTO DISPONIBLE ]]-EJECUTADO[[#This Row],[MONTO SOLICITADO]])&gt;=0,"PRESUPUESTO: SI","PRESUPUESTO: NO")</f>
        <v>PRESUPUESTO: SI</v>
      </c>
      <c r="L1591" s="162">
        <f>SUMIF(PRESUPUESTO[CUENTA],EJECUTADO[[#This Row],[CUENTA]],PRESUPUESTO[MONTO])-SUMIF($F$1:F1590,EJECUTADO[[#This Row],[CUENTA]],$M$1:M1590)</f>
        <v>0</v>
      </c>
      <c r="M1591" s="2"/>
      <c r="N1591" s="84"/>
      <c r="O1591" s="84"/>
      <c r="P1591" s="162">
        <f>+EJECUTADO[[#This Row],[MONTO SOLICITADO]]-EJECUTADO[[#This Row],[RETENCION IVA]]-EJECUTADO[[#This Row],[RETENCION ISR]]</f>
        <v>0</v>
      </c>
      <c r="Q1591" s="84"/>
      <c r="R1591" s="84"/>
      <c r="T1591" s="168" t="e">
        <f t="shared" si="65"/>
        <v>#N/A</v>
      </c>
    </row>
    <row r="1592" spans="1:20" x14ac:dyDescent="0.25">
      <c r="A1592" s="6">
        <f t="shared" si="66"/>
        <v>1453</v>
      </c>
      <c r="B1592" s="21"/>
      <c r="C1592" s="126"/>
      <c r="E1592" s="65"/>
      <c r="G1592" s="161">
        <f>MONTH(EJECUTADO[[#This Row],[FECHA]])</f>
        <v>1</v>
      </c>
      <c r="H1592" s="163" t="str">
        <f>MID(EJECUTADO[[#This Row],[CUENTA]],1,4)</f>
        <v/>
      </c>
      <c r="I1592" s="163" t="e">
        <f>INDEX(CATALOGO[Descripción],MATCH(EJECUTADO[[#This Row],[APLICACIÓN]]&amp;"-00-00-00",CATALOGO[Código],0))</f>
        <v>#N/A</v>
      </c>
      <c r="J159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2" s="161" t="str">
        <f>IF((EJECUTADO[[#This Row],[MONTO DISPONIBLE ]]-EJECUTADO[[#This Row],[MONTO SOLICITADO]])&gt;=0,"PRESUPUESTO: SI","PRESUPUESTO: NO")</f>
        <v>PRESUPUESTO: SI</v>
      </c>
      <c r="L1592" s="162">
        <f>SUMIF(PRESUPUESTO[CUENTA],EJECUTADO[[#This Row],[CUENTA]],PRESUPUESTO[MONTO])-SUMIF($F$1:F1591,EJECUTADO[[#This Row],[CUENTA]],$M$1:M1591)</f>
        <v>0</v>
      </c>
      <c r="M1592" s="2"/>
      <c r="N1592" s="84"/>
      <c r="O1592" s="84"/>
      <c r="P1592" s="162">
        <f>+EJECUTADO[[#This Row],[MONTO SOLICITADO]]-EJECUTADO[[#This Row],[RETENCION IVA]]-EJECUTADO[[#This Row],[RETENCION ISR]]</f>
        <v>0</v>
      </c>
      <c r="Q1592" s="84"/>
      <c r="R1592" s="84"/>
      <c r="T1592" s="168" t="e">
        <f t="shared" si="65"/>
        <v>#N/A</v>
      </c>
    </row>
    <row r="1593" spans="1:20" x14ac:dyDescent="0.25">
      <c r="A1593" s="6">
        <f t="shared" si="66"/>
        <v>1454</v>
      </c>
      <c r="B1593" s="21"/>
      <c r="C1593" s="126"/>
      <c r="E1593" s="65"/>
      <c r="G1593" s="161">
        <f>MONTH(EJECUTADO[[#This Row],[FECHA]])</f>
        <v>1</v>
      </c>
      <c r="H1593" s="163" t="str">
        <f>MID(EJECUTADO[[#This Row],[CUENTA]],1,4)</f>
        <v/>
      </c>
      <c r="I1593" s="163" t="e">
        <f>INDEX(CATALOGO[Descripción],MATCH(EJECUTADO[[#This Row],[APLICACIÓN]]&amp;"-00-00-00",CATALOGO[Código],0))</f>
        <v>#N/A</v>
      </c>
      <c r="J159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3" s="161" t="str">
        <f>IF((EJECUTADO[[#This Row],[MONTO DISPONIBLE ]]-EJECUTADO[[#This Row],[MONTO SOLICITADO]])&gt;=0,"PRESUPUESTO: SI","PRESUPUESTO: NO")</f>
        <v>PRESUPUESTO: SI</v>
      </c>
      <c r="L1593" s="162">
        <f>SUMIF(PRESUPUESTO[CUENTA],EJECUTADO[[#This Row],[CUENTA]],PRESUPUESTO[MONTO])-SUMIF($F$1:F1592,EJECUTADO[[#This Row],[CUENTA]],$M$1:M1592)</f>
        <v>0</v>
      </c>
      <c r="M1593" s="2"/>
      <c r="N1593" s="84"/>
      <c r="O1593" s="84"/>
      <c r="P1593" s="162">
        <f>+EJECUTADO[[#This Row],[MONTO SOLICITADO]]-EJECUTADO[[#This Row],[RETENCION IVA]]-EJECUTADO[[#This Row],[RETENCION ISR]]</f>
        <v>0</v>
      </c>
      <c r="Q1593" s="84"/>
      <c r="R1593" s="84"/>
      <c r="T1593" s="168" t="e">
        <f t="shared" si="65"/>
        <v>#N/A</v>
      </c>
    </row>
    <row r="1594" spans="1:20" x14ac:dyDescent="0.25">
      <c r="A1594" s="6">
        <f t="shared" si="66"/>
        <v>1455</v>
      </c>
      <c r="B1594" s="21"/>
      <c r="C1594" s="126"/>
      <c r="E1594" s="65"/>
      <c r="G1594" s="161">
        <f>MONTH(EJECUTADO[[#This Row],[FECHA]])</f>
        <v>1</v>
      </c>
      <c r="H1594" s="163" t="str">
        <f>MID(EJECUTADO[[#This Row],[CUENTA]],1,4)</f>
        <v/>
      </c>
      <c r="I1594" s="163" t="e">
        <f>INDEX(CATALOGO[Descripción],MATCH(EJECUTADO[[#This Row],[APLICACIÓN]]&amp;"-00-00-00",CATALOGO[Código],0))</f>
        <v>#N/A</v>
      </c>
      <c r="J159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4" s="161" t="str">
        <f>IF((EJECUTADO[[#This Row],[MONTO DISPONIBLE ]]-EJECUTADO[[#This Row],[MONTO SOLICITADO]])&gt;=0,"PRESUPUESTO: SI","PRESUPUESTO: NO")</f>
        <v>PRESUPUESTO: SI</v>
      </c>
      <c r="L1594" s="162">
        <f>SUMIF(PRESUPUESTO[CUENTA],EJECUTADO[[#This Row],[CUENTA]],PRESUPUESTO[MONTO])-SUMIF($F$1:F1593,EJECUTADO[[#This Row],[CUENTA]],$M$1:M1593)</f>
        <v>0</v>
      </c>
      <c r="M1594" s="2"/>
      <c r="N1594" s="84"/>
      <c r="O1594" s="84"/>
      <c r="P1594" s="162">
        <f>+EJECUTADO[[#This Row],[MONTO SOLICITADO]]-EJECUTADO[[#This Row],[RETENCION IVA]]-EJECUTADO[[#This Row],[RETENCION ISR]]</f>
        <v>0</v>
      </c>
      <c r="Q1594" s="84"/>
      <c r="R1594" s="84"/>
      <c r="T1594" s="168" t="e">
        <f t="shared" si="65"/>
        <v>#N/A</v>
      </c>
    </row>
    <row r="1595" spans="1:20" x14ac:dyDescent="0.25">
      <c r="A1595" s="6">
        <f t="shared" si="66"/>
        <v>1456</v>
      </c>
      <c r="B1595" s="21"/>
      <c r="C1595" s="126"/>
      <c r="E1595" s="65"/>
      <c r="G1595" s="161">
        <f>MONTH(EJECUTADO[[#This Row],[FECHA]])</f>
        <v>1</v>
      </c>
      <c r="H1595" s="163" t="str">
        <f>MID(EJECUTADO[[#This Row],[CUENTA]],1,4)</f>
        <v/>
      </c>
      <c r="I1595" s="163" t="e">
        <f>INDEX(CATALOGO[Descripción],MATCH(EJECUTADO[[#This Row],[APLICACIÓN]]&amp;"-00-00-00",CATALOGO[Código],0))</f>
        <v>#N/A</v>
      </c>
      <c r="J159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5" s="161" t="str">
        <f>IF((EJECUTADO[[#This Row],[MONTO DISPONIBLE ]]-EJECUTADO[[#This Row],[MONTO SOLICITADO]])&gt;=0,"PRESUPUESTO: SI","PRESUPUESTO: NO")</f>
        <v>PRESUPUESTO: SI</v>
      </c>
      <c r="L1595" s="162">
        <f>SUMIF(PRESUPUESTO[CUENTA],EJECUTADO[[#This Row],[CUENTA]],PRESUPUESTO[MONTO])-SUMIF($F$1:F1594,EJECUTADO[[#This Row],[CUENTA]],$M$1:M1594)</f>
        <v>0</v>
      </c>
      <c r="M1595" s="2"/>
      <c r="N1595" s="84"/>
      <c r="O1595" s="84"/>
      <c r="P1595" s="162">
        <f>+EJECUTADO[[#This Row],[MONTO SOLICITADO]]-EJECUTADO[[#This Row],[RETENCION IVA]]-EJECUTADO[[#This Row],[RETENCION ISR]]</f>
        <v>0</v>
      </c>
      <c r="Q1595" s="84"/>
      <c r="R1595" s="84"/>
      <c r="T1595" s="168" t="e">
        <f t="shared" si="65"/>
        <v>#N/A</v>
      </c>
    </row>
    <row r="1596" spans="1:20" x14ac:dyDescent="0.25">
      <c r="A1596" s="6">
        <f t="shared" si="66"/>
        <v>1457</v>
      </c>
      <c r="B1596" s="21"/>
      <c r="C1596" s="126"/>
      <c r="E1596" s="65"/>
      <c r="G1596" s="161">
        <f>MONTH(EJECUTADO[[#This Row],[FECHA]])</f>
        <v>1</v>
      </c>
      <c r="H1596" s="163" t="str">
        <f>MID(EJECUTADO[[#This Row],[CUENTA]],1,4)</f>
        <v/>
      </c>
      <c r="I1596" s="163" t="e">
        <f>INDEX(CATALOGO[Descripción],MATCH(EJECUTADO[[#This Row],[APLICACIÓN]]&amp;"-00-00-00",CATALOGO[Código],0))</f>
        <v>#N/A</v>
      </c>
      <c r="J159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6" s="161" t="str">
        <f>IF((EJECUTADO[[#This Row],[MONTO DISPONIBLE ]]-EJECUTADO[[#This Row],[MONTO SOLICITADO]])&gt;=0,"PRESUPUESTO: SI","PRESUPUESTO: NO")</f>
        <v>PRESUPUESTO: SI</v>
      </c>
      <c r="L1596" s="162">
        <f>SUMIF(PRESUPUESTO[CUENTA],EJECUTADO[[#This Row],[CUENTA]],PRESUPUESTO[MONTO])-SUMIF($F$1:F1595,EJECUTADO[[#This Row],[CUENTA]],$M$1:M1595)</f>
        <v>0</v>
      </c>
      <c r="M1596" s="2"/>
      <c r="N1596" s="84"/>
      <c r="O1596" s="84"/>
      <c r="P1596" s="162">
        <f>+EJECUTADO[[#This Row],[MONTO SOLICITADO]]-EJECUTADO[[#This Row],[RETENCION IVA]]-EJECUTADO[[#This Row],[RETENCION ISR]]</f>
        <v>0</v>
      </c>
      <c r="Q1596" s="84"/>
      <c r="R1596" s="84"/>
      <c r="T1596" s="168" t="e">
        <f t="shared" si="65"/>
        <v>#N/A</v>
      </c>
    </row>
    <row r="1597" spans="1:20" x14ac:dyDescent="0.25">
      <c r="A1597" s="6">
        <f t="shared" si="66"/>
        <v>1458</v>
      </c>
      <c r="B1597" s="21"/>
      <c r="C1597" s="126"/>
      <c r="E1597" s="65"/>
      <c r="G1597" s="161">
        <f>MONTH(EJECUTADO[[#This Row],[FECHA]])</f>
        <v>1</v>
      </c>
      <c r="H1597" s="163" t="str">
        <f>MID(EJECUTADO[[#This Row],[CUENTA]],1,4)</f>
        <v/>
      </c>
      <c r="I1597" s="163" t="e">
        <f>INDEX(CATALOGO[Descripción],MATCH(EJECUTADO[[#This Row],[APLICACIÓN]]&amp;"-00-00-00",CATALOGO[Código],0))</f>
        <v>#N/A</v>
      </c>
      <c r="J159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7" s="161" t="str">
        <f>IF((EJECUTADO[[#This Row],[MONTO DISPONIBLE ]]-EJECUTADO[[#This Row],[MONTO SOLICITADO]])&gt;=0,"PRESUPUESTO: SI","PRESUPUESTO: NO")</f>
        <v>PRESUPUESTO: SI</v>
      </c>
      <c r="L1597" s="162">
        <f>SUMIF(PRESUPUESTO[CUENTA],EJECUTADO[[#This Row],[CUENTA]],PRESUPUESTO[MONTO])-SUMIF($F$1:F1596,EJECUTADO[[#This Row],[CUENTA]],$M$1:M1596)</f>
        <v>0</v>
      </c>
      <c r="M1597" s="2"/>
      <c r="N1597" s="84"/>
      <c r="O1597" s="84"/>
      <c r="P1597" s="162">
        <f>+EJECUTADO[[#This Row],[MONTO SOLICITADO]]-EJECUTADO[[#This Row],[RETENCION IVA]]-EJECUTADO[[#This Row],[RETENCION ISR]]</f>
        <v>0</v>
      </c>
      <c r="Q1597" s="84"/>
      <c r="R1597" s="84"/>
      <c r="T1597" s="168" t="e">
        <f t="shared" ref="T1597:T1660" si="67">_xlfn.CONCAT(I1597," - ",J1597," Disponible $",L1597," Solicitado $",M1597," ",K1597,)</f>
        <v>#N/A</v>
      </c>
    </row>
    <row r="1598" spans="1:20" x14ac:dyDescent="0.25">
      <c r="A1598" s="6">
        <f t="shared" si="66"/>
        <v>1459</v>
      </c>
      <c r="B1598" s="21"/>
      <c r="C1598" s="126"/>
      <c r="E1598" s="65"/>
      <c r="G1598" s="161">
        <f>MONTH(EJECUTADO[[#This Row],[FECHA]])</f>
        <v>1</v>
      </c>
      <c r="H1598" s="163" t="str">
        <f>MID(EJECUTADO[[#This Row],[CUENTA]],1,4)</f>
        <v/>
      </c>
      <c r="I1598" s="163" t="e">
        <f>INDEX(CATALOGO[Descripción],MATCH(EJECUTADO[[#This Row],[APLICACIÓN]]&amp;"-00-00-00",CATALOGO[Código],0))</f>
        <v>#N/A</v>
      </c>
      <c r="J159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8" s="161" t="str">
        <f>IF((EJECUTADO[[#This Row],[MONTO DISPONIBLE ]]-EJECUTADO[[#This Row],[MONTO SOLICITADO]])&gt;=0,"PRESUPUESTO: SI","PRESUPUESTO: NO")</f>
        <v>PRESUPUESTO: SI</v>
      </c>
      <c r="L1598" s="162">
        <f>SUMIF(PRESUPUESTO[CUENTA],EJECUTADO[[#This Row],[CUENTA]],PRESUPUESTO[MONTO])-SUMIF($F$1:F1597,EJECUTADO[[#This Row],[CUENTA]],$M$1:M1597)</f>
        <v>0</v>
      </c>
      <c r="M1598" s="2"/>
      <c r="N1598" s="84"/>
      <c r="O1598" s="84"/>
      <c r="P1598" s="162">
        <f>+EJECUTADO[[#This Row],[MONTO SOLICITADO]]-EJECUTADO[[#This Row],[RETENCION IVA]]-EJECUTADO[[#This Row],[RETENCION ISR]]</f>
        <v>0</v>
      </c>
      <c r="Q1598" s="84"/>
      <c r="R1598" s="84"/>
      <c r="T1598" s="168" t="e">
        <f t="shared" si="67"/>
        <v>#N/A</v>
      </c>
    </row>
    <row r="1599" spans="1:20" x14ac:dyDescent="0.25">
      <c r="A1599" s="6">
        <f t="shared" si="66"/>
        <v>1460</v>
      </c>
      <c r="B1599" s="21"/>
      <c r="C1599" s="126"/>
      <c r="E1599" s="65"/>
      <c r="G1599" s="161">
        <f>MONTH(EJECUTADO[[#This Row],[FECHA]])</f>
        <v>1</v>
      </c>
      <c r="H1599" s="163" t="str">
        <f>MID(EJECUTADO[[#This Row],[CUENTA]],1,4)</f>
        <v/>
      </c>
      <c r="I1599" s="163" t="e">
        <f>INDEX(CATALOGO[Descripción],MATCH(EJECUTADO[[#This Row],[APLICACIÓN]]&amp;"-00-00-00",CATALOGO[Código],0))</f>
        <v>#N/A</v>
      </c>
      <c r="J159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599" s="161" t="str">
        <f>IF((EJECUTADO[[#This Row],[MONTO DISPONIBLE ]]-EJECUTADO[[#This Row],[MONTO SOLICITADO]])&gt;=0,"PRESUPUESTO: SI","PRESUPUESTO: NO")</f>
        <v>PRESUPUESTO: SI</v>
      </c>
      <c r="L1599" s="162">
        <f>SUMIF(PRESUPUESTO[CUENTA],EJECUTADO[[#This Row],[CUENTA]],PRESUPUESTO[MONTO])-SUMIF($F$1:F1598,EJECUTADO[[#This Row],[CUENTA]],$M$1:M1598)</f>
        <v>0</v>
      </c>
      <c r="M1599" s="2"/>
      <c r="N1599" s="84"/>
      <c r="O1599" s="84"/>
      <c r="P1599" s="162">
        <f>+EJECUTADO[[#This Row],[MONTO SOLICITADO]]-EJECUTADO[[#This Row],[RETENCION IVA]]-EJECUTADO[[#This Row],[RETENCION ISR]]</f>
        <v>0</v>
      </c>
      <c r="Q1599" s="84"/>
      <c r="R1599" s="84"/>
      <c r="T1599" s="168" t="e">
        <f t="shared" si="67"/>
        <v>#N/A</v>
      </c>
    </row>
    <row r="1600" spans="1:20" x14ac:dyDescent="0.25">
      <c r="A1600" s="6">
        <f t="shared" si="66"/>
        <v>1461</v>
      </c>
      <c r="B1600" s="21"/>
      <c r="C1600" s="126"/>
      <c r="E1600" s="65"/>
      <c r="G1600" s="161">
        <f>MONTH(EJECUTADO[[#This Row],[FECHA]])</f>
        <v>1</v>
      </c>
      <c r="H1600" s="163" t="str">
        <f>MID(EJECUTADO[[#This Row],[CUENTA]],1,4)</f>
        <v/>
      </c>
      <c r="I1600" s="163" t="e">
        <f>INDEX(CATALOGO[Descripción],MATCH(EJECUTADO[[#This Row],[APLICACIÓN]]&amp;"-00-00-00",CATALOGO[Código],0))</f>
        <v>#N/A</v>
      </c>
      <c r="J160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0" s="161" t="str">
        <f>IF((EJECUTADO[[#This Row],[MONTO DISPONIBLE ]]-EJECUTADO[[#This Row],[MONTO SOLICITADO]])&gt;=0,"PRESUPUESTO: SI","PRESUPUESTO: NO")</f>
        <v>PRESUPUESTO: SI</v>
      </c>
      <c r="L1600" s="162">
        <f>SUMIF(PRESUPUESTO[CUENTA],EJECUTADO[[#This Row],[CUENTA]],PRESUPUESTO[MONTO])-SUMIF($F$1:F1599,EJECUTADO[[#This Row],[CUENTA]],$M$1:M1599)</f>
        <v>0</v>
      </c>
      <c r="M1600" s="2"/>
      <c r="N1600" s="84"/>
      <c r="O1600" s="84"/>
      <c r="P1600" s="162">
        <f>+EJECUTADO[[#This Row],[MONTO SOLICITADO]]-EJECUTADO[[#This Row],[RETENCION IVA]]-EJECUTADO[[#This Row],[RETENCION ISR]]</f>
        <v>0</v>
      </c>
      <c r="Q1600" s="84"/>
      <c r="R1600" s="84"/>
      <c r="T1600" s="168" t="e">
        <f t="shared" si="67"/>
        <v>#N/A</v>
      </c>
    </row>
    <row r="1601" spans="1:20" x14ac:dyDescent="0.25">
      <c r="A1601" s="6">
        <f t="shared" si="66"/>
        <v>1462</v>
      </c>
      <c r="B1601" s="21"/>
      <c r="C1601" s="126"/>
      <c r="E1601" s="65"/>
      <c r="G1601" s="161">
        <f>MONTH(EJECUTADO[[#This Row],[FECHA]])</f>
        <v>1</v>
      </c>
      <c r="H1601" s="163" t="str">
        <f>MID(EJECUTADO[[#This Row],[CUENTA]],1,4)</f>
        <v/>
      </c>
      <c r="I1601" s="163" t="e">
        <f>INDEX(CATALOGO[Descripción],MATCH(EJECUTADO[[#This Row],[APLICACIÓN]]&amp;"-00-00-00",CATALOGO[Código],0))</f>
        <v>#N/A</v>
      </c>
      <c r="J160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1" s="161" t="str">
        <f>IF((EJECUTADO[[#This Row],[MONTO DISPONIBLE ]]-EJECUTADO[[#This Row],[MONTO SOLICITADO]])&gt;=0,"PRESUPUESTO: SI","PRESUPUESTO: NO")</f>
        <v>PRESUPUESTO: SI</v>
      </c>
      <c r="L1601" s="162">
        <f>SUMIF(PRESUPUESTO[CUENTA],EJECUTADO[[#This Row],[CUENTA]],PRESUPUESTO[MONTO])-SUMIF($F$1:F1600,EJECUTADO[[#This Row],[CUENTA]],$M$1:M1600)</f>
        <v>0</v>
      </c>
      <c r="M1601" s="2"/>
      <c r="N1601" s="84"/>
      <c r="O1601" s="84"/>
      <c r="P1601" s="162">
        <f>+EJECUTADO[[#This Row],[MONTO SOLICITADO]]-EJECUTADO[[#This Row],[RETENCION IVA]]-EJECUTADO[[#This Row],[RETENCION ISR]]</f>
        <v>0</v>
      </c>
      <c r="Q1601" s="84"/>
      <c r="R1601" s="84"/>
      <c r="T1601" s="168" t="e">
        <f t="shared" si="67"/>
        <v>#N/A</v>
      </c>
    </row>
    <row r="1602" spans="1:20" x14ac:dyDescent="0.25">
      <c r="A1602" s="6">
        <f t="shared" ref="A1602:A1665" si="68">+A1601+1</f>
        <v>1463</v>
      </c>
      <c r="B1602" s="21"/>
      <c r="C1602" s="126"/>
      <c r="E1602" s="65"/>
      <c r="G1602" s="161">
        <f>MONTH(EJECUTADO[[#This Row],[FECHA]])</f>
        <v>1</v>
      </c>
      <c r="H1602" s="163" t="str">
        <f>MID(EJECUTADO[[#This Row],[CUENTA]],1,4)</f>
        <v/>
      </c>
      <c r="I1602" s="163" t="e">
        <f>INDEX(CATALOGO[Descripción],MATCH(EJECUTADO[[#This Row],[APLICACIÓN]]&amp;"-00-00-00",CATALOGO[Código],0))</f>
        <v>#N/A</v>
      </c>
      <c r="J160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2" s="161" t="str">
        <f>IF((EJECUTADO[[#This Row],[MONTO DISPONIBLE ]]-EJECUTADO[[#This Row],[MONTO SOLICITADO]])&gt;=0,"PRESUPUESTO: SI","PRESUPUESTO: NO")</f>
        <v>PRESUPUESTO: SI</v>
      </c>
      <c r="L1602" s="162">
        <f>SUMIF(PRESUPUESTO[CUENTA],EJECUTADO[[#This Row],[CUENTA]],PRESUPUESTO[MONTO])-SUMIF($F$1:F1601,EJECUTADO[[#This Row],[CUENTA]],$M$1:M1601)</f>
        <v>0</v>
      </c>
      <c r="M1602" s="2"/>
      <c r="N1602" s="84"/>
      <c r="O1602" s="84"/>
      <c r="P1602" s="162">
        <f>+EJECUTADO[[#This Row],[MONTO SOLICITADO]]-EJECUTADO[[#This Row],[RETENCION IVA]]-EJECUTADO[[#This Row],[RETENCION ISR]]</f>
        <v>0</v>
      </c>
      <c r="Q1602" s="84"/>
      <c r="R1602" s="84"/>
      <c r="T1602" s="168" t="e">
        <f t="shared" si="67"/>
        <v>#N/A</v>
      </c>
    </row>
    <row r="1603" spans="1:20" x14ac:dyDescent="0.25">
      <c r="A1603" s="6">
        <f t="shared" si="68"/>
        <v>1464</v>
      </c>
      <c r="B1603" s="21"/>
      <c r="C1603" s="126"/>
      <c r="E1603" s="65"/>
      <c r="G1603" s="161">
        <f>MONTH(EJECUTADO[[#This Row],[FECHA]])</f>
        <v>1</v>
      </c>
      <c r="H1603" s="163" t="str">
        <f>MID(EJECUTADO[[#This Row],[CUENTA]],1,4)</f>
        <v/>
      </c>
      <c r="I1603" s="163" t="e">
        <f>INDEX(CATALOGO[Descripción],MATCH(EJECUTADO[[#This Row],[APLICACIÓN]]&amp;"-00-00-00",CATALOGO[Código],0))</f>
        <v>#N/A</v>
      </c>
      <c r="J160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3" s="161" t="str">
        <f>IF((EJECUTADO[[#This Row],[MONTO DISPONIBLE ]]-EJECUTADO[[#This Row],[MONTO SOLICITADO]])&gt;=0,"PRESUPUESTO: SI","PRESUPUESTO: NO")</f>
        <v>PRESUPUESTO: SI</v>
      </c>
      <c r="L1603" s="162">
        <f>SUMIF(PRESUPUESTO[CUENTA],EJECUTADO[[#This Row],[CUENTA]],PRESUPUESTO[MONTO])-SUMIF($F$1:F1602,EJECUTADO[[#This Row],[CUENTA]],$M$1:M1602)</f>
        <v>0</v>
      </c>
      <c r="M1603" s="2"/>
      <c r="N1603" s="84"/>
      <c r="O1603" s="84"/>
      <c r="P1603" s="162">
        <f>+EJECUTADO[[#This Row],[MONTO SOLICITADO]]-EJECUTADO[[#This Row],[RETENCION IVA]]-EJECUTADO[[#This Row],[RETENCION ISR]]</f>
        <v>0</v>
      </c>
      <c r="Q1603" s="84"/>
      <c r="R1603" s="84"/>
      <c r="T1603" s="168" t="e">
        <f t="shared" si="67"/>
        <v>#N/A</v>
      </c>
    </row>
    <row r="1604" spans="1:20" x14ac:dyDescent="0.25">
      <c r="A1604" s="6">
        <f t="shared" si="68"/>
        <v>1465</v>
      </c>
      <c r="B1604" s="21"/>
      <c r="C1604" s="126"/>
      <c r="E1604" s="65"/>
      <c r="G1604" s="161">
        <f>MONTH(EJECUTADO[[#This Row],[FECHA]])</f>
        <v>1</v>
      </c>
      <c r="H1604" s="163" t="str">
        <f>MID(EJECUTADO[[#This Row],[CUENTA]],1,4)</f>
        <v/>
      </c>
      <c r="I1604" s="163" t="e">
        <f>INDEX(CATALOGO[Descripción],MATCH(EJECUTADO[[#This Row],[APLICACIÓN]]&amp;"-00-00-00",CATALOGO[Código],0))</f>
        <v>#N/A</v>
      </c>
      <c r="J160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4" s="161" t="str">
        <f>IF((EJECUTADO[[#This Row],[MONTO DISPONIBLE ]]-EJECUTADO[[#This Row],[MONTO SOLICITADO]])&gt;=0,"PRESUPUESTO: SI","PRESUPUESTO: NO")</f>
        <v>PRESUPUESTO: SI</v>
      </c>
      <c r="L1604" s="162">
        <f>SUMIF(PRESUPUESTO[CUENTA],EJECUTADO[[#This Row],[CUENTA]],PRESUPUESTO[MONTO])-SUMIF($F$1:F1603,EJECUTADO[[#This Row],[CUENTA]],$M$1:M1603)</f>
        <v>0</v>
      </c>
      <c r="M1604" s="2"/>
      <c r="N1604" s="84"/>
      <c r="O1604" s="84"/>
      <c r="P1604" s="162">
        <f>+EJECUTADO[[#This Row],[MONTO SOLICITADO]]-EJECUTADO[[#This Row],[RETENCION IVA]]-EJECUTADO[[#This Row],[RETENCION ISR]]</f>
        <v>0</v>
      </c>
      <c r="Q1604" s="84"/>
      <c r="R1604" s="84"/>
      <c r="T1604" s="168" t="e">
        <f t="shared" si="67"/>
        <v>#N/A</v>
      </c>
    </row>
    <row r="1605" spans="1:20" x14ac:dyDescent="0.25">
      <c r="A1605" s="6">
        <f t="shared" si="68"/>
        <v>1466</v>
      </c>
      <c r="B1605" s="21"/>
      <c r="C1605" s="126"/>
      <c r="E1605" s="65"/>
      <c r="G1605" s="161">
        <f>MONTH(EJECUTADO[[#This Row],[FECHA]])</f>
        <v>1</v>
      </c>
      <c r="H1605" s="163" t="str">
        <f>MID(EJECUTADO[[#This Row],[CUENTA]],1,4)</f>
        <v/>
      </c>
      <c r="I1605" s="163" t="e">
        <f>INDEX(CATALOGO[Descripción],MATCH(EJECUTADO[[#This Row],[APLICACIÓN]]&amp;"-00-00-00",CATALOGO[Código],0))</f>
        <v>#N/A</v>
      </c>
      <c r="J160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5" s="161" t="str">
        <f>IF((EJECUTADO[[#This Row],[MONTO DISPONIBLE ]]-EJECUTADO[[#This Row],[MONTO SOLICITADO]])&gt;=0,"PRESUPUESTO: SI","PRESUPUESTO: NO")</f>
        <v>PRESUPUESTO: SI</v>
      </c>
      <c r="L1605" s="162">
        <f>SUMIF(PRESUPUESTO[CUENTA],EJECUTADO[[#This Row],[CUENTA]],PRESUPUESTO[MONTO])-SUMIF($F$1:F1604,EJECUTADO[[#This Row],[CUENTA]],$M$1:M1604)</f>
        <v>0</v>
      </c>
      <c r="M1605" s="2"/>
      <c r="N1605" s="84"/>
      <c r="O1605" s="84"/>
      <c r="P1605" s="162">
        <f>+EJECUTADO[[#This Row],[MONTO SOLICITADO]]-EJECUTADO[[#This Row],[RETENCION IVA]]-EJECUTADO[[#This Row],[RETENCION ISR]]</f>
        <v>0</v>
      </c>
      <c r="Q1605" s="84"/>
      <c r="R1605" s="84"/>
      <c r="T1605" s="168" t="e">
        <f t="shared" si="67"/>
        <v>#N/A</v>
      </c>
    </row>
    <row r="1606" spans="1:20" x14ac:dyDescent="0.25">
      <c r="A1606" s="6">
        <f t="shared" si="68"/>
        <v>1467</v>
      </c>
      <c r="B1606" s="21"/>
      <c r="C1606" s="126"/>
      <c r="E1606" s="65"/>
      <c r="G1606" s="161">
        <f>MONTH(EJECUTADO[[#This Row],[FECHA]])</f>
        <v>1</v>
      </c>
      <c r="H1606" s="163" t="str">
        <f>MID(EJECUTADO[[#This Row],[CUENTA]],1,4)</f>
        <v/>
      </c>
      <c r="I1606" s="163" t="e">
        <f>INDEX(CATALOGO[Descripción],MATCH(EJECUTADO[[#This Row],[APLICACIÓN]]&amp;"-00-00-00",CATALOGO[Código],0))</f>
        <v>#N/A</v>
      </c>
      <c r="J160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6" s="161" t="str">
        <f>IF((EJECUTADO[[#This Row],[MONTO DISPONIBLE ]]-EJECUTADO[[#This Row],[MONTO SOLICITADO]])&gt;=0,"PRESUPUESTO: SI","PRESUPUESTO: NO")</f>
        <v>PRESUPUESTO: SI</v>
      </c>
      <c r="L1606" s="162">
        <f>SUMIF(PRESUPUESTO[CUENTA],EJECUTADO[[#This Row],[CUENTA]],PRESUPUESTO[MONTO])-SUMIF($F$1:F1605,EJECUTADO[[#This Row],[CUENTA]],$M$1:M1605)</f>
        <v>0</v>
      </c>
      <c r="M1606" s="2"/>
      <c r="N1606" s="84"/>
      <c r="O1606" s="84"/>
      <c r="P1606" s="162">
        <f>+EJECUTADO[[#This Row],[MONTO SOLICITADO]]-EJECUTADO[[#This Row],[RETENCION IVA]]-EJECUTADO[[#This Row],[RETENCION ISR]]</f>
        <v>0</v>
      </c>
      <c r="Q1606" s="84"/>
      <c r="R1606" s="84"/>
      <c r="T1606" s="168" t="e">
        <f t="shared" si="67"/>
        <v>#N/A</v>
      </c>
    </row>
    <row r="1607" spans="1:20" x14ac:dyDescent="0.25">
      <c r="A1607" s="6">
        <f t="shared" si="68"/>
        <v>1468</v>
      </c>
      <c r="B1607" s="21"/>
      <c r="C1607" s="126"/>
      <c r="E1607" s="65"/>
      <c r="G1607" s="161">
        <f>MONTH(EJECUTADO[[#This Row],[FECHA]])</f>
        <v>1</v>
      </c>
      <c r="H1607" s="163" t="str">
        <f>MID(EJECUTADO[[#This Row],[CUENTA]],1,4)</f>
        <v/>
      </c>
      <c r="I1607" s="163" t="e">
        <f>INDEX(CATALOGO[Descripción],MATCH(EJECUTADO[[#This Row],[APLICACIÓN]]&amp;"-00-00-00",CATALOGO[Código],0))</f>
        <v>#N/A</v>
      </c>
      <c r="J160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7" s="161" t="str">
        <f>IF((EJECUTADO[[#This Row],[MONTO DISPONIBLE ]]-EJECUTADO[[#This Row],[MONTO SOLICITADO]])&gt;=0,"PRESUPUESTO: SI","PRESUPUESTO: NO")</f>
        <v>PRESUPUESTO: SI</v>
      </c>
      <c r="L1607" s="162">
        <f>SUMIF(PRESUPUESTO[CUENTA],EJECUTADO[[#This Row],[CUENTA]],PRESUPUESTO[MONTO])-SUMIF($F$1:F1606,EJECUTADO[[#This Row],[CUENTA]],$M$1:M1606)</f>
        <v>0</v>
      </c>
      <c r="M1607" s="2"/>
      <c r="N1607" s="84"/>
      <c r="O1607" s="84"/>
      <c r="P1607" s="162">
        <f>+EJECUTADO[[#This Row],[MONTO SOLICITADO]]-EJECUTADO[[#This Row],[RETENCION IVA]]-EJECUTADO[[#This Row],[RETENCION ISR]]</f>
        <v>0</v>
      </c>
      <c r="Q1607" s="84"/>
      <c r="R1607" s="84"/>
      <c r="T1607" s="168" t="e">
        <f t="shared" si="67"/>
        <v>#N/A</v>
      </c>
    </row>
    <row r="1608" spans="1:20" x14ac:dyDescent="0.25">
      <c r="A1608" s="6">
        <f t="shared" si="68"/>
        <v>1469</v>
      </c>
      <c r="B1608" s="21"/>
      <c r="C1608" s="126"/>
      <c r="E1608" s="65"/>
      <c r="G1608" s="161">
        <f>MONTH(EJECUTADO[[#This Row],[FECHA]])</f>
        <v>1</v>
      </c>
      <c r="H1608" s="163" t="str">
        <f>MID(EJECUTADO[[#This Row],[CUENTA]],1,4)</f>
        <v/>
      </c>
      <c r="I1608" s="163" t="e">
        <f>INDEX(CATALOGO[Descripción],MATCH(EJECUTADO[[#This Row],[APLICACIÓN]]&amp;"-00-00-00",CATALOGO[Código],0))</f>
        <v>#N/A</v>
      </c>
      <c r="J160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8" s="161" t="str">
        <f>IF((EJECUTADO[[#This Row],[MONTO DISPONIBLE ]]-EJECUTADO[[#This Row],[MONTO SOLICITADO]])&gt;=0,"PRESUPUESTO: SI","PRESUPUESTO: NO")</f>
        <v>PRESUPUESTO: SI</v>
      </c>
      <c r="L1608" s="162">
        <f>SUMIF(PRESUPUESTO[CUENTA],EJECUTADO[[#This Row],[CUENTA]],PRESUPUESTO[MONTO])-SUMIF($F$1:F1607,EJECUTADO[[#This Row],[CUENTA]],$M$1:M1607)</f>
        <v>0</v>
      </c>
      <c r="M1608" s="2"/>
      <c r="N1608" s="84"/>
      <c r="O1608" s="84"/>
      <c r="P1608" s="162">
        <f>+EJECUTADO[[#This Row],[MONTO SOLICITADO]]-EJECUTADO[[#This Row],[RETENCION IVA]]-EJECUTADO[[#This Row],[RETENCION ISR]]</f>
        <v>0</v>
      </c>
      <c r="Q1608" s="84"/>
      <c r="R1608" s="84"/>
      <c r="T1608" s="168" t="e">
        <f t="shared" si="67"/>
        <v>#N/A</v>
      </c>
    </row>
    <row r="1609" spans="1:20" x14ac:dyDescent="0.25">
      <c r="A1609" s="6">
        <f t="shared" si="68"/>
        <v>1470</v>
      </c>
      <c r="B1609" s="21"/>
      <c r="C1609" s="126"/>
      <c r="E1609" s="65"/>
      <c r="G1609" s="161">
        <f>MONTH(EJECUTADO[[#This Row],[FECHA]])</f>
        <v>1</v>
      </c>
      <c r="H1609" s="163" t="str">
        <f>MID(EJECUTADO[[#This Row],[CUENTA]],1,4)</f>
        <v/>
      </c>
      <c r="I1609" s="163" t="e">
        <f>INDEX(CATALOGO[Descripción],MATCH(EJECUTADO[[#This Row],[APLICACIÓN]]&amp;"-00-00-00",CATALOGO[Código],0))</f>
        <v>#N/A</v>
      </c>
      <c r="J160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09" s="161" t="str">
        <f>IF((EJECUTADO[[#This Row],[MONTO DISPONIBLE ]]-EJECUTADO[[#This Row],[MONTO SOLICITADO]])&gt;=0,"PRESUPUESTO: SI","PRESUPUESTO: NO")</f>
        <v>PRESUPUESTO: SI</v>
      </c>
      <c r="L1609" s="162">
        <f>SUMIF(PRESUPUESTO[CUENTA],EJECUTADO[[#This Row],[CUENTA]],PRESUPUESTO[MONTO])-SUMIF($F$1:F1608,EJECUTADO[[#This Row],[CUENTA]],$M$1:M1608)</f>
        <v>0</v>
      </c>
      <c r="M1609" s="2"/>
      <c r="N1609" s="84"/>
      <c r="O1609" s="84"/>
      <c r="P1609" s="162">
        <f>+EJECUTADO[[#This Row],[MONTO SOLICITADO]]-EJECUTADO[[#This Row],[RETENCION IVA]]-EJECUTADO[[#This Row],[RETENCION ISR]]</f>
        <v>0</v>
      </c>
      <c r="Q1609" s="84"/>
      <c r="R1609" s="84"/>
      <c r="T1609" s="168" t="e">
        <f t="shared" si="67"/>
        <v>#N/A</v>
      </c>
    </row>
    <row r="1610" spans="1:20" x14ac:dyDescent="0.25">
      <c r="A1610" s="6">
        <f t="shared" si="68"/>
        <v>1471</v>
      </c>
      <c r="B1610" s="21"/>
      <c r="C1610" s="126"/>
      <c r="E1610" s="65"/>
      <c r="G1610" s="161">
        <f>MONTH(EJECUTADO[[#This Row],[FECHA]])</f>
        <v>1</v>
      </c>
      <c r="H1610" s="163" t="str">
        <f>MID(EJECUTADO[[#This Row],[CUENTA]],1,4)</f>
        <v/>
      </c>
      <c r="I1610" s="163" t="e">
        <f>INDEX(CATALOGO[Descripción],MATCH(EJECUTADO[[#This Row],[APLICACIÓN]]&amp;"-00-00-00",CATALOGO[Código],0))</f>
        <v>#N/A</v>
      </c>
      <c r="J161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0" s="161" t="str">
        <f>IF((EJECUTADO[[#This Row],[MONTO DISPONIBLE ]]-EJECUTADO[[#This Row],[MONTO SOLICITADO]])&gt;=0,"PRESUPUESTO: SI","PRESUPUESTO: NO")</f>
        <v>PRESUPUESTO: SI</v>
      </c>
      <c r="L1610" s="162">
        <f>SUMIF(PRESUPUESTO[CUENTA],EJECUTADO[[#This Row],[CUENTA]],PRESUPUESTO[MONTO])-SUMIF($F$1:F1609,EJECUTADO[[#This Row],[CUENTA]],$M$1:M1609)</f>
        <v>0</v>
      </c>
      <c r="M1610" s="2"/>
      <c r="N1610" s="84"/>
      <c r="O1610" s="84"/>
      <c r="P1610" s="162">
        <f>+EJECUTADO[[#This Row],[MONTO SOLICITADO]]-EJECUTADO[[#This Row],[RETENCION IVA]]-EJECUTADO[[#This Row],[RETENCION ISR]]</f>
        <v>0</v>
      </c>
      <c r="Q1610" s="84"/>
      <c r="R1610" s="84"/>
      <c r="T1610" s="168" t="e">
        <f t="shared" si="67"/>
        <v>#N/A</v>
      </c>
    </row>
    <row r="1611" spans="1:20" x14ac:dyDescent="0.25">
      <c r="A1611" s="6">
        <f t="shared" si="68"/>
        <v>1472</v>
      </c>
      <c r="B1611" s="21"/>
      <c r="C1611" s="126"/>
      <c r="E1611" s="65"/>
      <c r="G1611" s="161">
        <f>MONTH(EJECUTADO[[#This Row],[FECHA]])</f>
        <v>1</v>
      </c>
      <c r="H1611" s="163" t="str">
        <f>MID(EJECUTADO[[#This Row],[CUENTA]],1,4)</f>
        <v/>
      </c>
      <c r="I1611" s="163" t="e">
        <f>INDEX(CATALOGO[Descripción],MATCH(EJECUTADO[[#This Row],[APLICACIÓN]]&amp;"-00-00-00",CATALOGO[Código],0))</f>
        <v>#N/A</v>
      </c>
      <c r="J161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1" s="161" t="str">
        <f>IF((EJECUTADO[[#This Row],[MONTO DISPONIBLE ]]-EJECUTADO[[#This Row],[MONTO SOLICITADO]])&gt;=0,"PRESUPUESTO: SI","PRESUPUESTO: NO")</f>
        <v>PRESUPUESTO: SI</v>
      </c>
      <c r="L1611" s="162">
        <f>SUMIF(PRESUPUESTO[CUENTA],EJECUTADO[[#This Row],[CUENTA]],PRESUPUESTO[MONTO])-SUMIF($F$1:F1610,EJECUTADO[[#This Row],[CUENTA]],$M$1:M1610)</f>
        <v>0</v>
      </c>
      <c r="M1611" s="2"/>
      <c r="N1611" s="84"/>
      <c r="O1611" s="84"/>
      <c r="P1611" s="162">
        <f>+EJECUTADO[[#This Row],[MONTO SOLICITADO]]-EJECUTADO[[#This Row],[RETENCION IVA]]-EJECUTADO[[#This Row],[RETENCION ISR]]</f>
        <v>0</v>
      </c>
      <c r="Q1611" s="84"/>
      <c r="R1611" s="84"/>
      <c r="T1611" s="168" t="e">
        <f t="shared" si="67"/>
        <v>#N/A</v>
      </c>
    </row>
    <row r="1612" spans="1:20" x14ac:dyDescent="0.25">
      <c r="A1612" s="6">
        <f t="shared" si="68"/>
        <v>1473</v>
      </c>
      <c r="B1612" s="21"/>
      <c r="C1612" s="126"/>
      <c r="E1612" s="65"/>
      <c r="G1612" s="161">
        <f>MONTH(EJECUTADO[[#This Row],[FECHA]])</f>
        <v>1</v>
      </c>
      <c r="H1612" s="163" t="str">
        <f>MID(EJECUTADO[[#This Row],[CUENTA]],1,4)</f>
        <v/>
      </c>
      <c r="I1612" s="163" t="e">
        <f>INDEX(CATALOGO[Descripción],MATCH(EJECUTADO[[#This Row],[APLICACIÓN]]&amp;"-00-00-00",CATALOGO[Código],0))</f>
        <v>#N/A</v>
      </c>
      <c r="J161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2" s="161" t="str">
        <f>IF((EJECUTADO[[#This Row],[MONTO DISPONIBLE ]]-EJECUTADO[[#This Row],[MONTO SOLICITADO]])&gt;=0,"PRESUPUESTO: SI","PRESUPUESTO: NO")</f>
        <v>PRESUPUESTO: SI</v>
      </c>
      <c r="L1612" s="162">
        <f>SUMIF(PRESUPUESTO[CUENTA],EJECUTADO[[#This Row],[CUENTA]],PRESUPUESTO[MONTO])-SUMIF($F$1:F1611,EJECUTADO[[#This Row],[CUENTA]],$M$1:M1611)</f>
        <v>0</v>
      </c>
      <c r="M1612" s="2"/>
      <c r="N1612" s="84"/>
      <c r="O1612" s="84"/>
      <c r="P1612" s="162">
        <f>+EJECUTADO[[#This Row],[MONTO SOLICITADO]]-EJECUTADO[[#This Row],[RETENCION IVA]]-EJECUTADO[[#This Row],[RETENCION ISR]]</f>
        <v>0</v>
      </c>
      <c r="Q1612" s="84"/>
      <c r="R1612" s="84"/>
      <c r="T1612" s="168" t="e">
        <f t="shared" si="67"/>
        <v>#N/A</v>
      </c>
    </row>
    <row r="1613" spans="1:20" x14ac:dyDescent="0.25">
      <c r="A1613" s="6">
        <f t="shared" si="68"/>
        <v>1474</v>
      </c>
      <c r="B1613" s="21"/>
      <c r="C1613" s="126"/>
      <c r="E1613" s="65"/>
      <c r="G1613" s="161">
        <f>MONTH(EJECUTADO[[#This Row],[FECHA]])</f>
        <v>1</v>
      </c>
      <c r="H1613" s="163" t="str">
        <f>MID(EJECUTADO[[#This Row],[CUENTA]],1,4)</f>
        <v/>
      </c>
      <c r="I1613" s="163" t="e">
        <f>INDEX(CATALOGO[Descripción],MATCH(EJECUTADO[[#This Row],[APLICACIÓN]]&amp;"-00-00-00",CATALOGO[Código],0))</f>
        <v>#N/A</v>
      </c>
      <c r="J161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3" s="161" t="str">
        <f>IF((EJECUTADO[[#This Row],[MONTO DISPONIBLE ]]-EJECUTADO[[#This Row],[MONTO SOLICITADO]])&gt;=0,"PRESUPUESTO: SI","PRESUPUESTO: NO")</f>
        <v>PRESUPUESTO: SI</v>
      </c>
      <c r="L1613" s="162">
        <f>SUMIF(PRESUPUESTO[CUENTA],EJECUTADO[[#This Row],[CUENTA]],PRESUPUESTO[MONTO])-SUMIF($F$1:F1612,EJECUTADO[[#This Row],[CUENTA]],$M$1:M1612)</f>
        <v>0</v>
      </c>
      <c r="M1613" s="2"/>
      <c r="N1613" s="84"/>
      <c r="O1613" s="84"/>
      <c r="P1613" s="162">
        <f>+EJECUTADO[[#This Row],[MONTO SOLICITADO]]-EJECUTADO[[#This Row],[RETENCION IVA]]-EJECUTADO[[#This Row],[RETENCION ISR]]</f>
        <v>0</v>
      </c>
      <c r="Q1613" s="84"/>
      <c r="R1613" s="84"/>
      <c r="T1613" s="168" t="e">
        <f t="shared" si="67"/>
        <v>#N/A</v>
      </c>
    </row>
    <row r="1614" spans="1:20" x14ac:dyDescent="0.25">
      <c r="A1614" s="6">
        <f t="shared" si="68"/>
        <v>1475</v>
      </c>
      <c r="B1614" s="21"/>
      <c r="C1614" s="126"/>
      <c r="E1614" s="65"/>
      <c r="G1614" s="161">
        <f>MONTH(EJECUTADO[[#This Row],[FECHA]])</f>
        <v>1</v>
      </c>
      <c r="H1614" s="163" t="str">
        <f>MID(EJECUTADO[[#This Row],[CUENTA]],1,4)</f>
        <v/>
      </c>
      <c r="I1614" s="163" t="e">
        <f>INDEX(CATALOGO[Descripción],MATCH(EJECUTADO[[#This Row],[APLICACIÓN]]&amp;"-00-00-00",CATALOGO[Código],0))</f>
        <v>#N/A</v>
      </c>
      <c r="J161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4" s="161" t="str">
        <f>IF((EJECUTADO[[#This Row],[MONTO DISPONIBLE ]]-EJECUTADO[[#This Row],[MONTO SOLICITADO]])&gt;=0,"PRESUPUESTO: SI","PRESUPUESTO: NO")</f>
        <v>PRESUPUESTO: SI</v>
      </c>
      <c r="L1614" s="162">
        <f>SUMIF(PRESUPUESTO[CUENTA],EJECUTADO[[#This Row],[CUENTA]],PRESUPUESTO[MONTO])-SUMIF($F$1:F1613,EJECUTADO[[#This Row],[CUENTA]],$M$1:M1613)</f>
        <v>0</v>
      </c>
      <c r="M1614" s="2"/>
      <c r="N1614" s="84"/>
      <c r="O1614" s="84"/>
      <c r="P1614" s="162">
        <f>+EJECUTADO[[#This Row],[MONTO SOLICITADO]]-EJECUTADO[[#This Row],[RETENCION IVA]]-EJECUTADO[[#This Row],[RETENCION ISR]]</f>
        <v>0</v>
      </c>
      <c r="Q1614" s="84"/>
      <c r="R1614" s="84"/>
      <c r="T1614" s="168" t="e">
        <f t="shared" si="67"/>
        <v>#N/A</v>
      </c>
    </row>
    <row r="1615" spans="1:20" x14ac:dyDescent="0.25">
      <c r="A1615" s="6">
        <f t="shared" si="68"/>
        <v>1476</v>
      </c>
      <c r="B1615" s="21"/>
      <c r="C1615" s="126"/>
      <c r="E1615" s="65"/>
      <c r="G1615" s="161">
        <f>MONTH(EJECUTADO[[#This Row],[FECHA]])</f>
        <v>1</v>
      </c>
      <c r="H1615" s="163" t="str">
        <f>MID(EJECUTADO[[#This Row],[CUENTA]],1,4)</f>
        <v/>
      </c>
      <c r="I1615" s="163" t="e">
        <f>INDEX(CATALOGO[Descripción],MATCH(EJECUTADO[[#This Row],[APLICACIÓN]]&amp;"-00-00-00",CATALOGO[Código],0))</f>
        <v>#N/A</v>
      </c>
      <c r="J161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5" s="161" t="str">
        <f>IF((EJECUTADO[[#This Row],[MONTO DISPONIBLE ]]-EJECUTADO[[#This Row],[MONTO SOLICITADO]])&gt;=0,"PRESUPUESTO: SI","PRESUPUESTO: NO")</f>
        <v>PRESUPUESTO: SI</v>
      </c>
      <c r="L1615" s="162">
        <f>SUMIF(PRESUPUESTO[CUENTA],EJECUTADO[[#This Row],[CUENTA]],PRESUPUESTO[MONTO])-SUMIF($F$1:F1614,EJECUTADO[[#This Row],[CUENTA]],$M$1:M1614)</f>
        <v>0</v>
      </c>
      <c r="M1615" s="2"/>
      <c r="N1615" s="84"/>
      <c r="O1615" s="84"/>
      <c r="P1615" s="162">
        <f>+EJECUTADO[[#This Row],[MONTO SOLICITADO]]-EJECUTADO[[#This Row],[RETENCION IVA]]-EJECUTADO[[#This Row],[RETENCION ISR]]</f>
        <v>0</v>
      </c>
      <c r="Q1615" s="84"/>
      <c r="R1615" s="84"/>
      <c r="T1615" s="168" t="e">
        <f t="shared" si="67"/>
        <v>#N/A</v>
      </c>
    </row>
    <row r="1616" spans="1:20" x14ac:dyDescent="0.25">
      <c r="A1616" s="6">
        <f t="shared" si="68"/>
        <v>1477</v>
      </c>
      <c r="B1616" s="21"/>
      <c r="C1616" s="126"/>
      <c r="E1616" s="65"/>
      <c r="G1616" s="161">
        <f>MONTH(EJECUTADO[[#This Row],[FECHA]])</f>
        <v>1</v>
      </c>
      <c r="H1616" s="163" t="str">
        <f>MID(EJECUTADO[[#This Row],[CUENTA]],1,4)</f>
        <v/>
      </c>
      <c r="I1616" s="163" t="e">
        <f>INDEX(CATALOGO[Descripción],MATCH(EJECUTADO[[#This Row],[APLICACIÓN]]&amp;"-00-00-00",CATALOGO[Código],0))</f>
        <v>#N/A</v>
      </c>
      <c r="J161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6" s="161" t="str">
        <f>IF((EJECUTADO[[#This Row],[MONTO DISPONIBLE ]]-EJECUTADO[[#This Row],[MONTO SOLICITADO]])&gt;=0,"PRESUPUESTO: SI","PRESUPUESTO: NO")</f>
        <v>PRESUPUESTO: SI</v>
      </c>
      <c r="L1616" s="162">
        <f>SUMIF(PRESUPUESTO[CUENTA],EJECUTADO[[#This Row],[CUENTA]],PRESUPUESTO[MONTO])-SUMIF($F$1:F1615,EJECUTADO[[#This Row],[CUENTA]],$M$1:M1615)</f>
        <v>0</v>
      </c>
      <c r="M1616" s="2"/>
      <c r="N1616" s="84"/>
      <c r="O1616" s="84"/>
      <c r="P1616" s="162">
        <f>+EJECUTADO[[#This Row],[MONTO SOLICITADO]]-EJECUTADO[[#This Row],[RETENCION IVA]]-EJECUTADO[[#This Row],[RETENCION ISR]]</f>
        <v>0</v>
      </c>
      <c r="Q1616" s="84"/>
      <c r="R1616" s="84"/>
      <c r="T1616" s="168" t="e">
        <f t="shared" si="67"/>
        <v>#N/A</v>
      </c>
    </row>
    <row r="1617" spans="1:20" x14ac:dyDescent="0.25">
      <c r="A1617" s="6">
        <f t="shared" si="68"/>
        <v>1478</v>
      </c>
      <c r="B1617" s="21"/>
      <c r="C1617" s="126"/>
      <c r="E1617" s="65"/>
      <c r="G1617" s="161">
        <f>MONTH(EJECUTADO[[#This Row],[FECHA]])</f>
        <v>1</v>
      </c>
      <c r="H1617" s="163" t="str">
        <f>MID(EJECUTADO[[#This Row],[CUENTA]],1,4)</f>
        <v/>
      </c>
      <c r="I1617" s="163" t="e">
        <f>INDEX(CATALOGO[Descripción],MATCH(EJECUTADO[[#This Row],[APLICACIÓN]]&amp;"-00-00-00",CATALOGO[Código],0))</f>
        <v>#N/A</v>
      </c>
      <c r="J161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7" s="161" t="str">
        <f>IF((EJECUTADO[[#This Row],[MONTO DISPONIBLE ]]-EJECUTADO[[#This Row],[MONTO SOLICITADO]])&gt;=0,"PRESUPUESTO: SI","PRESUPUESTO: NO")</f>
        <v>PRESUPUESTO: SI</v>
      </c>
      <c r="L1617" s="162">
        <f>SUMIF(PRESUPUESTO[CUENTA],EJECUTADO[[#This Row],[CUENTA]],PRESUPUESTO[MONTO])-SUMIF($F$1:F1616,EJECUTADO[[#This Row],[CUENTA]],$M$1:M1616)</f>
        <v>0</v>
      </c>
      <c r="M1617" s="2"/>
      <c r="N1617" s="84"/>
      <c r="O1617" s="84"/>
      <c r="P1617" s="162">
        <f>+EJECUTADO[[#This Row],[MONTO SOLICITADO]]-EJECUTADO[[#This Row],[RETENCION IVA]]-EJECUTADO[[#This Row],[RETENCION ISR]]</f>
        <v>0</v>
      </c>
      <c r="Q1617" s="84"/>
      <c r="R1617" s="84"/>
      <c r="T1617" s="168" t="e">
        <f t="shared" si="67"/>
        <v>#N/A</v>
      </c>
    </row>
    <row r="1618" spans="1:20" x14ac:dyDescent="0.25">
      <c r="A1618" s="6">
        <f t="shared" si="68"/>
        <v>1479</v>
      </c>
      <c r="B1618" s="21"/>
      <c r="C1618" s="126"/>
      <c r="E1618" s="65"/>
      <c r="G1618" s="161">
        <f>MONTH(EJECUTADO[[#This Row],[FECHA]])</f>
        <v>1</v>
      </c>
      <c r="H1618" s="163" t="str">
        <f>MID(EJECUTADO[[#This Row],[CUENTA]],1,4)</f>
        <v/>
      </c>
      <c r="I1618" s="163" t="e">
        <f>INDEX(CATALOGO[Descripción],MATCH(EJECUTADO[[#This Row],[APLICACIÓN]]&amp;"-00-00-00",CATALOGO[Código],0))</f>
        <v>#N/A</v>
      </c>
      <c r="J161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8" s="161" t="str">
        <f>IF((EJECUTADO[[#This Row],[MONTO DISPONIBLE ]]-EJECUTADO[[#This Row],[MONTO SOLICITADO]])&gt;=0,"PRESUPUESTO: SI","PRESUPUESTO: NO")</f>
        <v>PRESUPUESTO: SI</v>
      </c>
      <c r="L1618" s="162">
        <f>SUMIF(PRESUPUESTO[CUENTA],EJECUTADO[[#This Row],[CUENTA]],PRESUPUESTO[MONTO])-SUMIF($F$1:F1617,EJECUTADO[[#This Row],[CUENTA]],$M$1:M1617)</f>
        <v>0</v>
      </c>
      <c r="M1618" s="2"/>
      <c r="N1618" s="84"/>
      <c r="O1618" s="84"/>
      <c r="P1618" s="162">
        <f>+EJECUTADO[[#This Row],[MONTO SOLICITADO]]-EJECUTADO[[#This Row],[RETENCION IVA]]-EJECUTADO[[#This Row],[RETENCION ISR]]</f>
        <v>0</v>
      </c>
      <c r="Q1618" s="84"/>
      <c r="R1618" s="84"/>
      <c r="T1618" s="168" t="e">
        <f t="shared" si="67"/>
        <v>#N/A</v>
      </c>
    </row>
    <row r="1619" spans="1:20" x14ac:dyDescent="0.25">
      <c r="A1619" s="6">
        <f t="shared" si="68"/>
        <v>1480</v>
      </c>
      <c r="B1619" s="21"/>
      <c r="C1619" s="126"/>
      <c r="E1619" s="65"/>
      <c r="G1619" s="161">
        <f>MONTH(EJECUTADO[[#This Row],[FECHA]])</f>
        <v>1</v>
      </c>
      <c r="H1619" s="163" t="str">
        <f>MID(EJECUTADO[[#This Row],[CUENTA]],1,4)</f>
        <v/>
      </c>
      <c r="I1619" s="163" t="e">
        <f>INDEX(CATALOGO[Descripción],MATCH(EJECUTADO[[#This Row],[APLICACIÓN]]&amp;"-00-00-00",CATALOGO[Código],0))</f>
        <v>#N/A</v>
      </c>
      <c r="J161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19" s="161" t="str">
        <f>IF((EJECUTADO[[#This Row],[MONTO DISPONIBLE ]]-EJECUTADO[[#This Row],[MONTO SOLICITADO]])&gt;=0,"PRESUPUESTO: SI","PRESUPUESTO: NO")</f>
        <v>PRESUPUESTO: SI</v>
      </c>
      <c r="L1619" s="162">
        <f>SUMIF(PRESUPUESTO[CUENTA],EJECUTADO[[#This Row],[CUENTA]],PRESUPUESTO[MONTO])-SUMIF($F$1:F1618,EJECUTADO[[#This Row],[CUENTA]],$M$1:M1618)</f>
        <v>0</v>
      </c>
      <c r="M1619" s="2"/>
      <c r="N1619" s="84"/>
      <c r="O1619" s="84"/>
      <c r="P1619" s="162">
        <f>+EJECUTADO[[#This Row],[MONTO SOLICITADO]]-EJECUTADO[[#This Row],[RETENCION IVA]]-EJECUTADO[[#This Row],[RETENCION ISR]]</f>
        <v>0</v>
      </c>
      <c r="Q1619" s="84"/>
      <c r="R1619" s="84"/>
      <c r="T1619" s="168" t="e">
        <f t="shared" si="67"/>
        <v>#N/A</v>
      </c>
    </row>
    <row r="1620" spans="1:20" x14ac:dyDescent="0.25">
      <c r="A1620" s="6">
        <f t="shared" si="68"/>
        <v>1481</v>
      </c>
      <c r="B1620" s="21"/>
      <c r="C1620" s="126"/>
      <c r="E1620" s="65"/>
      <c r="G1620" s="161">
        <f>MONTH(EJECUTADO[[#This Row],[FECHA]])</f>
        <v>1</v>
      </c>
      <c r="H1620" s="163" t="str">
        <f>MID(EJECUTADO[[#This Row],[CUENTA]],1,4)</f>
        <v/>
      </c>
      <c r="I1620" s="163" t="e">
        <f>INDEX(CATALOGO[Descripción],MATCH(EJECUTADO[[#This Row],[APLICACIÓN]]&amp;"-00-00-00",CATALOGO[Código],0))</f>
        <v>#N/A</v>
      </c>
      <c r="J162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0" s="161" t="str">
        <f>IF((EJECUTADO[[#This Row],[MONTO DISPONIBLE ]]-EJECUTADO[[#This Row],[MONTO SOLICITADO]])&gt;=0,"PRESUPUESTO: SI","PRESUPUESTO: NO")</f>
        <v>PRESUPUESTO: SI</v>
      </c>
      <c r="L1620" s="162">
        <f>SUMIF(PRESUPUESTO[CUENTA],EJECUTADO[[#This Row],[CUENTA]],PRESUPUESTO[MONTO])-SUMIF($F$1:F1619,EJECUTADO[[#This Row],[CUENTA]],$M$1:M1619)</f>
        <v>0</v>
      </c>
      <c r="M1620" s="2"/>
      <c r="N1620" s="84"/>
      <c r="O1620" s="84"/>
      <c r="P1620" s="162">
        <f>+EJECUTADO[[#This Row],[MONTO SOLICITADO]]-EJECUTADO[[#This Row],[RETENCION IVA]]-EJECUTADO[[#This Row],[RETENCION ISR]]</f>
        <v>0</v>
      </c>
      <c r="Q1620" s="84"/>
      <c r="R1620" s="84"/>
      <c r="T1620" s="168" t="e">
        <f t="shared" si="67"/>
        <v>#N/A</v>
      </c>
    </row>
    <row r="1621" spans="1:20" x14ac:dyDescent="0.25">
      <c r="A1621" s="6">
        <f t="shared" si="68"/>
        <v>1482</v>
      </c>
      <c r="B1621" s="21"/>
      <c r="C1621" s="126"/>
      <c r="E1621" s="65"/>
      <c r="G1621" s="161">
        <f>MONTH(EJECUTADO[[#This Row],[FECHA]])</f>
        <v>1</v>
      </c>
      <c r="H1621" s="163" t="str">
        <f>MID(EJECUTADO[[#This Row],[CUENTA]],1,4)</f>
        <v/>
      </c>
      <c r="I1621" s="163" t="e">
        <f>INDEX(CATALOGO[Descripción],MATCH(EJECUTADO[[#This Row],[APLICACIÓN]]&amp;"-00-00-00",CATALOGO[Código],0))</f>
        <v>#N/A</v>
      </c>
      <c r="J162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1" s="161" t="str">
        <f>IF((EJECUTADO[[#This Row],[MONTO DISPONIBLE ]]-EJECUTADO[[#This Row],[MONTO SOLICITADO]])&gt;=0,"PRESUPUESTO: SI","PRESUPUESTO: NO")</f>
        <v>PRESUPUESTO: SI</v>
      </c>
      <c r="L1621" s="162">
        <f>SUMIF(PRESUPUESTO[CUENTA],EJECUTADO[[#This Row],[CUENTA]],PRESUPUESTO[MONTO])-SUMIF($F$1:F1620,EJECUTADO[[#This Row],[CUENTA]],$M$1:M1620)</f>
        <v>0</v>
      </c>
      <c r="M1621" s="2"/>
      <c r="N1621" s="84"/>
      <c r="O1621" s="84"/>
      <c r="P1621" s="162">
        <f>+EJECUTADO[[#This Row],[MONTO SOLICITADO]]-EJECUTADO[[#This Row],[RETENCION IVA]]-EJECUTADO[[#This Row],[RETENCION ISR]]</f>
        <v>0</v>
      </c>
      <c r="Q1621" s="84"/>
      <c r="R1621" s="84"/>
      <c r="T1621" s="168" t="e">
        <f t="shared" si="67"/>
        <v>#N/A</v>
      </c>
    </row>
    <row r="1622" spans="1:20" x14ac:dyDescent="0.25">
      <c r="A1622" s="6">
        <f t="shared" si="68"/>
        <v>1483</v>
      </c>
      <c r="B1622" s="21"/>
      <c r="C1622" s="126"/>
      <c r="E1622" s="65"/>
      <c r="G1622" s="161">
        <f>MONTH(EJECUTADO[[#This Row],[FECHA]])</f>
        <v>1</v>
      </c>
      <c r="H1622" s="163" t="str">
        <f>MID(EJECUTADO[[#This Row],[CUENTA]],1,4)</f>
        <v/>
      </c>
      <c r="I1622" s="163" t="e">
        <f>INDEX(CATALOGO[Descripción],MATCH(EJECUTADO[[#This Row],[APLICACIÓN]]&amp;"-00-00-00",CATALOGO[Código],0))</f>
        <v>#N/A</v>
      </c>
      <c r="J162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2" s="161" t="str">
        <f>IF((EJECUTADO[[#This Row],[MONTO DISPONIBLE ]]-EJECUTADO[[#This Row],[MONTO SOLICITADO]])&gt;=0,"PRESUPUESTO: SI","PRESUPUESTO: NO")</f>
        <v>PRESUPUESTO: SI</v>
      </c>
      <c r="L1622" s="162">
        <f>SUMIF(PRESUPUESTO[CUENTA],EJECUTADO[[#This Row],[CUENTA]],PRESUPUESTO[MONTO])-SUMIF($F$1:F1621,EJECUTADO[[#This Row],[CUENTA]],$M$1:M1621)</f>
        <v>0</v>
      </c>
      <c r="M1622" s="2"/>
      <c r="N1622" s="84"/>
      <c r="O1622" s="84"/>
      <c r="P1622" s="162">
        <f>+EJECUTADO[[#This Row],[MONTO SOLICITADO]]-EJECUTADO[[#This Row],[RETENCION IVA]]-EJECUTADO[[#This Row],[RETENCION ISR]]</f>
        <v>0</v>
      </c>
      <c r="Q1622" s="84"/>
      <c r="R1622" s="84"/>
      <c r="T1622" s="168" t="e">
        <f t="shared" si="67"/>
        <v>#N/A</v>
      </c>
    </row>
    <row r="1623" spans="1:20" x14ac:dyDescent="0.25">
      <c r="A1623" s="6">
        <f t="shared" si="68"/>
        <v>1484</v>
      </c>
      <c r="B1623" s="21"/>
      <c r="C1623" s="126"/>
      <c r="E1623" s="65"/>
      <c r="G1623" s="161">
        <f>MONTH(EJECUTADO[[#This Row],[FECHA]])</f>
        <v>1</v>
      </c>
      <c r="H1623" s="163" t="str">
        <f>MID(EJECUTADO[[#This Row],[CUENTA]],1,4)</f>
        <v/>
      </c>
      <c r="I1623" s="163" t="e">
        <f>INDEX(CATALOGO[Descripción],MATCH(EJECUTADO[[#This Row],[APLICACIÓN]]&amp;"-00-00-00",CATALOGO[Código],0))</f>
        <v>#N/A</v>
      </c>
      <c r="J162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3" s="161" t="str">
        <f>IF((EJECUTADO[[#This Row],[MONTO DISPONIBLE ]]-EJECUTADO[[#This Row],[MONTO SOLICITADO]])&gt;=0,"PRESUPUESTO: SI","PRESUPUESTO: NO")</f>
        <v>PRESUPUESTO: SI</v>
      </c>
      <c r="L1623" s="162">
        <f>SUMIF(PRESUPUESTO[CUENTA],EJECUTADO[[#This Row],[CUENTA]],PRESUPUESTO[MONTO])-SUMIF($F$1:F1622,EJECUTADO[[#This Row],[CUENTA]],$M$1:M1622)</f>
        <v>0</v>
      </c>
      <c r="M1623" s="2"/>
      <c r="N1623" s="84"/>
      <c r="O1623" s="84"/>
      <c r="P1623" s="162">
        <f>+EJECUTADO[[#This Row],[MONTO SOLICITADO]]-EJECUTADO[[#This Row],[RETENCION IVA]]-EJECUTADO[[#This Row],[RETENCION ISR]]</f>
        <v>0</v>
      </c>
      <c r="Q1623" s="84"/>
      <c r="R1623" s="84"/>
      <c r="T1623" s="168" t="e">
        <f t="shared" si="67"/>
        <v>#N/A</v>
      </c>
    </row>
    <row r="1624" spans="1:20" x14ac:dyDescent="0.25">
      <c r="A1624" s="6">
        <f t="shared" si="68"/>
        <v>1485</v>
      </c>
      <c r="B1624" s="21"/>
      <c r="C1624" s="126"/>
      <c r="E1624" s="65"/>
      <c r="G1624" s="161">
        <f>MONTH(EJECUTADO[[#This Row],[FECHA]])</f>
        <v>1</v>
      </c>
      <c r="H1624" s="163" t="str">
        <f>MID(EJECUTADO[[#This Row],[CUENTA]],1,4)</f>
        <v/>
      </c>
      <c r="I1624" s="163" t="e">
        <f>INDEX(CATALOGO[Descripción],MATCH(EJECUTADO[[#This Row],[APLICACIÓN]]&amp;"-00-00-00",CATALOGO[Código],0))</f>
        <v>#N/A</v>
      </c>
      <c r="J162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4" s="161" t="str">
        <f>IF((EJECUTADO[[#This Row],[MONTO DISPONIBLE ]]-EJECUTADO[[#This Row],[MONTO SOLICITADO]])&gt;=0,"PRESUPUESTO: SI","PRESUPUESTO: NO")</f>
        <v>PRESUPUESTO: SI</v>
      </c>
      <c r="L1624" s="162">
        <f>SUMIF(PRESUPUESTO[CUENTA],EJECUTADO[[#This Row],[CUENTA]],PRESUPUESTO[MONTO])-SUMIF($F$1:F1623,EJECUTADO[[#This Row],[CUENTA]],$M$1:M1623)</f>
        <v>0</v>
      </c>
      <c r="M1624" s="2"/>
      <c r="N1624" s="84"/>
      <c r="O1624" s="84"/>
      <c r="P1624" s="162">
        <f>+EJECUTADO[[#This Row],[MONTO SOLICITADO]]-EJECUTADO[[#This Row],[RETENCION IVA]]-EJECUTADO[[#This Row],[RETENCION ISR]]</f>
        <v>0</v>
      </c>
      <c r="Q1624" s="84"/>
      <c r="R1624" s="84"/>
      <c r="T1624" s="168" t="e">
        <f t="shared" si="67"/>
        <v>#N/A</v>
      </c>
    </row>
    <row r="1625" spans="1:20" x14ac:dyDescent="0.25">
      <c r="A1625" s="6">
        <f t="shared" si="68"/>
        <v>1486</v>
      </c>
      <c r="B1625" s="21"/>
      <c r="C1625" s="126"/>
      <c r="E1625" s="65"/>
      <c r="G1625" s="161">
        <f>MONTH(EJECUTADO[[#This Row],[FECHA]])</f>
        <v>1</v>
      </c>
      <c r="H1625" s="163" t="str">
        <f>MID(EJECUTADO[[#This Row],[CUENTA]],1,4)</f>
        <v/>
      </c>
      <c r="I1625" s="163" t="e">
        <f>INDEX(CATALOGO[Descripción],MATCH(EJECUTADO[[#This Row],[APLICACIÓN]]&amp;"-00-00-00",CATALOGO[Código],0))</f>
        <v>#N/A</v>
      </c>
      <c r="J162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5" s="161" t="str">
        <f>IF((EJECUTADO[[#This Row],[MONTO DISPONIBLE ]]-EJECUTADO[[#This Row],[MONTO SOLICITADO]])&gt;=0,"PRESUPUESTO: SI","PRESUPUESTO: NO")</f>
        <v>PRESUPUESTO: SI</v>
      </c>
      <c r="L1625" s="162">
        <f>SUMIF(PRESUPUESTO[CUENTA],EJECUTADO[[#This Row],[CUENTA]],PRESUPUESTO[MONTO])-SUMIF($F$1:F1624,EJECUTADO[[#This Row],[CUENTA]],$M$1:M1624)</f>
        <v>0</v>
      </c>
      <c r="M1625" s="2"/>
      <c r="N1625" s="84"/>
      <c r="O1625" s="84"/>
      <c r="P1625" s="162">
        <f>+EJECUTADO[[#This Row],[MONTO SOLICITADO]]-EJECUTADO[[#This Row],[RETENCION IVA]]-EJECUTADO[[#This Row],[RETENCION ISR]]</f>
        <v>0</v>
      </c>
      <c r="Q1625" s="84"/>
      <c r="R1625" s="84"/>
      <c r="T1625" s="168" t="e">
        <f t="shared" si="67"/>
        <v>#N/A</v>
      </c>
    </row>
    <row r="1626" spans="1:20" x14ac:dyDescent="0.25">
      <c r="A1626" s="6">
        <f t="shared" si="68"/>
        <v>1487</v>
      </c>
      <c r="B1626" s="21"/>
      <c r="C1626" s="126"/>
      <c r="E1626" s="65"/>
      <c r="G1626" s="161">
        <f>MONTH(EJECUTADO[[#This Row],[FECHA]])</f>
        <v>1</v>
      </c>
      <c r="H1626" s="163" t="str">
        <f>MID(EJECUTADO[[#This Row],[CUENTA]],1,4)</f>
        <v/>
      </c>
      <c r="I1626" s="163" t="e">
        <f>INDEX(CATALOGO[Descripción],MATCH(EJECUTADO[[#This Row],[APLICACIÓN]]&amp;"-00-00-00",CATALOGO[Código],0))</f>
        <v>#N/A</v>
      </c>
      <c r="J162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6" s="161" t="str">
        <f>IF((EJECUTADO[[#This Row],[MONTO DISPONIBLE ]]-EJECUTADO[[#This Row],[MONTO SOLICITADO]])&gt;=0,"PRESUPUESTO: SI","PRESUPUESTO: NO")</f>
        <v>PRESUPUESTO: SI</v>
      </c>
      <c r="L1626" s="162">
        <f>SUMIF(PRESUPUESTO[CUENTA],EJECUTADO[[#This Row],[CUENTA]],PRESUPUESTO[MONTO])-SUMIF($F$1:F1625,EJECUTADO[[#This Row],[CUENTA]],$M$1:M1625)</f>
        <v>0</v>
      </c>
      <c r="M1626" s="2"/>
      <c r="N1626" s="84"/>
      <c r="O1626" s="84"/>
      <c r="P1626" s="162">
        <f>+EJECUTADO[[#This Row],[MONTO SOLICITADO]]-EJECUTADO[[#This Row],[RETENCION IVA]]-EJECUTADO[[#This Row],[RETENCION ISR]]</f>
        <v>0</v>
      </c>
      <c r="Q1626" s="84"/>
      <c r="R1626" s="84"/>
      <c r="T1626" s="168" t="e">
        <f t="shared" si="67"/>
        <v>#N/A</v>
      </c>
    </row>
    <row r="1627" spans="1:20" x14ac:dyDescent="0.25">
      <c r="A1627" s="6">
        <f t="shared" si="68"/>
        <v>1488</v>
      </c>
      <c r="B1627" s="21"/>
      <c r="C1627" s="126"/>
      <c r="E1627" s="65"/>
      <c r="G1627" s="161">
        <f>MONTH(EJECUTADO[[#This Row],[FECHA]])</f>
        <v>1</v>
      </c>
      <c r="H1627" s="163" t="str">
        <f>MID(EJECUTADO[[#This Row],[CUENTA]],1,4)</f>
        <v/>
      </c>
      <c r="I1627" s="163" t="e">
        <f>INDEX(CATALOGO[Descripción],MATCH(EJECUTADO[[#This Row],[APLICACIÓN]]&amp;"-00-00-00",CATALOGO[Código],0))</f>
        <v>#N/A</v>
      </c>
      <c r="J162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7" s="161" t="str">
        <f>IF((EJECUTADO[[#This Row],[MONTO DISPONIBLE ]]-EJECUTADO[[#This Row],[MONTO SOLICITADO]])&gt;=0,"PRESUPUESTO: SI","PRESUPUESTO: NO")</f>
        <v>PRESUPUESTO: SI</v>
      </c>
      <c r="L1627" s="162">
        <f>SUMIF(PRESUPUESTO[CUENTA],EJECUTADO[[#This Row],[CUENTA]],PRESUPUESTO[MONTO])-SUMIF($F$1:F1626,EJECUTADO[[#This Row],[CUENTA]],$M$1:M1626)</f>
        <v>0</v>
      </c>
      <c r="M1627" s="2"/>
      <c r="N1627" s="84"/>
      <c r="O1627" s="84"/>
      <c r="P1627" s="162">
        <f>+EJECUTADO[[#This Row],[MONTO SOLICITADO]]-EJECUTADO[[#This Row],[RETENCION IVA]]-EJECUTADO[[#This Row],[RETENCION ISR]]</f>
        <v>0</v>
      </c>
      <c r="Q1627" s="84"/>
      <c r="R1627" s="84"/>
      <c r="T1627" s="168" t="e">
        <f t="shared" si="67"/>
        <v>#N/A</v>
      </c>
    </row>
    <row r="1628" spans="1:20" x14ac:dyDescent="0.25">
      <c r="A1628" s="6">
        <f t="shared" si="68"/>
        <v>1489</v>
      </c>
      <c r="B1628" s="21"/>
      <c r="C1628" s="126"/>
      <c r="E1628" s="65"/>
      <c r="G1628" s="161">
        <f>MONTH(EJECUTADO[[#This Row],[FECHA]])</f>
        <v>1</v>
      </c>
      <c r="H1628" s="163" t="str">
        <f>MID(EJECUTADO[[#This Row],[CUENTA]],1,4)</f>
        <v/>
      </c>
      <c r="I1628" s="163" t="e">
        <f>INDEX(CATALOGO[Descripción],MATCH(EJECUTADO[[#This Row],[APLICACIÓN]]&amp;"-00-00-00",CATALOGO[Código],0))</f>
        <v>#N/A</v>
      </c>
      <c r="J162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8" s="161" t="str">
        <f>IF((EJECUTADO[[#This Row],[MONTO DISPONIBLE ]]-EJECUTADO[[#This Row],[MONTO SOLICITADO]])&gt;=0,"PRESUPUESTO: SI","PRESUPUESTO: NO")</f>
        <v>PRESUPUESTO: SI</v>
      </c>
      <c r="L1628" s="162">
        <f>SUMIF(PRESUPUESTO[CUENTA],EJECUTADO[[#This Row],[CUENTA]],PRESUPUESTO[MONTO])-SUMIF($F$1:F1627,EJECUTADO[[#This Row],[CUENTA]],$M$1:M1627)</f>
        <v>0</v>
      </c>
      <c r="M1628" s="2"/>
      <c r="N1628" s="84"/>
      <c r="O1628" s="84"/>
      <c r="P1628" s="162">
        <f>+EJECUTADO[[#This Row],[MONTO SOLICITADO]]-EJECUTADO[[#This Row],[RETENCION IVA]]-EJECUTADO[[#This Row],[RETENCION ISR]]</f>
        <v>0</v>
      </c>
      <c r="Q1628" s="84"/>
      <c r="R1628" s="84"/>
      <c r="T1628" s="168" t="e">
        <f t="shared" si="67"/>
        <v>#N/A</v>
      </c>
    </row>
    <row r="1629" spans="1:20" x14ac:dyDescent="0.25">
      <c r="A1629" s="6">
        <f t="shared" si="68"/>
        <v>1490</v>
      </c>
      <c r="B1629" s="21"/>
      <c r="C1629" s="126"/>
      <c r="E1629" s="65"/>
      <c r="G1629" s="161">
        <f>MONTH(EJECUTADO[[#This Row],[FECHA]])</f>
        <v>1</v>
      </c>
      <c r="H1629" s="163" t="str">
        <f>MID(EJECUTADO[[#This Row],[CUENTA]],1,4)</f>
        <v/>
      </c>
      <c r="I1629" s="163" t="e">
        <f>INDEX(CATALOGO[Descripción],MATCH(EJECUTADO[[#This Row],[APLICACIÓN]]&amp;"-00-00-00",CATALOGO[Código],0))</f>
        <v>#N/A</v>
      </c>
      <c r="J162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29" s="161" t="str">
        <f>IF((EJECUTADO[[#This Row],[MONTO DISPONIBLE ]]-EJECUTADO[[#This Row],[MONTO SOLICITADO]])&gt;=0,"PRESUPUESTO: SI","PRESUPUESTO: NO")</f>
        <v>PRESUPUESTO: SI</v>
      </c>
      <c r="L1629" s="162">
        <f>SUMIF(PRESUPUESTO[CUENTA],EJECUTADO[[#This Row],[CUENTA]],PRESUPUESTO[MONTO])-SUMIF($F$1:F1628,EJECUTADO[[#This Row],[CUENTA]],$M$1:M1628)</f>
        <v>0</v>
      </c>
      <c r="M1629" s="2"/>
      <c r="N1629" s="84"/>
      <c r="O1629" s="84"/>
      <c r="P1629" s="162">
        <f>+EJECUTADO[[#This Row],[MONTO SOLICITADO]]-EJECUTADO[[#This Row],[RETENCION IVA]]-EJECUTADO[[#This Row],[RETENCION ISR]]</f>
        <v>0</v>
      </c>
      <c r="Q1629" s="84"/>
      <c r="R1629" s="84"/>
      <c r="T1629" s="168" t="e">
        <f t="shared" si="67"/>
        <v>#N/A</v>
      </c>
    </row>
    <row r="1630" spans="1:20" x14ac:dyDescent="0.25">
      <c r="A1630" s="6">
        <f t="shared" si="68"/>
        <v>1491</v>
      </c>
      <c r="B1630" s="21"/>
      <c r="C1630" s="126"/>
      <c r="E1630" s="65"/>
      <c r="G1630" s="161">
        <f>MONTH(EJECUTADO[[#This Row],[FECHA]])</f>
        <v>1</v>
      </c>
      <c r="H1630" s="163" t="str">
        <f>MID(EJECUTADO[[#This Row],[CUENTA]],1,4)</f>
        <v/>
      </c>
      <c r="I1630" s="163" t="e">
        <f>INDEX(CATALOGO[Descripción],MATCH(EJECUTADO[[#This Row],[APLICACIÓN]]&amp;"-00-00-00",CATALOGO[Código],0))</f>
        <v>#N/A</v>
      </c>
      <c r="J163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0" s="161" t="str">
        <f>IF((EJECUTADO[[#This Row],[MONTO DISPONIBLE ]]-EJECUTADO[[#This Row],[MONTO SOLICITADO]])&gt;=0,"PRESUPUESTO: SI","PRESUPUESTO: NO")</f>
        <v>PRESUPUESTO: SI</v>
      </c>
      <c r="L1630" s="162">
        <f>SUMIF(PRESUPUESTO[CUENTA],EJECUTADO[[#This Row],[CUENTA]],PRESUPUESTO[MONTO])-SUMIF($F$1:F1629,EJECUTADO[[#This Row],[CUENTA]],$M$1:M1629)</f>
        <v>0</v>
      </c>
      <c r="M1630" s="2"/>
      <c r="N1630" s="84"/>
      <c r="O1630" s="84"/>
      <c r="P1630" s="162">
        <f>+EJECUTADO[[#This Row],[MONTO SOLICITADO]]-EJECUTADO[[#This Row],[RETENCION IVA]]-EJECUTADO[[#This Row],[RETENCION ISR]]</f>
        <v>0</v>
      </c>
      <c r="Q1630" s="84"/>
      <c r="R1630" s="84"/>
      <c r="T1630" s="168" t="e">
        <f t="shared" si="67"/>
        <v>#N/A</v>
      </c>
    </row>
    <row r="1631" spans="1:20" x14ac:dyDescent="0.25">
      <c r="A1631" s="6">
        <f t="shared" si="68"/>
        <v>1492</v>
      </c>
      <c r="B1631" s="21"/>
      <c r="C1631" s="126"/>
      <c r="E1631" s="65"/>
      <c r="G1631" s="161">
        <f>MONTH(EJECUTADO[[#This Row],[FECHA]])</f>
        <v>1</v>
      </c>
      <c r="H1631" s="163" t="str">
        <f>MID(EJECUTADO[[#This Row],[CUENTA]],1,4)</f>
        <v/>
      </c>
      <c r="I1631" s="163" t="e">
        <f>INDEX(CATALOGO[Descripción],MATCH(EJECUTADO[[#This Row],[APLICACIÓN]]&amp;"-00-00-00",CATALOGO[Código],0))</f>
        <v>#N/A</v>
      </c>
      <c r="J163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1" s="161" t="str">
        <f>IF((EJECUTADO[[#This Row],[MONTO DISPONIBLE ]]-EJECUTADO[[#This Row],[MONTO SOLICITADO]])&gt;=0,"PRESUPUESTO: SI","PRESUPUESTO: NO")</f>
        <v>PRESUPUESTO: SI</v>
      </c>
      <c r="L1631" s="162">
        <f>SUMIF(PRESUPUESTO[CUENTA],EJECUTADO[[#This Row],[CUENTA]],PRESUPUESTO[MONTO])-SUMIF($F$1:F1630,EJECUTADO[[#This Row],[CUENTA]],$M$1:M1630)</f>
        <v>0</v>
      </c>
      <c r="M1631" s="2"/>
      <c r="N1631" s="84"/>
      <c r="O1631" s="84"/>
      <c r="P1631" s="162">
        <f>+EJECUTADO[[#This Row],[MONTO SOLICITADO]]-EJECUTADO[[#This Row],[RETENCION IVA]]-EJECUTADO[[#This Row],[RETENCION ISR]]</f>
        <v>0</v>
      </c>
      <c r="Q1631" s="84"/>
      <c r="R1631" s="84"/>
      <c r="T1631" s="168" t="e">
        <f t="shared" si="67"/>
        <v>#N/A</v>
      </c>
    </row>
    <row r="1632" spans="1:20" x14ac:dyDescent="0.25">
      <c r="A1632" s="6">
        <f t="shared" si="68"/>
        <v>1493</v>
      </c>
      <c r="B1632" s="21"/>
      <c r="C1632" s="126"/>
      <c r="E1632" s="65"/>
      <c r="G1632" s="161">
        <f>MONTH(EJECUTADO[[#This Row],[FECHA]])</f>
        <v>1</v>
      </c>
      <c r="H1632" s="163" t="str">
        <f>MID(EJECUTADO[[#This Row],[CUENTA]],1,4)</f>
        <v/>
      </c>
      <c r="I1632" s="163" t="e">
        <f>INDEX(CATALOGO[Descripción],MATCH(EJECUTADO[[#This Row],[APLICACIÓN]]&amp;"-00-00-00",CATALOGO[Código],0))</f>
        <v>#N/A</v>
      </c>
      <c r="J163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2" s="161" t="str">
        <f>IF((EJECUTADO[[#This Row],[MONTO DISPONIBLE ]]-EJECUTADO[[#This Row],[MONTO SOLICITADO]])&gt;=0,"PRESUPUESTO: SI","PRESUPUESTO: NO")</f>
        <v>PRESUPUESTO: SI</v>
      </c>
      <c r="L1632" s="162">
        <f>SUMIF(PRESUPUESTO[CUENTA],EJECUTADO[[#This Row],[CUENTA]],PRESUPUESTO[MONTO])-SUMIF($F$1:F1631,EJECUTADO[[#This Row],[CUENTA]],$M$1:M1631)</f>
        <v>0</v>
      </c>
      <c r="M1632" s="2"/>
      <c r="N1632" s="84"/>
      <c r="O1632" s="84"/>
      <c r="P1632" s="162">
        <f>+EJECUTADO[[#This Row],[MONTO SOLICITADO]]-EJECUTADO[[#This Row],[RETENCION IVA]]-EJECUTADO[[#This Row],[RETENCION ISR]]</f>
        <v>0</v>
      </c>
      <c r="Q1632" s="84"/>
      <c r="R1632" s="84"/>
      <c r="T1632" s="168" t="e">
        <f t="shared" si="67"/>
        <v>#N/A</v>
      </c>
    </row>
    <row r="1633" spans="1:20" x14ac:dyDescent="0.25">
      <c r="A1633" s="6">
        <f t="shared" si="68"/>
        <v>1494</v>
      </c>
      <c r="B1633" s="21"/>
      <c r="C1633" s="126"/>
      <c r="E1633" s="65"/>
      <c r="G1633" s="161">
        <f>MONTH(EJECUTADO[[#This Row],[FECHA]])</f>
        <v>1</v>
      </c>
      <c r="H1633" s="163" t="str">
        <f>MID(EJECUTADO[[#This Row],[CUENTA]],1,4)</f>
        <v/>
      </c>
      <c r="I1633" s="163" t="e">
        <f>INDEX(CATALOGO[Descripción],MATCH(EJECUTADO[[#This Row],[APLICACIÓN]]&amp;"-00-00-00",CATALOGO[Código],0))</f>
        <v>#N/A</v>
      </c>
      <c r="J163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3" s="161" t="str">
        <f>IF((EJECUTADO[[#This Row],[MONTO DISPONIBLE ]]-EJECUTADO[[#This Row],[MONTO SOLICITADO]])&gt;=0,"PRESUPUESTO: SI","PRESUPUESTO: NO")</f>
        <v>PRESUPUESTO: SI</v>
      </c>
      <c r="L1633" s="162">
        <f>SUMIF(PRESUPUESTO[CUENTA],EJECUTADO[[#This Row],[CUENTA]],PRESUPUESTO[MONTO])-SUMIF($F$1:F1632,EJECUTADO[[#This Row],[CUENTA]],$M$1:M1632)</f>
        <v>0</v>
      </c>
      <c r="M1633" s="2"/>
      <c r="N1633" s="84"/>
      <c r="O1633" s="84"/>
      <c r="P1633" s="162">
        <f>+EJECUTADO[[#This Row],[MONTO SOLICITADO]]-EJECUTADO[[#This Row],[RETENCION IVA]]-EJECUTADO[[#This Row],[RETENCION ISR]]</f>
        <v>0</v>
      </c>
      <c r="Q1633" s="84"/>
      <c r="R1633" s="84"/>
      <c r="T1633" s="168" t="e">
        <f t="shared" si="67"/>
        <v>#N/A</v>
      </c>
    </row>
    <row r="1634" spans="1:20" x14ac:dyDescent="0.25">
      <c r="A1634" s="6">
        <f t="shared" si="68"/>
        <v>1495</v>
      </c>
      <c r="B1634" s="21"/>
      <c r="C1634" s="126"/>
      <c r="E1634" s="65"/>
      <c r="G1634" s="161">
        <f>MONTH(EJECUTADO[[#This Row],[FECHA]])</f>
        <v>1</v>
      </c>
      <c r="H1634" s="163" t="str">
        <f>MID(EJECUTADO[[#This Row],[CUENTA]],1,4)</f>
        <v/>
      </c>
      <c r="I1634" s="163" t="e">
        <f>INDEX(CATALOGO[Descripción],MATCH(EJECUTADO[[#This Row],[APLICACIÓN]]&amp;"-00-00-00",CATALOGO[Código],0))</f>
        <v>#N/A</v>
      </c>
      <c r="J163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4" s="161" t="str">
        <f>IF((EJECUTADO[[#This Row],[MONTO DISPONIBLE ]]-EJECUTADO[[#This Row],[MONTO SOLICITADO]])&gt;=0,"PRESUPUESTO: SI","PRESUPUESTO: NO")</f>
        <v>PRESUPUESTO: SI</v>
      </c>
      <c r="L1634" s="162">
        <f>SUMIF(PRESUPUESTO[CUENTA],EJECUTADO[[#This Row],[CUENTA]],PRESUPUESTO[MONTO])-SUMIF($F$1:F1633,EJECUTADO[[#This Row],[CUENTA]],$M$1:M1633)</f>
        <v>0</v>
      </c>
      <c r="M1634" s="2"/>
      <c r="N1634" s="84"/>
      <c r="O1634" s="84"/>
      <c r="P1634" s="162">
        <f>+EJECUTADO[[#This Row],[MONTO SOLICITADO]]-EJECUTADO[[#This Row],[RETENCION IVA]]-EJECUTADO[[#This Row],[RETENCION ISR]]</f>
        <v>0</v>
      </c>
      <c r="Q1634" s="84"/>
      <c r="R1634" s="84"/>
      <c r="T1634" s="168" t="e">
        <f t="shared" si="67"/>
        <v>#N/A</v>
      </c>
    </row>
    <row r="1635" spans="1:20" x14ac:dyDescent="0.25">
      <c r="A1635" s="6">
        <f t="shared" si="68"/>
        <v>1496</v>
      </c>
      <c r="B1635" s="21"/>
      <c r="C1635" s="126"/>
      <c r="E1635" s="65"/>
      <c r="G1635" s="161">
        <f>MONTH(EJECUTADO[[#This Row],[FECHA]])</f>
        <v>1</v>
      </c>
      <c r="H1635" s="163" t="str">
        <f>MID(EJECUTADO[[#This Row],[CUENTA]],1,4)</f>
        <v/>
      </c>
      <c r="I1635" s="163" t="e">
        <f>INDEX(CATALOGO[Descripción],MATCH(EJECUTADO[[#This Row],[APLICACIÓN]]&amp;"-00-00-00",CATALOGO[Código],0))</f>
        <v>#N/A</v>
      </c>
      <c r="J163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5" s="161" t="str">
        <f>IF((EJECUTADO[[#This Row],[MONTO DISPONIBLE ]]-EJECUTADO[[#This Row],[MONTO SOLICITADO]])&gt;=0,"PRESUPUESTO: SI","PRESUPUESTO: NO")</f>
        <v>PRESUPUESTO: SI</v>
      </c>
      <c r="L1635" s="162">
        <f>SUMIF(PRESUPUESTO[CUENTA],EJECUTADO[[#This Row],[CUENTA]],PRESUPUESTO[MONTO])-SUMIF($F$1:F1634,EJECUTADO[[#This Row],[CUENTA]],$M$1:M1634)</f>
        <v>0</v>
      </c>
      <c r="M1635" s="2"/>
      <c r="N1635" s="84"/>
      <c r="O1635" s="84"/>
      <c r="P1635" s="162">
        <f>+EJECUTADO[[#This Row],[MONTO SOLICITADO]]-EJECUTADO[[#This Row],[RETENCION IVA]]-EJECUTADO[[#This Row],[RETENCION ISR]]</f>
        <v>0</v>
      </c>
      <c r="Q1635" s="84"/>
      <c r="R1635" s="84"/>
      <c r="T1635" s="168" t="e">
        <f t="shared" si="67"/>
        <v>#N/A</v>
      </c>
    </row>
    <row r="1636" spans="1:20" x14ac:dyDescent="0.25">
      <c r="A1636" s="6">
        <f t="shared" si="68"/>
        <v>1497</v>
      </c>
      <c r="B1636" s="21"/>
      <c r="C1636" s="126"/>
      <c r="E1636" s="65"/>
      <c r="G1636" s="161">
        <f>MONTH(EJECUTADO[[#This Row],[FECHA]])</f>
        <v>1</v>
      </c>
      <c r="H1636" s="163" t="str">
        <f>MID(EJECUTADO[[#This Row],[CUENTA]],1,4)</f>
        <v/>
      </c>
      <c r="I1636" s="163" t="e">
        <f>INDEX(CATALOGO[Descripción],MATCH(EJECUTADO[[#This Row],[APLICACIÓN]]&amp;"-00-00-00",CATALOGO[Código],0))</f>
        <v>#N/A</v>
      </c>
      <c r="J163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6" s="161" t="str">
        <f>IF((EJECUTADO[[#This Row],[MONTO DISPONIBLE ]]-EJECUTADO[[#This Row],[MONTO SOLICITADO]])&gt;=0,"PRESUPUESTO: SI","PRESUPUESTO: NO")</f>
        <v>PRESUPUESTO: SI</v>
      </c>
      <c r="L1636" s="162">
        <f>SUMIF(PRESUPUESTO[CUENTA],EJECUTADO[[#This Row],[CUENTA]],PRESUPUESTO[MONTO])-SUMIF($F$1:F1635,EJECUTADO[[#This Row],[CUENTA]],$M$1:M1635)</f>
        <v>0</v>
      </c>
      <c r="M1636" s="2"/>
      <c r="N1636" s="84"/>
      <c r="O1636" s="84"/>
      <c r="P1636" s="162">
        <f>+EJECUTADO[[#This Row],[MONTO SOLICITADO]]-EJECUTADO[[#This Row],[RETENCION IVA]]-EJECUTADO[[#This Row],[RETENCION ISR]]</f>
        <v>0</v>
      </c>
      <c r="Q1636" s="84"/>
      <c r="R1636" s="84"/>
      <c r="T1636" s="168" t="e">
        <f t="shared" si="67"/>
        <v>#N/A</v>
      </c>
    </row>
    <row r="1637" spans="1:20" x14ac:dyDescent="0.25">
      <c r="A1637" s="6">
        <f t="shared" si="68"/>
        <v>1498</v>
      </c>
      <c r="B1637" s="21"/>
      <c r="C1637" s="126"/>
      <c r="E1637" s="65"/>
      <c r="G1637" s="161">
        <f>MONTH(EJECUTADO[[#This Row],[FECHA]])</f>
        <v>1</v>
      </c>
      <c r="H1637" s="163" t="str">
        <f>MID(EJECUTADO[[#This Row],[CUENTA]],1,4)</f>
        <v/>
      </c>
      <c r="I1637" s="163" t="e">
        <f>INDEX(CATALOGO[Descripción],MATCH(EJECUTADO[[#This Row],[APLICACIÓN]]&amp;"-00-00-00",CATALOGO[Código],0))</f>
        <v>#N/A</v>
      </c>
      <c r="J163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7" s="161" t="str">
        <f>IF((EJECUTADO[[#This Row],[MONTO DISPONIBLE ]]-EJECUTADO[[#This Row],[MONTO SOLICITADO]])&gt;=0,"PRESUPUESTO: SI","PRESUPUESTO: NO")</f>
        <v>PRESUPUESTO: SI</v>
      </c>
      <c r="L1637" s="162">
        <f>SUMIF(PRESUPUESTO[CUENTA],EJECUTADO[[#This Row],[CUENTA]],PRESUPUESTO[MONTO])-SUMIF($F$1:F1636,EJECUTADO[[#This Row],[CUENTA]],$M$1:M1636)</f>
        <v>0</v>
      </c>
      <c r="M1637" s="2"/>
      <c r="N1637" s="84"/>
      <c r="O1637" s="84"/>
      <c r="P1637" s="162">
        <f>+EJECUTADO[[#This Row],[MONTO SOLICITADO]]-EJECUTADO[[#This Row],[RETENCION IVA]]-EJECUTADO[[#This Row],[RETENCION ISR]]</f>
        <v>0</v>
      </c>
      <c r="Q1637" s="84"/>
      <c r="R1637" s="84"/>
      <c r="T1637" s="168" t="e">
        <f t="shared" si="67"/>
        <v>#N/A</v>
      </c>
    </row>
    <row r="1638" spans="1:20" x14ac:dyDescent="0.25">
      <c r="A1638" s="6">
        <f t="shared" si="68"/>
        <v>1499</v>
      </c>
      <c r="B1638" s="21"/>
      <c r="C1638" s="126"/>
      <c r="E1638" s="65"/>
      <c r="G1638" s="161">
        <f>MONTH(EJECUTADO[[#This Row],[FECHA]])</f>
        <v>1</v>
      </c>
      <c r="H1638" s="163" t="str">
        <f>MID(EJECUTADO[[#This Row],[CUENTA]],1,4)</f>
        <v/>
      </c>
      <c r="I1638" s="163" t="e">
        <f>INDEX(CATALOGO[Descripción],MATCH(EJECUTADO[[#This Row],[APLICACIÓN]]&amp;"-00-00-00",CATALOGO[Código],0))</f>
        <v>#N/A</v>
      </c>
      <c r="J163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8" s="161" t="str">
        <f>IF((EJECUTADO[[#This Row],[MONTO DISPONIBLE ]]-EJECUTADO[[#This Row],[MONTO SOLICITADO]])&gt;=0,"PRESUPUESTO: SI","PRESUPUESTO: NO")</f>
        <v>PRESUPUESTO: SI</v>
      </c>
      <c r="L1638" s="162">
        <f>SUMIF(PRESUPUESTO[CUENTA],EJECUTADO[[#This Row],[CUENTA]],PRESUPUESTO[MONTO])-SUMIF($F$1:F1637,EJECUTADO[[#This Row],[CUENTA]],$M$1:M1637)</f>
        <v>0</v>
      </c>
      <c r="M1638" s="2"/>
      <c r="N1638" s="84"/>
      <c r="O1638" s="84"/>
      <c r="P1638" s="162">
        <f>+EJECUTADO[[#This Row],[MONTO SOLICITADO]]-EJECUTADO[[#This Row],[RETENCION IVA]]-EJECUTADO[[#This Row],[RETENCION ISR]]</f>
        <v>0</v>
      </c>
      <c r="Q1638" s="84"/>
      <c r="R1638" s="84"/>
      <c r="T1638" s="168" t="e">
        <f t="shared" si="67"/>
        <v>#N/A</v>
      </c>
    </row>
    <row r="1639" spans="1:20" x14ac:dyDescent="0.25">
      <c r="A1639" s="6">
        <f t="shared" si="68"/>
        <v>1500</v>
      </c>
      <c r="B1639" s="21"/>
      <c r="C1639" s="126"/>
      <c r="E1639" s="65"/>
      <c r="G1639" s="161">
        <f>MONTH(EJECUTADO[[#This Row],[FECHA]])</f>
        <v>1</v>
      </c>
      <c r="H1639" s="163" t="str">
        <f>MID(EJECUTADO[[#This Row],[CUENTA]],1,4)</f>
        <v/>
      </c>
      <c r="I1639" s="163" t="e">
        <f>INDEX(CATALOGO[Descripción],MATCH(EJECUTADO[[#This Row],[APLICACIÓN]]&amp;"-00-00-00",CATALOGO[Código],0))</f>
        <v>#N/A</v>
      </c>
      <c r="J163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39" s="161" t="str">
        <f>IF((EJECUTADO[[#This Row],[MONTO DISPONIBLE ]]-EJECUTADO[[#This Row],[MONTO SOLICITADO]])&gt;=0,"PRESUPUESTO: SI","PRESUPUESTO: NO")</f>
        <v>PRESUPUESTO: SI</v>
      </c>
      <c r="L1639" s="162">
        <f>SUMIF(PRESUPUESTO[CUENTA],EJECUTADO[[#This Row],[CUENTA]],PRESUPUESTO[MONTO])-SUMIF($F$1:F1638,EJECUTADO[[#This Row],[CUENTA]],$M$1:M1638)</f>
        <v>0</v>
      </c>
      <c r="M1639" s="2"/>
      <c r="N1639" s="84"/>
      <c r="O1639" s="84"/>
      <c r="P1639" s="162">
        <f>+EJECUTADO[[#This Row],[MONTO SOLICITADO]]-EJECUTADO[[#This Row],[RETENCION IVA]]-EJECUTADO[[#This Row],[RETENCION ISR]]</f>
        <v>0</v>
      </c>
      <c r="Q1639" s="84"/>
      <c r="R1639" s="84"/>
      <c r="T1639" s="168" t="e">
        <f t="shared" si="67"/>
        <v>#N/A</v>
      </c>
    </row>
    <row r="1640" spans="1:20" x14ac:dyDescent="0.25">
      <c r="A1640" s="6">
        <f t="shared" si="68"/>
        <v>1501</v>
      </c>
      <c r="B1640" s="21"/>
      <c r="C1640" s="126"/>
      <c r="E1640" s="65"/>
      <c r="G1640" s="161">
        <f>MONTH(EJECUTADO[[#This Row],[FECHA]])</f>
        <v>1</v>
      </c>
      <c r="H1640" s="163" t="str">
        <f>MID(EJECUTADO[[#This Row],[CUENTA]],1,4)</f>
        <v/>
      </c>
      <c r="I1640" s="163" t="e">
        <f>INDEX(CATALOGO[Descripción],MATCH(EJECUTADO[[#This Row],[APLICACIÓN]]&amp;"-00-00-00",CATALOGO[Código],0))</f>
        <v>#N/A</v>
      </c>
      <c r="J164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0" s="161" t="str">
        <f>IF((EJECUTADO[[#This Row],[MONTO DISPONIBLE ]]-EJECUTADO[[#This Row],[MONTO SOLICITADO]])&gt;=0,"PRESUPUESTO: SI","PRESUPUESTO: NO")</f>
        <v>PRESUPUESTO: SI</v>
      </c>
      <c r="L1640" s="162">
        <f>SUMIF(PRESUPUESTO[CUENTA],EJECUTADO[[#This Row],[CUENTA]],PRESUPUESTO[MONTO])-SUMIF($F$1:F1639,EJECUTADO[[#This Row],[CUENTA]],$M$1:M1639)</f>
        <v>0</v>
      </c>
      <c r="M1640" s="2"/>
      <c r="N1640" s="84"/>
      <c r="O1640" s="84"/>
      <c r="P1640" s="162">
        <f>+EJECUTADO[[#This Row],[MONTO SOLICITADO]]-EJECUTADO[[#This Row],[RETENCION IVA]]-EJECUTADO[[#This Row],[RETENCION ISR]]</f>
        <v>0</v>
      </c>
      <c r="Q1640" s="84"/>
      <c r="R1640" s="84"/>
      <c r="T1640" s="168" t="e">
        <f t="shared" si="67"/>
        <v>#N/A</v>
      </c>
    </row>
    <row r="1641" spans="1:20" x14ac:dyDescent="0.25">
      <c r="A1641" s="6">
        <f t="shared" si="68"/>
        <v>1502</v>
      </c>
      <c r="B1641" s="21"/>
      <c r="C1641" s="126"/>
      <c r="E1641" s="65"/>
      <c r="G1641" s="161">
        <f>MONTH(EJECUTADO[[#This Row],[FECHA]])</f>
        <v>1</v>
      </c>
      <c r="H1641" s="163" t="str">
        <f>MID(EJECUTADO[[#This Row],[CUENTA]],1,4)</f>
        <v/>
      </c>
      <c r="I1641" s="163" t="e">
        <f>INDEX(CATALOGO[Descripción],MATCH(EJECUTADO[[#This Row],[APLICACIÓN]]&amp;"-00-00-00",CATALOGO[Código],0))</f>
        <v>#N/A</v>
      </c>
      <c r="J164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1" s="161" t="str">
        <f>IF((EJECUTADO[[#This Row],[MONTO DISPONIBLE ]]-EJECUTADO[[#This Row],[MONTO SOLICITADO]])&gt;=0,"PRESUPUESTO: SI","PRESUPUESTO: NO")</f>
        <v>PRESUPUESTO: SI</v>
      </c>
      <c r="L1641" s="162">
        <f>SUMIF(PRESUPUESTO[CUENTA],EJECUTADO[[#This Row],[CUENTA]],PRESUPUESTO[MONTO])-SUMIF($F$1:F1640,EJECUTADO[[#This Row],[CUENTA]],$M$1:M1640)</f>
        <v>0</v>
      </c>
      <c r="M1641" s="2"/>
      <c r="N1641" s="84"/>
      <c r="O1641" s="84"/>
      <c r="P1641" s="162">
        <f>+EJECUTADO[[#This Row],[MONTO SOLICITADO]]-EJECUTADO[[#This Row],[RETENCION IVA]]-EJECUTADO[[#This Row],[RETENCION ISR]]</f>
        <v>0</v>
      </c>
      <c r="Q1641" s="84"/>
      <c r="R1641" s="84"/>
      <c r="T1641" s="168" t="e">
        <f t="shared" si="67"/>
        <v>#N/A</v>
      </c>
    </row>
    <row r="1642" spans="1:20" x14ac:dyDescent="0.25">
      <c r="A1642" s="6">
        <f t="shared" si="68"/>
        <v>1503</v>
      </c>
      <c r="B1642" s="21"/>
      <c r="C1642" s="126"/>
      <c r="E1642" s="65"/>
      <c r="G1642" s="161">
        <f>MONTH(EJECUTADO[[#This Row],[FECHA]])</f>
        <v>1</v>
      </c>
      <c r="H1642" s="163" t="str">
        <f>MID(EJECUTADO[[#This Row],[CUENTA]],1,4)</f>
        <v/>
      </c>
      <c r="I1642" s="163" t="e">
        <f>INDEX(CATALOGO[Descripción],MATCH(EJECUTADO[[#This Row],[APLICACIÓN]]&amp;"-00-00-00",CATALOGO[Código],0))</f>
        <v>#N/A</v>
      </c>
      <c r="J164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2" s="161" t="str">
        <f>IF((EJECUTADO[[#This Row],[MONTO DISPONIBLE ]]-EJECUTADO[[#This Row],[MONTO SOLICITADO]])&gt;=0,"PRESUPUESTO: SI","PRESUPUESTO: NO")</f>
        <v>PRESUPUESTO: SI</v>
      </c>
      <c r="L1642" s="162">
        <f>SUMIF(PRESUPUESTO[CUENTA],EJECUTADO[[#This Row],[CUENTA]],PRESUPUESTO[MONTO])-SUMIF($F$1:F1641,EJECUTADO[[#This Row],[CUENTA]],$M$1:M1641)</f>
        <v>0</v>
      </c>
      <c r="M1642" s="2"/>
      <c r="N1642" s="84"/>
      <c r="O1642" s="84"/>
      <c r="P1642" s="162">
        <f>+EJECUTADO[[#This Row],[MONTO SOLICITADO]]-EJECUTADO[[#This Row],[RETENCION IVA]]-EJECUTADO[[#This Row],[RETENCION ISR]]</f>
        <v>0</v>
      </c>
      <c r="Q1642" s="84"/>
      <c r="R1642" s="84"/>
      <c r="T1642" s="168" t="e">
        <f t="shared" si="67"/>
        <v>#N/A</v>
      </c>
    </row>
    <row r="1643" spans="1:20" x14ac:dyDescent="0.25">
      <c r="A1643" s="6">
        <f t="shared" si="68"/>
        <v>1504</v>
      </c>
      <c r="B1643" s="21"/>
      <c r="C1643" s="126"/>
      <c r="E1643" s="65"/>
      <c r="G1643" s="161">
        <f>MONTH(EJECUTADO[[#This Row],[FECHA]])</f>
        <v>1</v>
      </c>
      <c r="H1643" s="163" t="str">
        <f>MID(EJECUTADO[[#This Row],[CUENTA]],1,4)</f>
        <v/>
      </c>
      <c r="I1643" s="163" t="e">
        <f>INDEX(CATALOGO[Descripción],MATCH(EJECUTADO[[#This Row],[APLICACIÓN]]&amp;"-00-00-00",CATALOGO[Código],0))</f>
        <v>#N/A</v>
      </c>
      <c r="J164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3" s="161" t="str">
        <f>IF((EJECUTADO[[#This Row],[MONTO DISPONIBLE ]]-EJECUTADO[[#This Row],[MONTO SOLICITADO]])&gt;=0,"PRESUPUESTO: SI","PRESUPUESTO: NO")</f>
        <v>PRESUPUESTO: SI</v>
      </c>
      <c r="L1643" s="162">
        <f>SUMIF(PRESUPUESTO[CUENTA],EJECUTADO[[#This Row],[CUENTA]],PRESUPUESTO[MONTO])-SUMIF($F$1:F1642,EJECUTADO[[#This Row],[CUENTA]],$M$1:M1642)</f>
        <v>0</v>
      </c>
      <c r="M1643" s="2"/>
      <c r="N1643" s="84"/>
      <c r="O1643" s="84"/>
      <c r="P1643" s="162">
        <f>+EJECUTADO[[#This Row],[MONTO SOLICITADO]]-EJECUTADO[[#This Row],[RETENCION IVA]]-EJECUTADO[[#This Row],[RETENCION ISR]]</f>
        <v>0</v>
      </c>
      <c r="Q1643" s="84"/>
      <c r="R1643" s="84"/>
      <c r="T1643" s="168" t="e">
        <f t="shared" si="67"/>
        <v>#N/A</v>
      </c>
    </row>
    <row r="1644" spans="1:20" x14ac:dyDescent="0.25">
      <c r="A1644" s="6">
        <f t="shared" si="68"/>
        <v>1505</v>
      </c>
      <c r="B1644" s="21"/>
      <c r="C1644" s="126"/>
      <c r="E1644" s="65"/>
      <c r="G1644" s="161">
        <f>MONTH(EJECUTADO[[#This Row],[FECHA]])</f>
        <v>1</v>
      </c>
      <c r="H1644" s="163" t="str">
        <f>MID(EJECUTADO[[#This Row],[CUENTA]],1,4)</f>
        <v/>
      </c>
      <c r="I1644" s="163" t="e">
        <f>INDEX(CATALOGO[Descripción],MATCH(EJECUTADO[[#This Row],[APLICACIÓN]]&amp;"-00-00-00",CATALOGO[Código],0))</f>
        <v>#N/A</v>
      </c>
      <c r="J164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4" s="161" t="str">
        <f>IF((EJECUTADO[[#This Row],[MONTO DISPONIBLE ]]-EJECUTADO[[#This Row],[MONTO SOLICITADO]])&gt;=0,"PRESUPUESTO: SI","PRESUPUESTO: NO")</f>
        <v>PRESUPUESTO: SI</v>
      </c>
      <c r="L1644" s="162">
        <f>SUMIF(PRESUPUESTO[CUENTA],EJECUTADO[[#This Row],[CUENTA]],PRESUPUESTO[MONTO])-SUMIF($F$1:F1643,EJECUTADO[[#This Row],[CUENTA]],$M$1:M1643)</f>
        <v>0</v>
      </c>
      <c r="M1644" s="2"/>
      <c r="N1644" s="84"/>
      <c r="O1644" s="84"/>
      <c r="P1644" s="162">
        <f>+EJECUTADO[[#This Row],[MONTO SOLICITADO]]-EJECUTADO[[#This Row],[RETENCION IVA]]-EJECUTADO[[#This Row],[RETENCION ISR]]</f>
        <v>0</v>
      </c>
      <c r="Q1644" s="84"/>
      <c r="R1644" s="84"/>
      <c r="T1644" s="168" t="e">
        <f t="shared" si="67"/>
        <v>#N/A</v>
      </c>
    </row>
    <row r="1645" spans="1:20" x14ac:dyDescent="0.25">
      <c r="A1645" s="6">
        <f t="shared" si="68"/>
        <v>1506</v>
      </c>
      <c r="B1645" s="21"/>
      <c r="C1645" s="126"/>
      <c r="E1645" s="65"/>
      <c r="G1645" s="161">
        <f>MONTH(EJECUTADO[[#This Row],[FECHA]])</f>
        <v>1</v>
      </c>
      <c r="H1645" s="163" t="str">
        <f>MID(EJECUTADO[[#This Row],[CUENTA]],1,4)</f>
        <v/>
      </c>
      <c r="I1645" s="163" t="e">
        <f>INDEX(CATALOGO[Descripción],MATCH(EJECUTADO[[#This Row],[APLICACIÓN]]&amp;"-00-00-00",CATALOGO[Código],0))</f>
        <v>#N/A</v>
      </c>
      <c r="J164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5" s="161" t="str">
        <f>IF((EJECUTADO[[#This Row],[MONTO DISPONIBLE ]]-EJECUTADO[[#This Row],[MONTO SOLICITADO]])&gt;=0,"PRESUPUESTO: SI","PRESUPUESTO: NO")</f>
        <v>PRESUPUESTO: SI</v>
      </c>
      <c r="L1645" s="162">
        <f>SUMIF(PRESUPUESTO[CUENTA],EJECUTADO[[#This Row],[CUENTA]],PRESUPUESTO[MONTO])-SUMIF($F$1:F1644,EJECUTADO[[#This Row],[CUENTA]],$M$1:M1644)</f>
        <v>0</v>
      </c>
      <c r="M1645" s="2"/>
      <c r="N1645" s="84"/>
      <c r="O1645" s="84"/>
      <c r="P1645" s="162">
        <f>+EJECUTADO[[#This Row],[MONTO SOLICITADO]]-EJECUTADO[[#This Row],[RETENCION IVA]]-EJECUTADO[[#This Row],[RETENCION ISR]]</f>
        <v>0</v>
      </c>
      <c r="Q1645" s="84"/>
      <c r="R1645" s="84"/>
      <c r="T1645" s="168" t="e">
        <f t="shared" si="67"/>
        <v>#N/A</v>
      </c>
    </row>
    <row r="1646" spans="1:20" x14ac:dyDescent="0.25">
      <c r="A1646" s="6">
        <f t="shared" si="68"/>
        <v>1507</v>
      </c>
      <c r="B1646" s="21"/>
      <c r="C1646" s="126"/>
      <c r="E1646" s="65"/>
      <c r="G1646" s="161">
        <f>MONTH(EJECUTADO[[#This Row],[FECHA]])</f>
        <v>1</v>
      </c>
      <c r="H1646" s="163" t="str">
        <f>MID(EJECUTADO[[#This Row],[CUENTA]],1,4)</f>
        <v/>
      </c>
      <c r="I1646" s="163" t="e">
        <f>INDEX(CATALOGO[Descripción],MATCH(EJECUTADO[[#This Row],[APLICACIÓN]]&amp;"-00-00-00",CATALOGO[Código],0))</f>
        <v>#N/A</v>
      </c>
      <c r="J164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6" s="161" t="str">
        <f>IF((EJECUTADO[[#This Row],[MONTO DISPONIBLE ]]-EJECUTADO[[#This Row],[MONTO SOLICITADO]])&gt;=0,"PRESUPUESTO: SI","PRESUPUESTO: NO")</f>
        <v>PRESUPUESTO: SI</v>
      </c>
      <c r="L1646" s="162">
        <f>SUMIF(PRESUPUESTO[CUENTA],EJECUTADO[[#This Row],[CUENTA]],PRESUPUESTO[MONTO])-SUMIF($F$1:F1645,EJECUTADO[[#This Row],[CUENTA]],$M$1:M1645)</f>
        <v>0</v>
      </c>
      <c r="M1646" s="2"/>
      <c r="N1646" s="84"/>
      <c r="O1646" s="84"/>
      <c r="P1646" s="162">
        <f>+EJECUTADO[[#This Row],[MONTO SOLICITADO]]-EJECUTADO[[#This Row],[RETENCION IVA]]-EJECUTADO[[#This Row],[RETENCION ISR]]</f>
        <v>0</v>
      </c>
      <c r="Q1646" s="84"/>
      <c r="R1646" s="84"/>
      <c r="T1646" s="168" t="e">
        <f t="shared" si="67"/>
        <v>#N/A</v>
      </c>
    </row>
    <row r="1647" spans="1:20" x14ac:dyDescent="0.25">
      <c r="A1647" s="6">
        <f t="shared" si="68"/>
        <v>1508</v>
      </c>
      <c r="B1647" s="21"/>
      <c r="C1647" s="126"/>
      <c r="E1647" s="65"/>
      <c r="G1647" s="161">
        <f>MONTH(EJECUTADO[[#This Row],[FECHA]])</f>
        <v>1</v>
      </c>
      <c r="H1647" s="163" t="str">
        <f>MID(EJECUTADO[[#This Row],[CUENTA]],1,4)</f>
        <v/>
      </c>
      <c r="I1647" s="163" t="e">
        <f>INDEX(CATALOGO[Descripción],MATCH(EJECUTADO[[#This Row],[APLICACIÓN]]&amp;"-00-00-00",CATALOGO[Código],0))</f>
        <v>#N/A</v>
      </c>
      <c r="J164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7" s="161" t="str">
        <f>IF((EJECUTADO[[#This Row],[MONTO DISPONIBLE ]]-EJECUTADO[[#This Row],[MONTO SOLICITADO]])&gt;=0,"PRESUPUESTO: SI","PRESUPUESTO: NO")</f>
        <v>PRESUPUESTO: SI</v>
      </c>
      <c r="L1647" s="162">
        <f>SUMIF(PRESUPUESTO[CUENTA],EJECUTADO[[#This Row],[CUENTA]],PRESUPUESTO[MONTO])-SUMIF($F$1:F1646,EJECUTADO[[#This Row],[CUENTA]],$M$1:M1646)</f>
        <v>0</v>
      </c>
      <c r="M1647" s="2"/>
      <c r="N1647" s="84"/>
      <c r="O1647" s="84"/>
      <c r="P1647" s="162">
        <f>+EJECUTADO[[#This Row],[MONTO SOLICITADO]]-EJECUTADO[[#This Row],[RETENCION IVA]]-EJECUTADO[[#This Row],[RETENCION ISR]]</f>
        <v>0</v>
      </c>
      <c r="Q1647" s="84"/>
      <c r="R1647" s="84"/>
      <c r="T1647" s="168" t="e">
        <f t="shared" si="67"/>
        <v>#N/A</v>
      </c>
    </row>
    <row r="1648" spans="1:20" x14ac:dyDescent="0.25">
      <c r="A1648" s="6">
        <f t="shared" si="68"/>
        <v>1509</v>
      </c>
      <c r="B1648" s="21"/>
      <c r="C1648" s="126"/>
      <c r="E1648" s="65"/>
      <c r="G1648" s="161">
        <f>MONTH(EJECUTADO[[#This Row],[FECHA]])</f>
        <v>1</v>
      </c>
      <c r="H1648" s="163" t="str">
        <f>MID(EJECUTADO[[#This Row],[CUENTA]],1,4)</f>
        <v/>
      </c>
      <c r="I1648" s="163" t="e">
        <f>INDEX(CATALOGO[Descripción],MATCH(EJECUTADO[[#This Row],[APLICACIÓN]]&amp;"-00-00-00",CATALOGO[Código],0))</f>
        <v>#N/A</v>
      </c>
      <c r="J164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8" s="161" t="str">
        <f>IF((EJECUTADO[[#This Row],[MONTO DISPONIBLE ]]-EJECUTADO[[#This Row],[MONTO SOLICITADO]])&gt;=0,"PRESUPUESTO: SI","PRESUPUESTO: NO")</f>
        <v>PRESUPUESTO: SI</v>
      </c>
      <c r="L1648" s="162">
        <f>SUMIF(PRESUPUESTO[CUENTA],EJECUTADO[[#This Row],[CUENTA]],PRESUPUESTO[MONTO])-SUMIF($F$1:F1647,EJECUTADO[[#This Row],[CUENTA]],$M$1:M1647)</f>
        <v>0</v>
      </c>
      <c r="M1648" s="2"/>
      <c r="N1648" s="84"/>
      <c r="O1648" s="84"/>
      <c r="P1648" s="162">
        <f>+EJECUTADO[[#This Row],[MONTO SOLICITADO]]-EJECUTADO[[#This Row],[RETENCION IVA]]-EJECUTADO[[#This Row],[RETENCION ISR]]</f>
        <v>0</v>
      </c>
      <c r="Q1648" s="84"/>
      <c r="R1648" s="84"/>
      <c r="T1648" s="168" t="e">
        <f t="shared" si="67"/>
        <v>#N/A</v>
      </c>
    </row>
    <row r="1649" spans="1:20" x14ac:dyDescent="0.25">
      <c r="A1649" s="6">
        <f t="shared" si="68"/>
        <v>1510</v>
      </c>
      <c r="B1649" s="21"/>
      <c r="C1649" s="126"/>
      <c r="E1649" s="65"/>
      <c r="G1649" s="161">
        <f>MONTH(EJECUTADO[[#This Row],[FECHA]])</f>
        <v>1</v>
      </c>
      <c r="H1649" s="163" t="str">
        <f>MID(EJECUTADO[[#This Row],[CUENTA]],1,4)</f>
        <v/>
      </c>
      <c r="I1649" s="163" t="e">
        <f>INDEX(CATALOGO[Descripción],MATCH(EJECUTADO[[#This Row],[APLICACIÓN]]&amp;"-00-00-00",CATALOGO[Código],0))</f>
        <v>#N/A</v>
      </c>
      <c r="J164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49" s="161" t="str">
        <f>IF((EJECUTADO[[#This Row],[MONTO DISPONIBLE ]]-EJECUTADO[[#This Row],[MONTO SOLICITADO]])&gt;=0,"PRESUPUESTO: SI","PRESUPUESTO: NO")</f>
        <v>PRESUPUESTO: SI</v>
      </c>
      <c r="L1649" s="162">
        <f>SUMIF(PRESUPUESTO[CUENTA],EJECUTADO[[#This Row],[CUENTA]],PRESUPUESTO[MONTO])-SUMIF($F$1:F1648,EJECUTADO[[#This Row],[CUENTA]],$M$1:M1648)</f>
        <v>0</v>
      </c>
      <c r="M1649" s="2"/>
      <c r="N1649" s="84"/>
      <c r="O1649" s="84"/>
      <c r="P1649" s="162">
        <f>+EJECUTADO[[#This Row],[MONTO SOLICITADO]]-EJECUTADO[[#This Row],[RETENCION IVA]]-EJECUTADO[[#This Row],[RETENCION ISR]]</f>
        <v>0</v>
      </c>
      <c r="Q1649" s="84"/>
      <c r="R1649" s="84"/>
      <c r="T1649" s="168" t="e">
        <f t="shared" si="67"/>
        <v>#N/A</v>
      </c>
    </row>
    <row r="1650" spans="1:20" x14ac:dyDescent="0.25">
      <c r="A1650" s="6">
        <f t="shared" si="68"/>
        <v>1511</v>
      </c>
      <c r="B1650" s="21"/>
      <c r="C1650" s="126"/>
      <c r="E1650" s="65"/>
      <c r="G1650" s="161">
        <f>MONTH(EJECUTADO[[#This Row],[FECHA]])</f>
        <v>1</v>
      </c>
      <c r="H1650" s="163" t="str">
        <f>MID(EJECUTADO[[#This Row],[CUENTA]],1,4)</f>
        <v/>
      </c>
      <c r="I1650" s="163" t="e">
        <f>INDEX(CATALOGO[Descripción],MATCH(EJECUTADO[[#This Row],[APLICACIÓN]]&amp;"-00-00-00",CATALOGO[Código],0))</f>
        <v>#N/A</v>
      </c>
      <c r="J165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0" s="161" t="str">
        <f>IF((EJECUTADO[[#This Row],[MONTO DISPONIBLE ]]-EJECUTADO[[#This Row],[MONTO SOLICITADO]])&gt;=0,"PRESUPUESTO: SI","PRESUPUESTO: NO")</f>
        <v>PRESUPUESTO: SI</v>
      </c>
      <c r="L1650" s="162">
        <f>SUMIF(PRESUPUESTO[CUENTA],EJECUTADO[[#This Row],[CUENTA]],PRESUPUESTO[MONTO])-SUMIF($F$1:F1649,EJECUTADO[[#This Row],[CUENTA]],$M$1:M1649)</f>
        <v>0</v>
      </c>
      <c r="M1650" s="2"/>
      <c r="N1650" s="84"/>
      <c r="O1650" s="84"/>
      <c r="P1650" s="162">
        <f>+EJECUTADO[[#This Row],[MONTO SOLICITADO]]-EJECUTADO[[#This Row],[RETENCION IVA]]-EJECUTADO[[#This Row],[RETENCION ISR]]</f>
        <v>0</v>
      </c>
      <c r="Q1650" s="84"/>
      <c r="R1650" s="84"/>
      <c r="T1650" s="168" t="e">
        <f t="shared" si="67"/>
        <v>#N/A</v>
      </c>
    </row>
    <row r="1651" spans="1:20" x14ac:dyDescent="0.25">
      <c r="A1651" s="6">
        <f t="shared" si="68"/>
        <v>1512</v>
      </c>
      <c r="B1651" s="21"/>
      <c r="C1651" s="126"/>
      <c r="E1651" s="65"/>
      <c r="G1651" s="161">
        <f>MONTH(EJECUTADO[[#This Row],[FECHA]])</f>
        <v>1</v>
      </c>
      <c r="H1651" s="163" t="str">
        <f>MID(EJECUTADO[[#This Row],[CUENTA]],1,4)</f>
        <v/>
      </c>
      <c r="I1651" s="163" t="e">
        <f>INDEX(CATALOGO[Descripción],MATCH(EJECUTADO[[#This Row],[APLICACIÓN]]&amp;"-00-00-00",CATALOGO[Código],0))</f>
        <v>#N/A</v>
      </c>
      <c r="J165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1" s="161" t="str">
        <f>IF((EJECUTADO[[#This Row],[MONTO DISPONIBLE ]]-EJECUTADO[[#This Row],[MONTO SOLICITADO]])&gt;=0,"PRESUPUESTO: SI","PRESUPUESTO: NO")</f>
        <v>PRESUPUESTO: SI</v>
      </c>
      <c r="L1651" s="162">
        <f>SUMIF(PRESUPUESTO[CUENTA],EJECUTADO[[#This Row],[CUENTA]],PRESUPUESTO[MONTO])-SUMIF($F$1:F1650,EJECUTADO[[#This Row],[CUENTA]],$M$1:M1650)</f>
        <v>0</v>
      </c>
      <c r="M1651" s="2"/>
      <c r="N1651" s="84"/>
      <c r="O1651" s="84"/>
      <c r="P1651" s="162">
        <f>+EJECUTADO[[#This Row],[MONTO SOLICITADO]]-EJECUTADO[[#This Row],[RETENCION IVA]]-EJECUTADO[[#This Row],[RETENCION ISR]]</f>
        <v>0</v>
      </c>
      <c r="Q1651" s="84"/>
      <c r="R1651" s="84"/>
      <c r="T1651" s="168" t="e">
        <f t="shared" si="67"/>
        <v>#N/A</v>
      </c>
    </row>
    <row r="1652" spans="1:20" x14ac:dyDescent="0.25">
      <c r="A1652" s="6">
        <f t="shared" si="68"/>
        <v>1513</v>
      </c>
      <c r="B1652" s="21"/>
      <c r="C1652" s="126"/>
      <c r="E1652" s="65"/>
      <c r="G1652" s="161">
        <f>MONTH(EJECUTADO[[#This Row],[FECHA]])</f>
        <v>1</v>
      </c>
      <c r="H1652" s="163" t="str">
        <f>MID(EJECUTADO[[#This Row],[CUENTA]],1,4)</f>
        <v/>
      </c>
      <c r="I1652" s="163" t="e">
        <f>INDEX(CATALOGO[Descripción],MATCH(EJECUTADO[[#This Row],[APLICACIÓN]]&amp;"-00-00-00",CATALOGO[Código],0))</f>
        <v>#N/A</v>
      </c>
      <c r="J165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2" s="161" t="str">
        <f>IF((EJECUTADO[[#This Row],[MONTO DISPONIBLE ]]-EJECUTADO[[#This Row],[MONTO SOLICITADO]])&gt;=0,"PRESUPUESTO: SI","PRESUPUESTO: NO")</f>
        <v>PRESUPUESTO: SI</v>
      </c>
      <c r="L1652" s="162">
        <f>SUMIF(PRESUPUESTO[CUENTA],EJECUTADO[[#This Row],[CUENTA]],PRESUPUESTO[MONTO])-SUMIF($F$1:F1651,EJECUTADO[[#This Row],[CUENTA]],$M$1:M1651)</f>
        <v>0</v>
      </c>
      <c r="M1652" s="2"/>
      <c r="N1652" s="84"/>
      <c r="O1652" s="84"/>
      <c r="P1652" s="162">
        <f>+EJECUTADO[[#This Row],[MONTO SOLICITADO]]-EJECUTADO[[#This Row],[RETENCION IVA]]-EJECUTADO[[#This Row],[RETENCION ISR]]</f>
        <v>0</v>
      </c>
      <c r="Q1652" s="84"/>
      <c r="R1652" s="84"/>
      <c r="T1652" s="168" t="e">
        <f t="shared" si="67"/>
        <v>#N/A</v>
      </c>
    </row>
    <row r="1653" spans="1:20" x14ac:dyDescent="0.25">
      <c r="A1653" s="6">
        <f t="shared" si="68"/>
        <v>1514</v>
      </c>
      <c r="B1653" s="21"/>
      <c r="C1653" s="126"/>
      <c r="E1653" s="65"/>
      <c r="G1653" s="161">
        <f>MONTH(EJECUTADO[[#This Row],[FECHA]])</f>
        <v>1</v>
      </c>
      <c r="H1653" s="163" t="str">
        <f>MID(EJECUTADO[[#This Row],[CUENTA]],1,4)</f>
        <v/>
      </c>
      <c r="I1653" s="163" t="e">
        <f>INDEX(CATALOGO[Descripción],MATCH(EJECUTADO[[#This Row],[APLICACIÓN]]&amp;"-00-00-00",CATALOGO[Código],0))</f>
        <v>#N/A</v>
      </c>
      <c r="J165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3" s="161" t="str">
        <f>IF((EJECUTADO[[#This Row],[MONTO DISPONIBLE ]]-EJECUTADO[[#This Row],[MONTO SOLICITADO]])&gt;=0,"PRESUPUESTO: SI","PRESUPUESTO: NO")</f>
        <v>PRESUPUESTO: SI</v>
      </c>
      <c r="L1653" s="162">
        <f>SUMIF(PRESUPUESTO[CUENTA],EJECUTADO[[#This Row],[CUENTA]],PRESUPUESTO[MONTO])-SUMIF($F$1:F1652,EJECUTADO[[#This Row],[CUENTA]],$M$1:M1652)</f>
        <v>0</v>
      </c>
      <c r="M1653" s="2"/>
      <c r="N1653" s="84"/>
      <c r="O1653" s="84"/>
      <c r="P1653" s="162">
        <f>+EJECUTADO[[#This Row],[MONTO SOLICITADO]]-EJECUTADO[[#This Row],[RETENCION IVA]]-EJECUTADO[[#This Row],[RETENCION ISR]]</f>
        <v>0</v>
      </c>
      <c r="Q1653" s="84"/>
      <c r="R1653" s="84"/>
      <c r="T1653" s="168" t="e">
        <f t="shared" si="67"/>
        <v>#N/A</v>
      </c>
    </row>
    <row r="1654" spans="1:20" x14ac:dyDescent="0.25">
      <c r="A1654" s="6">
        <f t="shared" si="68"/>
        <v>1515</v>
      </c>
      <c r="B1654" s="21"/>
      <c r="C1654" s="126"/>
      <c r="E1654" s="65"/>
      <c r="G1654" s="161">
        <f>MONTH(EJECUTADO[[#This Row],[FECHA]])</f>
        <v>1</v>
      </c>
      <c r="H1654" s="163" t="str">
        <f>MID(EJECUTADO[[#This Row],[CUENTA]],1,4)</f>
        <v/>
      </c>
      <c r="I1654" s="163" t="e">
        <f>INDEX(CATALOGO[Descripción],MATCH(EJECUTADO[[#This Row],[APLICACIÓN]]&amp;"-00-00-00",CATALOGO[Código],0))</f>
        <v>#N/A</v>
      </c>
      <c r="J165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4" s="161" t="str">
        <f>IF((EJECUTADO[[#This Row],[MONTO DISPONIBLE ]]-EJECUTADO[[#This Row],[MONTO SOLICITADO]])&gt;=0,"PRESUPUESTO: SI","PRESUPUESTO: NO")</f>
        <v>PRESUPUESTO: SI</v>
      </c>
      <c r="L1654" s="162">
        <f>SUMIF(PRESUPUESTO[CUENTA],EJECUTADO[[#This Row],[CUENTA]],PRESUPUESTO[MONTO])-SUMIF($F$1:F1653,EJECUTADO[[#This Row],[CUENTA]],$M$1:M1653)</f>
        <v>0</v>
      </c>
      <c r="M1654" s="2"/>
      <c r="N1654" s="84"/>
      <c r="O1654" s="84"/>
      <c r="P1654" s="162">
        <f>+EJECUTADO[[#This Row],[MONTO SOLICITADO]]-EJECUTADO[[#This Row],[RETENCION IVA]]-EJECUTADO[[#This Row],[RETENCION ISR]]</f>
        <v>0</v>
      </c>
      <c r="Q1654" s="84"/>
      <c r="R1654" s="84"/>
      <c r="T1654" s="168" t="e">
        <f t="shared" si="67"/>
        <v>#N/A</v>
      </c>
    </row>
    <row r="1655" spans="1:20" x14ac:dyDescent="0.25">
      <c r="A1655" s="6">
        <f t="shared" si="68"/>
        <v>1516</v>
      </c>
      <c r="B1655" s="21"/>
      <c r="C1655" s="126"/>
      <c r="E1655" s="65"/>
      <c r="G1655" s="161">
        <f>MONTH(EJECUTADO[[#This Row],[FECHA]])</f>
        <v>1</v>
      </c>
      <c r="H1655" s="163" t="str">
        <f>MID(EJECUTADO[[#This Row],[CUENTA]],1,4)</f>
        <v/>
      </c>
      <c r="I1655" s="163" t="e">
        <f>INDEX(CATALOGO[Descripción],MATCH(EJECUTADO[[#This Row],[APLICACIÓN]]&amp;"-00-00-00",CATALOGO[Código],0))</f>
        <v>#N/A</v>
      </c>
      <c r="J165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5" s="161" t="str">
        <f>IF((EJECUTADO[[#This Row],[MONTO DISPONIBLE ]]-EJECUTADO[[#This Row],[MONTO SOLICITADO]])&gt;=0,"PRESUPUESTO: SI","PRESUPUESTO: NO")</f>
        <v>PRESUPUESTO: SI</v>
      </c>
      <c r="L1655" s="162">
        <f>SUMIF(PRESUPUESTO[CUENTA],EJECUTADO[[#This Row],[CUENTA]],PRESUPUESTO[MONTO])-SUMIF($F$1:F1654,EJECUTADO[[#This Row],[CUENTA]],$M$1:M1654)</f>
        <v>0</v>
      </c>
      <c r="M1655" s="2"/>
      <c r="N1655" s="84"/>
      <c r="O1655" s="84"/>
      <c r="P1655" s="162">
        <f>+EJECUTADO[[#This Row],[MONTO SOLICITADO]]-EJECUTADO[[#This Row],[RETENCION IVA]]-EJECUTADO[[#This Row],[RETENCION ISR]]</f>
        <v>0</v>
      </c>
      <c r="Q1655" s="84"/>
      <c r="R1655" s="84"/>
      <c r="T1655" s="168" t="e">
        <f t="shared" si="67"/>
        <v>#N/A</v>
      </c>
    </row>
    <row r="1656" spans="1:20" x14ac:dyDescent="0.25">
      <c r="A1656" s="6">
        <f t="shared" si="68"/>
        <v>1517</v>
      </c>
      <c r="B1656" s="21"/>
      <c r="C1656" s="126"/>
      <c r="E1656" s="65"/>
      <c r="G1656" s="161">
        <f>MONTH(EJECUTADO[[#This Row],[FECHA]])</f>
        <v>1</v>
      </c>
      <c r="H1656" s="163" t="str">
        <f>MID(EJECUTADO[[#This Row],[CUENTA]],1,4)</f>
        <v/>
      </c>
      <c r="I1656" s="163" t="e">
        <f>INDEX(CATALOGO[Descripción],MATCH(EJECUTADO[[#This Row],[APLICACIÓN]]&amp;"-00-00-00",CATALOGO[Código],0))</f>
        <v>#N/A</v>
      </c>
      <c r="J165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6" s="161" t="str">
        <f>IF((EJECUTADO[[#This Row],[MONTO DISPONIBLE ]]-EJECUTADO[[#This Row],[MONTO SOLICITADO]])&gt;=0,"PRESUPUESTO: SI","PRESUPUESTO: NO")</f>
        <v>PRESUPUESTO: SI</v>
      </c>
      <c r="L1656" s="162">
        <f>SUMIF(PRESUPUESTO[CUENTA],EJECUTADO[[#This Row],[CUENTA]],PRESUPUESTO[MONTO])-SUMIF($F$1:F1655,EJECUTADO[[#This Row],[CUENTA]],$M$1:M1655)</f>
        <v>0</v>
      </c>
      <c r="M1656" s="2"/>
      <c r="N1656" s="84"/>
      <c r="O1656" s="84"/>
      <c r="P1656" s="162">
        <f>+EJECUTADO[[#This Row],[MONTO SOLICITADO]]-EJECUTADO[[#This Row],[RETENCION IVA]]-EJECUTADO[[#This Row],[RETENCION ISR]]</f>
        <v>0</v>
      </c>
      <c r="Q1656" s="84"/>
      <c r="R1656" s="84"/>
      <c r="T1656" s="168" t="e">
        <f t="shared" si="67"/>
        <v>#N/A</v>
      </c>
    </row>
    <row r="1657" spans="1:20" x14ac:dyDescent="0.25">
      <c r="A1657" s="6">
        <f t="shared" si="68"/>
        <v>1518</v>
      </c>
      <c r="B1657" s="21"/>
      <c r="C1657" s="126"/>
      <c r="E1657" s="65"/>
      <c r="G1657" s="161">
        <f>MONTH(EJECUTADO[[#This Row],[FECHA]])</f>
        <v>1</v>
      </c>
      <c r="H1657" s="163" t="str">
        <f>MID(EJECUTADO[[#This Row],[CUENTA]],1,4)</f>
        <v/>
      </c>
      <c r="I1657" s="163" t="e">
        <f>INDEX(CATALOGO[Descripción],MATCH(EJECUTADO[[#This Row],[APLICACIÓN]]&amp;"-00-00-00",CATALOGO[Código],0))</f>
        <v>#N/A</v>
      </c>
      <c r="J165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7" s="161" t="str">
        <f>IF((EJECUTADO[[#This Row],[MONTO DISPONIBLE ]]-EJECUTADO[[#This Row],[MONTO SOLICITADO]])&gt;=0,"PRESUPUESTO: SI","PRESUPUESTO: NO")</f>
        <v>PRESUPUESTO: SI</v>
      </c>
      <c r="L1657" s="162">
        <f>SUMIF(PRESUPUESTO[CUENTA],EJECUTADO[[#This Row],[CUENTA]],PRESUPUESTO[MONTO])-SUMIF($F$1:F1656,EJECUTADO[[#This Row],[CUENTA]],$M$1:M1656)</f>
        <v>0</v>
      </c>
      <c r="M1657" s="2"/>
      <c r="N1657" s="84"/>
      <c r="O1657" s="84"/>
      <c r="P1657" s="162">
        <f>+EJECUTADO[[#This Row],[MONTO SOLICITADO]]-EJECUTADO[[#This Row],[RETENCION IVA]]-EJECUTADO[[#This Row],[RETENCION ISR]]</f>
        <v>0</v>
      </c>
      <c r="Q1657" s="84"/>
      <c r="R1657" s="84"/>
      <c r="T1657" s="168" t="e">
        <f t="shared" si="67"/>
        <v>#N/A</v>
      </c>
    </row>
    <row r="1658" spans="1:20" x14ac:dyDescent="0.25">
      <c r="A1658" s="6">
        <f t="shared" si="68"/>
        <v>1519</v>
      </c>
      <c r="B1658" s="21"/>
      <c r="C1658" s="126"/>
      <c r="E1658" s="65"/>
      <c r="G1658" s="161">
        <f>MONTH(EJECUTADO[[#This Row],[FECHA]])</f>
        <v>1</v>
      </c>
      <c r="H1658" s="163" t="str">
        <f>MID(EJECUTADO[[#This Row],[CUENTA]],1,4)</f>
        <v/>
      </c>
      <c r="I1658" s="163" t="e">
        <f>INDEX(CATALOGO[Descripción],MATCH(EJECUTADO[[#This Row],[APLICACIÓN]]&amp;"-00-00-00",CATALOGO[Código],0))</f>
        <v>#N/A</v>
      </c>
      <c r="J165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8" s="161" t="str">
        <f>IF((EJECUTADO[[#This Row],[MONTO DISPONIBLE ]]-EJECUTADO[[#This Row],[MONTO SOLICITADO]])&gt;=0,"PRESUPUESTO: SI","PRESUPUESTO: NO")</f>
        <v>PRESUPUESTO: SI</v>
      </c>
      <c r="L1658" s="162">
        <f>SUMIF(PRESUPUESTO[CUENTA],EJECUTADO[[#This Row],[CUENTA]],PRESUPUESTO[MONTO])-SUMIF($F$1:F1657,EJECUTADO[[#This Row],[CUENTA]],$M$1:M1657)</f>
        <v>0</v>
      </c>
      <c r="M1658" s="2"/>
      <c r="N1658" s="84"/>
      <c r="O1658" s="84"/>
      <c r="P1658" s="162">
        <f>+EJECUTADO[[#This Row],[MONTO SOLICITADO]]-EJECUTADO[[#This Row],[RETENCION IVA]]-EJECUTADO[[#This Row],[RETENCION ISR]]</f>
        <v>0</v>
      </c>
      <c r="Q1658" s="84"/>
      <c r="R1658" s="84"/>
      <c r="T1658" s="168" t="e">
        <f t="shared" si="67"/>
        <v>#N/A</v>
      </c>
    </row>
    <row r="1659" spans="1:20" x14ac:dyDescent="0.25">
      <c r="A1659" s="6">
        <f t="shared" si="68"/>
        <v>1520</v>
      </c>
      <c r="B1659" s="21"/>
      <c r="C1659" s="126"/>
      <c r="E1659" s="65"/>
      <c r="G1659" s="161">
        <f>MONTH(EJECUTADO[[#This Row],[FECHA]])</f>
        <v>1</v>
      </c>
      <c r="H1659" s="163" t="str">
        <f>MID(EJECUTADO[[#This Row],[CUENTA]],1,4)</f>
        <v/>
      </c>
      <c r="I1659" s="163" t="e">
        <f>INDEX(CATALOGO[Descripción],MATCH(EJECUTADO[[#This Row],[APLICACIÓN]]&amp;"-00-00-00",CATALOGO[Código],0))</f>
        <v>#N/A</v>
      </c>
      <c r="J165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59" s="161" t="str">
        <f>IF((EJECUTADO[[#This Row],[MONTO DISPONIBLE ]]-EJECUTADO[[#This Row],[MONTO SOLICITADO]])&gt;=0,"PRESUPUESTO: SI","PRESUPUESTO: NO")</f>
        <v>PRESUPUESTO: SI</v>
      </c>
      <c r="L1659" s="162">
        <f>SUMIF(PRESUPUESTO[CUENTA],EJECUTADO[[#This Row],[CUENTA]],PRESUPUESTO[MONTO])-SUMIF($F$1:F1658,EJECUTADO[[#This Row],[CUENTA]],$M$1:M1658)</f>
        <v>0</v>
      </c>
      <c r="M1659" s="2"/>
      <c r="N1659" s="84"/>
      <c r="O1659" s="84"/>
      <c r="P1659" s="162">
        <f>+EJECUTADO[[#This Row],[MONTO SOLICITADO]]-EJECUTADO[[#This Row],[RETENCION IVA]]-EJECUTADO[[#This Row],[RETENCION ISR]]</f>
        <v>0</v>
      </c>
      <c r="Q1659" s="84"/>
      <c r="R1659" s="84"/>
      <c r="T1659" s="168" t="e">
        <f t="shared" si="67"/>
        <v>#N/A</v>
      </c>
    </row>
    <row r="1660" spans="1:20" x14ac:dyDescent="0.25">
      <c r="A1660" s="6">
        <f t="shared" si="68"/>
        <v>1521</v>
      </c>
      <c r="B1660" s="21"/>
      <c r="C1660" s="126"/>
      <c r="E1660" s="65"/>
      <c r="G1660" s="161">
        <f>MONTH(EJECUTADO[[#This Row],[FECHA]])</f>
        <v>1</v>
      </c>
      <c r="H1660" s="163" t="str">
        <f>MID(EJECUTADO[[#This Row],[CUENTA]],1,4)</f>
        <v/>
      </c>
      <c r="I1660" s="163" t="e">
        <f>INDEX(CATALOGO[Descripción],MATCH(EJECUTADO[[#This Row],[APLICACIÓN]]&amp;"-00-00-00",CATALOGO[Código],0))</f>
        <v>#N/A</v>
      </c>
      <c r="J166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0" s="161" t="str">
        <f>IF((EJECUTADO[[#This Row],[MONTO DISPONIBLE ]]-EJECUTADO[[#This Row],[MONTO SOLICITADO]])&gt;=0,"PRESUPUESTO: SI","PRESUPUESTO: NO")</f>
        <v>PRESUPUESTO: SI</v>
      </c>
      <c r="L1660" s="162">
        <f>SUMIF(PRESUPUESTO[CUENTA],EJECUTADO[[#This Row],[CUENTA]],PRESUPUESTO[MONTO])-SUMIF($F$1:F1659,EJECUTADO[[#This Row],[CUENTA]],$M$1:M1659)</f>
        <v>0</v>
      </c>
      <c r="M1660" s="2"/>
      <c r="N1660" s="84"/>
      <c r="O1660" s="84"/>
      <c r="P1660" s="162">
        <f>+EJECUTADO[[#This Row],[MONTO SOLICITADO]]-EJECUTADO[[#This Row],[RETENCION IVA]]-EJECUTADO[[#This Row],[RETENCION ISR]]</f>
        <v>0</v>
      </c>
      <c r="Q1660" s="84"/>
      <c r="R1660" s="84"/>
      <c r="T1660" s="168" t="e">
        <f t="shared" si="67"/>
        <v>#N/A</v>
      </c>
    </row>
    <row r="1661" spans="1:20" x14ac:dyDescent="0.25">
      <c r="A1661" s="6">
        <f t="shared" si="68"/>
        <v>1522</v>
      </c>
      <c r="B1661" s="21"/>
      <c r="C1661" s="126"/>
      <c r="E1661" s="65"/>
      <c r="G1661" s="161">
        <f>MONTH(EJECUTADO[[#This Row],[FECHA]])</f>
        <v>1</v>
      </c>
      <c r="H1661" s="163" t="str">
        <f>MID(EJECUTADO[[#This Row],[CUENTA]],1,4)</f>
        <v/>
      </c>
      <c r="I1661" s="163" t="e">
        <f>INDEX(CATALOGO[Descripción],MATCH(EJECUTADO[[#This Row],[APLICACIÓN]]&amp;"-00-00-00",CATALOGO[Código],0))</f>
        <v>#N/A</v>
      </c>
      <c r="J166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1" s="161" t="str">
        <f>IF((EJECUTADO[[#This Row],[MONTO DISPONIBLE ]]-EJECUTADO[[#This Row],[MONTO SOLICITADO]])&gt;=0,"PRESUPUESTO: SI","PRESUPUESTO: NO")</f>
        <v>PRESUPUESTO: SI</v>
      </c>
      <c r="L1661" s="162">
        <f>SUMIF(PRESUPUESTO[CUENTA],EJECUTADO[[#This Row],[CUENTA]],PRESUPUESTO[MONTO])-SUMIF($F$1:F1660,EJECUTADO[[#This Row],[CUENTA]],$M$1:M1660)</f>
        <v>0</v>
      </c>
      <c r="M1661" s="2"/>
      <c r="N1661" s="84"/>
      <c r="O1661" s="84"/>
      <c r="P1661" s="162">
        <f>+EJECUTADO[[#This Row],[MONTO SOLICITADO]]-EJECUTADO[[#This Row],[RETENCION IVA]]-EJECUTADO[[#This Row],[RETENCION ISR]]</f>
        <v>0</v>
      </c>
      <c r="Q1661" s="84"/>
      <c r="R1661" s="84"/>
      <c r="T1661" s="168" t="e">
        <f t="shared" ref="T1661:T1688" si="69">_xlfn.CONCAT(I1661," - ",J1661," Disponible $",L1661," Solicitado $",M1661," ",K1661,)</f>
        <v>#N/A</v>
      </c>
    </row>
    <row r="1662" spans="1:20" x14ac:dyDescent="0.25">
      <c r="A1662" s="6">
        <f t="shared" si="68"/>
        <v>1523</v>
      </c>
      <c r="B1662" s="21"/>
      <c r="C1662" s="126"/>
      <c r="E1662" s="65"/>
      <c r="G1662" s="161">
        <f>MONTH(EJECUTADO[[#This Row],[FECHA]])</f>
        <v>1</v>
      </c>
      <c r="H1662" s="163" t="str">
        <f>MID(EJECUTADO[[#This Row],[CUENTA]],1,4)</f>
        <v/>
      </c>
      <c r="I1662" s="163" t="e">
        <f>INDEX(CATALOGO[Descripción],MATCH(EJECUTADO[[#This Row],[APLICACIÓN]]&amp;"-00-00-00",CATALOGO[Código],0))</f>
        <v>#N/A</v>
      </c>
      <c r="J166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2" s="161" t="str">
        <f>IF((EJECUTADO[[#This Row],[MONTO DISPONIBLE ]]-EJECUTADO[[#This Row],[MONTO SOLICITADO]])&gt;=0,"PRESUPUESTO: SI","PRESUPUESTO: NO")</f>
        <v>PRESUPUESTO: SI</v>
      </c>
      <c r="L1662" s="162">
        <f>SUMIF(PRESUPUESTO[CUENTA],EJECUTADO[[#This Row],[CUENTA]],PRESUPUESTO[MONTO])-SUMIF($F$1:F1661,EJECUTADO[[#This Row],[CUENTA]],$M$1:M1661)</f>
        <v>0</v>
      </c>
      <c r="M1662" s="2"/>
      <c r="N1662" s="84"/>
      <c r="O1662" s="84"/>
      <c r="P1662" s="162">
        <f>+EJECUTADO[[#This Row],[MONTO SOLICITADO]]-EJECUTADO[[#This Row],[RETENCION IVA]]-EJECUTADO[[#This Row],[RETENCION ISR]]</f>
        <v>0</v>
      </c>
      <c r="Q1662" s="84"/>
      <c r="R1662" s="84"/>
      <c r="T1662" s="168" t="e">
        <f t="shared" si="69"/>
        <v>#N/A</v>
      </c>
    </row>
    <row r="1663" spans="1:20" x14ac:dyDescent="0.25">
      <c r="A1663" s="6">
        <f t="shared" si="68"/>
        <v>1524</v>
      </c>
      <c r="B1663" s="21"/>
      <c r="C1663" s="126"/>
      <c r="E1663" s="65"/>
      <c r="G1663" s="161">
        <f>MONTH(EJECUTADO[[#This Row],[FECHA]])</f>
        <v>1</v>
      </c>
      <c r="H1663" s="163" t="str">
        <f>MID(EJECUTADO[[#This Row],[CUENTA]],1,4)</f>
        <v/>
      </c>
      <c r="I1663" s="163" t="e">
        <f>INDEX(CATALOGO[Descripción],MATCH(EJECUTADO[[#This Row],[APLICACIÓN]]&amp;"-00-00-00",CATALOGO[Código],0))</f>
        <v>#N/A</v>
      </c>
      <c r="J166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3" s="161" t="str">
        <f>IF((EJECUTADO[[#This Row],[MONTO DISPONIBLE ]]-EJECUTADO[[#This Row],[MONTO SOLICITADO]])&gt;=0,"PRESUPUESTO: SI","PRESUPUESTO: NO")</f>
        <v>PRESUPUESTO: SI</v>
      </c>
      <c r="L1663" s="162">
        <f>SUMIF(PRESUPUESTO[CUENTA],EJECUTADO[[#This Row],[CUENTA]],PRESUPUESTO[MONTO])-SUMIF($F$1:F1662,EJECUTADO[[#This Row],[CUENTA]],$M$1:M1662)</f>
        <v>0</v>
      </c>
      <c r="M1663" s="2"/>
      <c r="N1663" s="84"/>
      <c r="O1663" s="84"/>
      <c r="P1663" s="162">
        <f>+EJECUTADO[[#This Row],[MONTO SOLICITADO]]-EJECUTADO[[#This Row],[RETENCION IVA]]-EJECUTADO[[#This Row],[RETENCION ISR]]</f>
        <v>0</v>
      </c>
      <c r="Q1663" s="84"/>
      <c r="R1663" s="84"/>
      <c r="T1663" s="168" t="e">
        <f t="shared" si="69"/>
        <v>#N/A</v>
      </c>
    </row>
    <row r="1664" spans="1:20" x14ac:dyDescent="0.25">
      <c r="A1664" s="6">
        <f t="shared" si="68"/>
        <v>1525</v>
      </c>
      <c r="B1664" s="21"/>
      <c r="C1664" s="126"/>
      <c r="E1664" s="65"/>
      <c r="G1664" s="161">
        <f>MONTH(EJECUTADO[[#This Row],[FECHA]])</f>
        <v>1</v>
      </c>
      <c r="H1664" s="163" t="str">
        <f>MID(EJECUTADO[[#This Row],[CUENTA]],1,4)</f>
        <v/>
      </c>
      <c r="I1664" s="163" t="e">
        <f>INDEX(CATALOGO[Descripción],MATCH(EJECUTADO[[#This Row],[APLICACIÓN]]&amp;"-00-00-00",CATALOGO[Código],0))</f>
        <v>#N/A</v>
      </c>
      <c r="J166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4" s="161" t="str">
        <f>IF((EJECUTADO[[#This Row],[MONTO DISPONIBLE ]]-EJECUTADO[[#This Row],[MONTO SOLICITADO]])&gt;=0,"PRESUPUESTO: SI","PRESUPUESTO: NO")</f>
        <v>PRESUPUESTO: SI</v>
      </c>
      <c r="L1664" s="162">
        <f>SUMIF(PRESUPUESTO[CUENTA],EJECUTADO[[#This Row],[CUENTA]],PRESUPUESTO[MONTO])-SUMIF($F$1:F1663,EJECUTADO[[#This Row],[CUENTA]],$M$1:M1663)</f>
        <v>0</v>
      </c>
      <c r="M1664" s="2"/>
      <c r="N1664" s="84"/>
      <c r="O1664" s="84"/>
      <c r="P1664" s="162">
        <f>+EJECUTADO[[#This Row],[MONTO SOLICITADO]]-EJECUTADO[[#This Row],[RETENCION IVA]]-EJECUTADO[[#This Row],[RETENCION ISR]]</f>
        <v>0</v>
      </c>
      <c r="Q1664" s="84"/>
      <c r="R1664" s="84"/>
      <c r="T1664" s="168" t="e">
        <f t="shared" si="69"/>
        <v>#N/A</v>
      </c>
    </row>
    <row r="1665" spans="1:20" x14ac:dyDescent="0.25">
      <c r="A1665" s="6">
        <f t="shared" si="68"/>
        <v>1526</v>
      </c>
      <c r="B1665" s="21"/>
      <c r="C1665" s="126"/>
      <c r="E1665" s="65"/>
      <c r="G1665" s="161">
        <f>MONTH(EJECUTADO[[#This Row],[FECHA]])</f>
        <v>1</v>
      </c>
      <c r="H1665" s="163" t="str">
        <f>MID(EJECUTADO[[#This Row],[CUENTA]],1,4)</f>
        <v/>
      </c>
      <c r="I1665" s="163" t="e">
        <f>INDEX(CATALOGO[Descripción],MATCH(EJECUTADO[[#This Row],[APLICACIÓN]]&amp;"-00-00-00",CATALOGO[Código],0))</f>
        <v>#N/A</v>
      </c>
      <c r="J166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5" s="161" t="str">
        <f>IF((EJECUTADO[[#This Row],[MONTO DISPONIBLE ]]-EJECUTADO[[#This Row],[MONTO SOLICITADO]])&gt;=0,"PRESUPUESTO: SI","PRESUPUESTO: NO")</f>
        <v>PRESUPUESTO: SI</v>
      </c>
      <c r="L1665" s="162">
        <f>SUMIF(PRESUPUESTO[CUENTA],EJECUTADO[[#This Row],[CUENTA]],PRESUPUESTO[MONTO])-SUMIF($F$1:F1664,EJECUTADO[[#This Row],[CUENTA]],$M$1:M1664)</f>
        <v>0</v>
      </c>
      <c r="M1665" s="2"/>
      <c r="N1665" s="84"/>
      <c r="O1665" s="84"/>
      <c r="P1665" s="162">
        <f>+EJECUTADO[[#This Row],[MONTO SOLICITADO]]-EJECUTADO[[#This Row],[RETENCION IVA]]-EJECUTADO[[#This Row],[RETENCION ISR]]</f>
        <v>0</v>
      </c>
      <c r="Q1665" s="84"/>
      <c r="R1665" s="84"/>
      <c r="T1665" s="168" t="e">
        <f t="shared" si="69"/>
        <v>#N/A</v>
      </c>
    </row>
    <row r="1666" spans="1:20" x14ac:dyDescent="0.25">
      <c r="A1666" s="6">
        <f t="shared" ref="A1666:A1688" si="70">+A1665+1</f>
        <v>1527</v>
      </c>
      <c r="B1666" s="21"/>
      <c r="C1666" s="126"/>
      <c r="E1666" s="65"/>
      <c r="G1666" s="161">
        <f>MONTH(EJECUTADO[[#This Row],[FECHA]])</f>
        <v>1</v>
      </c>
      <c r="H1666" s="163" t="str">
        <f>MID(EJECUTADO[[#This Row],[CUENTA]],1,4)</f>
        <v/>
      </c>
      <c r="I1666" s="163" t="e">
        <f>INDEX(CATALOGO[Descripción],MATCH(EJECUTADO[[#This Row],[APLICACIÓN]]&amp;"-00-00-00",CATALOGO[Código],0))</f>
        <v>#N/A</v>
      </c>
      <c r="J166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6" s="161" t="str">
        <f>IF((EJECUTADO[[#This Row],[MONTO DISPONIBLE ]]-EJECUTADO[[#This Row],[MONTO SOLICITADO]])&gt;=0,"PRESUPUESTO: SI","PRESUPUESTO: NO")</f>
        <v>PRESUPUESTO: SI</v>
      </c>
      <c r="L1666" s="162">
        <f>SUMIF(PRESUPUESTO[CUENTA],EJECUTADO[[#This Row],[CUENTA]],PRESUPUESTO[MONTO])-SUMIF($F$1:F1665,EJECUTADO[[#This Row],[CUENTA]],$M$1:M1665)</f>
        <v>0</v>
      </c>
      <c r="M1666" s="2"/>
      <c r="N1666" s="84"/>
      <c r="O1666" s="84"/>
      <c r="P1666" s="162">
        <f>+EJECUTADO[[#This Row],[MONTO SOLICITADO]]-EJECUTADO[[#This Row],[RETENCION IVA]]-EJECUTADO[[#This Row],[RETENCION ISR]]</f>
        <v>0</v>
      </c>
      <c r="Q1666" s="84"/>
      <c r="R1666" s="84"/>
      <c r="T1666" s="168" t="e">
        <f t="shared" si="69"/>
        <v>#N/A</v>
      </c>
    </row>
    <row r="1667" spans="1:20" x14ac:dyDescent="0.25">
      <c r="A1667" s="6">
        <f t="shared" si="70"/>
        <v>1528</v>
      </c>
      <c r="B1667" s="21"/>
      <c r="C1667" s="126"/>
      <c r="E1667" s="65"/>
      <c r="G1667" s="161">
        <f>MONTH(EJECUTADO[[#This Row],[FECHA]])</f>
        <v>1</v>
      </c>
      <c r="H1667" s="163" t="str">
        <f>MID(EJECUTADO[[#This Row],[CUENTA]],1,4)</f>
        <v/>
      </c>
      <c r="I1667" s="163" t="e">
        <f>INDEX(CATALOGO[Descripción],MATCH(EJECUTADO[[#This Row],[APLICACIÓN]]&amp;"-00-00-00",CATALOGO[Código],0))</f>
        <v>#N/A</v>
      </c>
      <c r="J166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7" s="161" t="str">
        <f>IF((EJECUTADO[[#This Row],[MONTO DISPONIBLE ]]-EJECUTADO[[#This Row],[MONTO SOLICITADO]])&gt;=0,"PRESUPUESTO: SI","PRESUPUESTO: NO")</f>
        <v>PRESUPUESTO: SI</v>
      </c>
      <c r="L1667" s="162">
        <f>SUMIF(PRESUPUESTO[CUENTA],EJECUTADO[[#This Row],[CUENTA]],PRESUPUESTO[MONTO])-SUMIF($F$1:F1666,EJECUTADO[[#This Row],[CUENTA]],$M$1:M1666)</f>
        <v>0</v>
      </c>
      <c r="M1667" s="2"/>
      <c r="N1667" s="84"/>
      <c r="O1667" s="84"/>
      <c r="P1667" s="162">
        <f>+EJECUTADO[[#This Row],[MONTO SOLICITADO]]-EJECUTADO[[#This Row],[RETENCION IVA]]-EJECUTADO[[#This Row],[RETENCION ISR]]</f>
        <v>0</v>
      </c>
      <c r="Q1667" s="84"/>
      <c r="R1667" s="84"/>
      <c r="T1667" s="168" t="e">
        <f t="shared" si="69"/>
        <v>#N/A</v>
      </c>
    </row>
    <row r="1668" spans="1:20" x14ac:dyDescent="0.25">
      <c r="A1668" s="6">
        <f t="shared" si="70"/>
        <v>1529</v>
      </c>
      <c r="B1668" s="21"/>
      <c r="C1668" s="126"/>
      <c r="E1668" s="65"/>
      <c r="G1668" s="161">
        <f>MONTH(EJECUTADO[[#This Row],[FECHA]])</f>
        <v>1</v>
      </c>
      <c r="H1668" s="163" t="str">
        <f>MID(EJECUTADO[[#This Row],[CUENTA]],1,4)</f>
        <v/>
      </c>
      <c r="I1668" s="163" t="e">
        <f>INDEX(CATALOGO[Descripción],MATCH(EJECUTADO[[#This Row],[APLICACIÓN]]&amp;"-00-00-00",CATALOGO[Código],0))</f>
        <v>#N/A</v>
      </c>
      <c r="J166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8" s="161" t="str">
        <f>IF((EJECUTADO[[#This Row],[MONTO DISPONIBLE ]]-EJECUTADO[[#This Row],[MONTO SOLICITADO]])&gt;=0,"PRESUPUESTO: SI","PRESUPUESTO: NO")</f>
        <v>PRESUPUESTO: SI</v>
      </c>
      <c r="L1668" s="162">
        <f>SUMIF(PRESUPUESTO[CUENTA],EJECUTADO[[#This Row],[CUENTA]],PRESUPUESTO[MONTO])-SUMIF($F$1:F1667,EJECUTADO[[#This Row],[CUENTA]],$M$1:M1667)</f>
        <v>0</v>
      </c>
      <c r="M1668" s="2"/>
      <c r="N1668" s="84"/>
      <c r="O1668" s="84"/>
      <c r="P1668" s="162">
        <f>+EJECUTADO[[#This Row],[MONTO SOLICITADO]]-EJECUTADO[[#This Row],[RETENCION IVA]]-EJECUTADO[[#This Row],[RETENCION ISR]]</f>
        <v>0</v>
      </c>
      <c r="Q1668" s="84"/>
      <c r="R1668" s="84"/>
      <c r="T1668" s="168" t="e">
        <f t="shared" si="69"/>
        <v>#N/A</v>
      </c>
    </row>
    <row r="1669" spans="1:20" x14ac:dyDescent="0.25">
      <c r="A1669" s="6">
        <f t="shared" si="70"/>
        <v>1530</v>
      </c>
      <c r="B1669" s="21"/>
      <c r="C1669" s="126"/>
      <c r="E1669" s="65"/>
      <c r="G1669" s="161">
        <f>MONTH(EJECUTADO[[#This Row],[FECHA]])</f>
        <v>1</v>
      </c>
      <c r="H1669" s="163" t="str">
        <f>MID(EJECUTADO[[#This Row],[CUENTA]],1,4)</f>
        <v/>
      </c>
      <c r="I1669" s="163" t="e">
        <f>INDEX(CATALOGO[Descripción],MATCH(EJECUTADO[[#This Row],[APLICACIÓN]]&amp;"-00-00-00",CATALOGO[Código],0))</f>
        <v>#N/A</v>
      </c>
      <c r="J166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69" s="161" t="str">
        <f>IF((EJECUTADO[[#This Row],[MONTO DISPONIBLE ]]-EJECUTADO[[#This Row],[MONTO SOLICITADO]])&gt;=0,"PRESUPUESTO: SI","PRESUPUESTO: NO")</f>
        <v>PRESUPUESTO: SI</v>
      </c>
      <c r="L1669" s="162">
        <f>SUMIF(PRESUPUESTO[CUENTA],EJECUTADO[[#This Row],[CUENTA]],PRESUPUESTO[MONTO])-SUMIF($F$1:F1668,EJECUTADO[[#This Row],[CUENTA]],$M$1:M1668)</f>
        <v>0</v>
      </c>
      <c r="M1669" s="2"/>
      <c r="N1669" s="84"/>
      <c r="O1669" s="84"/>
      <c r="P1669" s="162">
        <f>+EJECUTADO[[#This Row],[MONTO SOLICITADO]]-EJECUTADO[[#This Row],[RETENCION IVA]]-EJECUTADO[[#This Row],[RETENCION ISR]]</f>
        <v>0</v>
      </c>
      <c r="Q1669" s="84"/>
      <c r="R1669" s="84"/>
      <c r="T1669" s="168" t="e">
        <f t="shared" si="69"/>
        <v>#N/A</v>
      </c>
    </row>
    <row r="1670" spans="1:20" x14ac:dyDescent="0.25">
      <c r="A1670" s="6">
        <f t="shared" si="70"/>
        <v>1531</v>
      </c>
      <c r="B1670" s="21"/>
      <c r="C1670" s="126"/>
      <c r="E1670" s="65"/>
      <c r="G1670" s="161">
        <f>MONTH(EJECUTADO[[#This Row],[FECHA]])</f>
        <v>1</v>
      </c>
      <c r="H1670" s="163" t="str">
        <f>MID(EJECUTADO[[#This Row],[CUENTA]],1,4)</f>
        <v/>
      </c>
      <c r="I1670" s="163" t="e">
        <f>INDEX(CATALOGO[Descripción],MATCH(EJECUTADO[[#This Row],[APLICACIÓN]]&amp;"-00-00-00",CATALOGO[Código],0))</f>
        <v>#N/A</v>
      </c>
      <c r="J167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0" s="161" t="str">
        <f>IF((EJECUTADO[[#This Row],[MONTO DISPONIBLE ]]-EJECUTADO[[#This Row],[MONTO SOLICITADO]])&gt;=0,"PRESUPUESTO: SI","PRESUPUESTO: NO")</f>
        <v>PRESUPUESTO: SI</v>
      </c>
      <c r="L1670" s="162">
        <f>SUMIF(PRESUPUESTO[CUENTA],EJECUTADO[[#This Row],[CUENTA]],PRESUPUESTO[MONTO])-SUMIF($F$1:F1669,EJECUTADO[[#This Row],[CUENTA]],$M$1:M1669)</f>
        <v>0</v>
      </c>
      <c r="M1670" s="2"/>
      <c r="N1670" s="84"/>
      <c r="O1670" s="84"/>
      <c r="P1670" s="162">
        <f>+EJECUTADO[[#This Row],[MONTO SOLICITADO]]-EJECUTADO[[#This Row],[RETENCION IVA]]-EJECUTADO[[#This Row],[RETENCION ISR]]</f>
        <v>0</v>
      </c>
      <c r="Q1670" s="84"/>
      <c r="R1670" s="84"/>
      <c r="T1670" s="168" t="e">
        <f t="shared" si="69"/>
        <v>#N/A</v>
      </c>
    </row>
    <row r="1671" spans="1:20" x14ac:dyDescent="0.25">
      <c r="A1671" s="6">
        <f t="shared" si="70"/>
        <v>1532</v>
      </c>
      <c r="B1671" s="21"/>
      <c r="C1671" s="126"/>
      <c r="E1671" s="65"/>
      <c r="G1671" s="161">
        <f>MONTH(EJECUTADO[[#This Row],[FECHA]])</f>
        <v>1</v>
      </c>
      <c r="H1671" s="163" t="str">
        <f>MID(EJECUTADO[[#This Row],[CUENTA]],1,4)</f>
        <v/>
      </c>
      <c r="I1671" s="163" t="e">
        <f>INDEX(CATALOGO[Descripción],MATCH(EJECUTADO[[#This Row],[APLICACIÓN]]&amp;"-00-00-00",CATALOGO[Código],0))</f>
        <v>#N/A</v>
      </c>
      <c r="J167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1" s="161" t="str">
        <f>IF((EJECUTADO[[#This Row],[MONTO DISPONIBLE ]]-EJECUTADO[[#This Row],[MONTO SOLICITADO]])&gt;=0,"PRESUPUESTO: SI","PRESUPUESTO: NO")</f>
        <v>PRESUPUESTO: SI</v>
      </c>
      <c r="L1671" s="162">
        <f>SUMIF(PRESUPUESTO[CUENTA],EJECUTADO[[#This Row],[CUENTA]],PRESUPUESTO[MONTO])-SUMIF($F$1:F1670,EJECUTADO[[#This Row],[CUENTA]],$M$1:M1670)</f>
        <v>0</v>
      </c>
      <c r="M1671" s="2"/>
      <c r="N1671" s="84"/>
      <c r="O1671" s="84"/>
      <c r="P1671" s="162">
        <f>+EJECUTADO[[#This Row],[MONTO SOLICITADO]]-EJECUTADO[[#This Row],[RETENCION IVA]]-EJECUTADO[[#This Row],[RETENCION ISR]]</f>
        <v>0</v>
      </c>
      <c r="Q1671" s="84"/>
      <c r="R1671" s="84"/>
      <c r="T1671" s="168" t="e">
        <f t="shared" si="69"/>
        <v>#N/A</v>
      </c>
    </row>
    <row r="1672" spans="1:20" x14ac:dyDescent="0.25">
      <c r="A1672" s="6">
        <f t="shared" si="70"/>
        <v>1533</v>
      </c>
      <c r="B1672" s="21"/>
      <c r="C1672" s="126"/>
      <c r="E1672" s="65"/>
      <c r="G1672" s="161">
        <f>MONTH(EJECUTADO[[#This Row],[FECHA]])</f>
        <v>1</v>
      </c>
      <c r="H1672" s="163" t="str">
        <f>MID(EJECUTADO[[#This Row],[CUENTA]],1,4)</f>
        <v/>
      </c>
      <c r="I1672" s="163" t="e">
        <f>INDEX(CATALOGO[Descripción],MATCH(EJECUTADO[[#This Row],[APLICACIÓN]]&amp;"-00-00-00",CATALOGO[Código],0))</f>
        <v>#N/A</v>
      </c>
      <c r="J167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2" s="161" t="str">
        <f>IF((EJECUTADO[[#This Row],[MONTO DISPONIBLE ]]-EJECUTADO[[#This Row],[MONTO SOLICITADO]])&gt;=0,"PRESUPUESTO: SI","PRESUPUESTO: NO")</f>
        <v>PRESUPUESTO: SI</v>
      </c>
      <c r="L1672" s="162">
        <f>SUMIF(PRESUPUESTO[CUENTA],EJECUTADO[[#This Row],[CUENTA]],PRESUPUESTO[MONTO])-SUMIF($F$1:F1671,EJECUTADO[[#This Row],[CUENTA]],$M$1:M1671)</f>
        <v>0</v>
      </c>
      <c r="M1672" s="2"/>
      <c r="N1672" s="84"/>
      <c r="O1672" s="84"/>
      <c r="P1672" s="162">
        <f>+EJECUTADO[[#This Row],[MONTO SOLICITADO]]-EJECUTADO[[#This Row],[RETENCION IVA]]-EJECUTADO[[#This Row],[RETENCION ISR]]</f>
        <v>0</v>
      </c>
      <c r="Q1672" s="84"/>
      <c r="R1672" s="84"/>
      <c r="T1672" s="168" t="e">
        <f t="shared" si="69"/>
        <v>#N/A</v>
      </c>
    </row>
    <row r="1673" spans="1:20" x14ac:dyDescent="0.25">
      <c r="A1673" s="6">
        <f t="shared" si="70"/>
        <v>1534</v>
      </c>
      <c r="B1673" s="21"/>
      <c r="C1673" s="126"/>
      <c r="E1673" s="65"/>
      <c r="G1673" s="161">
        <f>MONTH(EJECUTADO[[#This Row],[FECHA]])</f>
        <v>1</v>
      </c>
      <c r="H1673" s="163" t="str">
        <f>MID(EJECUTADO[[#This Row],[CUENTA]],1,4)</f>
        <v/>
      </c>
      <c r="I1673" s="163" t="e">
        <f>INDEX(CATALOGO[Descripción],MATCH(EJECUTADO[[#This Row],[APLICACIÓN]]&amp;"-00-00-00",CATALOGO[Código],0))</f>
        <v>#N/A</v>
      </c>
      <c r="J167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3" s="161" t="str">
        <f>IF((EJECUTADO[[#This Row],[MONTO DISPONIBLE ]]-EJECUTADO[[#This Row],[MONTO SOLICITADO]])&gt;=0,"PRESUPUESTO: SI","PRESUPUESTO: NO")</f>
        <v>PRESUPUESTO: SI</v>
      </c>
      <c r="L1673" s="162">
        <f>SUMIF(PRESUPUESTO[CUENTA],EJECUTADO[[#This Row],[CUENTA]],PRESUPUESTO[MONTO])-SUMIF($F$1:F1672,EJECUTADO[[#This Row],[CUENTA]],$M$1:M1672)</f>
        <v>0</v>
      </c>
      <c r="M1673" s="2"/>
      <c r="N1673" s="84"/>
      <c r="O1673" s="84"/>
      <c r="P1673" s="162">
        <f>+EJECUTADO[[#This Row],[MONTO SOLICITADO]]-EJECUTADO[[#This Row],[RETENCION IVA]]-EJECUTADO[[#This Row],[RETENCION ISR]]</f>
        <v>0</v>
      </c>
      <c r="Q1673" s="84"/>
      <c r="R1673" s="84"/>
      <c r="T1673" s="168" t="e">
        <f t="shared" si="69"/>
        <v>#N/A</v>
      </c>
    </row>
    <row r="1674" spans="1:20" x14ac:dyDescent="0.25">
      <c r="A1674" s="6">
        <f t="shared" si="70"/>
        <v>1535</v>
      </c>
      <c r="B1674" s="21"/>
      <c r="C1674" s="126"/>
      <c r="E1674" s="65"/>
      <c r="G1674" s="161">
        <f>MONTH(EJECUTADO[[#This Row],[FECHA]])</f>
        <v>1</v>
      </c>
      <c r="H1674" s="163" t="str">
        <f>MID(EJECUTADO[[#This Row],[CUENTA]],1,4)</f>
        <v/>
      </c>
      <c r="I1674" s="163" t="e">
        <f>INDEX(CATALOGO[Descripción],MATCH(EJECUTADO[[#This Row],[APLICACIÓN]]&amp;"-00-00-00",CATALOGO[Código],0))</f>
        <v>#N/A</v>
      </c>
      <c r="J167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4" s="161" t="str">
        <f>IF((EJECUTADO[[#This Row],[MONTO DISPONIBLE ]]-EJECUTADO[[#This Row],[MONTO SOLICITADO]])&gt;=0,"PRESUPUESTO: SI","PRESUPUESTO: NO")</f>
        <v>PRESUPUESTO: SI</v>
      </c>
      <c r="L1674" s="162">
        <f>SUMIF(PRESUPUESTO[CUENTA],EJECUTADO[[#This Row],[CUENTA]],PRESUPUESTO[MONTO])-SUMIF($F$1:F1673,EJECUTADO[[#This Row],[CUENTA]],$M$1:M1673)</f>
        <v>0</v>
      </c>
      <c r="M1674" s="2"/>
      <c r="N1674" s="84"/>
      <c r="O1674" s="84"/>
      <c r="P1674" s="162">
        <f>+EJECUTADO[[#This Row],[MONTO SOLICITADO]]-EJECUTADO[[#This Row],[RETENCION IVA]]-EJECUTADO[[#This Row],[RETENCION ISR]]</f>
        <v>0</v>
      </c>
      <c r="Q1674" s="84"/>
      <c r="R1674" s="84"/>
      <c r="T1674" s="168" t="e">
        <f t="shared" si="69"/>
        <v>#N/A</v>
      </c>
    </row>
    <row r="1675" spans="1:20" x14ac:dyDescent="0.25">
      <c r="A1675" s="6">
        <f t="shared" si="70"/>
        <v>1536</v>
      </c>
      <c r="B1675" s="21"/>
      <c r="C1675" s="126"/>
      <c r="E1675" s="65"/>
      <c r="G1675" s="161">
        <f>MONTH(EJECUTADO[[#This Row],[FECHA]])</f>
        <v>1</v>
      </c>
      <c r="H1675" s="163" t="str">
        <f>MID(EJECUTADO[[#This Row],[CUENTA]],1,4)</f>
        <v/>
      </c>
      <c r="I1675" s="163" t="e">
        <f>INDEX(CATALOGO[Descripción],MATCH(EJECUTADO[[#This Row],[APLICACIÓN]]&amp;"-00-00-00",CATALOGO[Código],0))</f>
        <v>#N/A</v>
      </c>
      <c r="J167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5" s="161" t="str">
        <f>IF((EJECUTADO[[#This Row],[MONTO DISPONIBLE ]]-EJECUTADO[[#This Row],[MONTO SOLICITADO]])&gt;=0,"PRESUPUESTO: SI","PRESUPUESTO: NO")</f>
        <v>PRESUPUESTO: SI</v>
      </c>
      <c r="L1675" s="162">
        <f>SUMIF(PRESUPUESTO[CUENTA],EJECUTADO[[#This Row],[CUENTA]],PRESUPUESTO[MONTO])-SUMIF($F$1:F1674,EJECUTADO[[#This Row],[CUENTA]],$M$1:M1674)</f>
        <v>0</v>
      </c>
      <c r="M1675" s="2"/>
      <c r="N1675" s="84"/>
      <c r="O1675" s="84"/>
      <c r="P1675" s="162">
        <f>+EJECUTADO[[#This Row],[MONTO SOLICITADO]]-EJECUTADO[[#This Row],[RETENCION IVA]]-EJECUTADO[[#This Row],[RETENCION ISR]]</f>
        <v>0</v>
      </c>
      <c r="Q1675" s="84"/>
      <c r="R1675" s="84"/>
      <c r="T1675" s="168" t="e">
        <f t="shared" si="69"/>
        <v>#N/A</v>
      </c>
    </row>
    <row r="1676" spans="1:20" x14ac:dyDescent="0.25">
      <c r="A1676" s="6">
        <f t="shared" si="70"/>
        <v>1537</v>
      </c>
      <c r="B1676" s="21"/>
      <c r="C1676" s="126"/>
      <c r="E1676" s="65"/>
      <c r="G1676" s="161">
        <f>MONTH(EJECUTADO[[#This Row],[FECHA]])</f>
        <v>1</v>
      </c>
      <c r="H1676" s="163" t="str">
        <f>MID(EJECUTADO[[#This Row],[CUENTA]],1,4)</f>
        <v/>
      </c>
      <c r="I1676" s="163" t="e">
        <f>INDEX(CATALOGO[Descripción],MATCH(EJECUTADO[[#This Row],[APLICACIÓN]]&amp;"-00-00-00",CATALOGO[Código],0))</f>
        <v>#N/A</v>
      </c>
      <c r="J167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6" s="161" t="str">
        <f>IF((EJECUTADO[[#This Row],[MONTO DISPONIBLE ]]-EJECUTADO[[#This Row],[MONTO SOLICITADO]])&gt;=0,"PRESUPUESTO: SI","PRESUPUESTO: NO")</f>
        <v>PRESUPUESTO: SI</v>
      </c>
      <c r="L1676" s="162">
        <f>SUMIF(PRESUPUESTO[CUENTA],EJECUTADO[[#This Row],[CUENTA]],PRESUPUESTO[MONTO])-SUMIF($F$1:F1675,EJECUTADO[[#This Row],[CUENTA]],$M$1:M1675)</f>
        <v>0</v>
      </c>
      <c r="M1676" s="2"/>
      <c r="N1676" s="84"/>
      <c r="O1676" s="84"/>
      <c r="P1676" s="162">
        <f>+EJECUTADO[[#This Row],[MONTO SOLICITADO]]-EJECUTADO[[#This Row],[RETENCION IVA]]-EJECUTADO[[#This Row],[RETENCION ISR]]</f>
        <v>0</v>
      </c>
      <c r="Q1676" s="84"/>
      <c r="R1676" s="84"/>
      <c r="T1676" s="168" t="e">
        <f t="shared" si="69"/>
        <v>#N/A</v>
      </c>
    </row>
    <row r="1677" spans="1:20" x14ac:dyDescent="0.25">
      <c r="A1677" s="6">
        <f t="shared" si="70"/>
        <v>1538</v>
      </c>
      <c r="B1677" s="21"/>
      <c r="C1677" s="126"/>
      <c r="E1677" s="65"/>
      <c r="G1677" s="161">
        <f>MONTH(EJECUTADO[[#This Row],[FECHA]])</f>
        <v>1</v>
      </c>
      <c r="H1677" s="163" t="str">
        <f>MID(EJECUTADO[[#This Row],[CUENTA]],1,4)</f>
        <v/>
      </c>
      <c r="I1677" s="163" t="e">
        <f>INDEX(CATALOGO[Descripción],MATCH(EJECUTADO[[#This Row],[APLICACIÓN]]&amp;"-00-00-00",CATALOGO[Código],0))</f>
        <v>#N/A</v>
      </c>
      <c r="J167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7" s="161" t="str">
        <f>IF((EJECUTADO[[#This Row],[MONTO DISPONIBLE ]]-EJECUTADO[[#This Row],[MONTO SOLICITADO]])&gt;=0,"PRESUPUESTO: SI","PRESUPUESTO: NO")</f>
        <v>PRESUPUESTO: SI</v>
      </c>
      <c r="L1677" s="162">
        <f>SUMIF(PRESUPUESTO[CUENTA],EJECUTADO[[#This Row],[CUENTA]],PRESUPUESTO[MONTO])-SUMIF($F$1:F1676,EJECUTADO[[#This Row],[CUENTA]],$M$1:M1676)</f>
        <v>0</v>
      </c>
      <c r="M1677" s="2"/>
      <c r="N1677" s="84"/>
      <c r="O1677" s="84"/>
      <c r="P1677" s="162">
        <f>+EJECUTADO[[#This Row],[MONTO SOLICITADO]]-EJECUTADO[[#This Row],[RETENCION IVA]]-EJECUTADO[[#This Row],[RETENCION ISR]]</f>
        <v>0</v>
      </c>
      <c r="Q1677" s="84"/>
      <c r="R1677" s="84"/>
      <c r="T1677" s="168" t="e">
        <f t="shared" si="69"/>
        <v>#N/A</v>
      </c>
    </row>
    <row r="1678" spans="1:20" x14ac:dyDescent="0.25">
      <c r="A1678" s="6">
        <f t="shared" si="70"/>
        <v>1539</v>
      </c>
      <c r="B1678" s="21"/>
      <c r="C1678" s="126"/>
      <c r="E1678" s="65"/>
      <c r="G1678" s="161">
        <f>MONTH(EJECUTADO[[#This Row],[FECHA]])</f>
        <v>1</v>
      </c>
      <c r="H1678" s="163" t="str">
        <f>MID(EJECUTADO[[#This Row],[CUENTA]],1,4)</f>
        <v/>
      </c>
      <c r="I1678" s="163" t="e">
        <f>INDEX(CATALOGO[Descripción],MATCH(EJECUTADO[[#This Row],[APLICACIÓN]]&amp;"-00-00-00",CATALOGO[Código],0))</f>
        <v>#N/A</v>
      </c>
      <c r="J167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8" s="161" t="str">
        <f>IF((EJECUTADO[[#This Row],[MONTO DISPONIBLE ]]-EJECUTADO[[#This Row],[MONTO SOLICITADO]])&gt;=0,"PRESUPUESTO: SI","PRESUPUESTO: NO")</f>
        <v>PRESUPUESTO: SI</v>
      </c>
      <c r="L1678" s="162">
        <f>SUMIF(PRESUPUESTO[CUENTA],EJECUTADO[[#This Row],[CUENTA]],PRESUPUESTO[MONTO])-SUMIF($F$1:F1677,EJECUTADO[[#This Row],[CUENTA]],$M$1:M1677)</f>
        <v>0</v>
      </c>
      <c r="M1678" s="2"/>
      <c r="N1678" s="84"/>
      <c r="O1678" s="84"/>
      <c r="P1678" s="162">
        <f>+EJECUTADO[[#This Row],[MONTO SOLICITADO]]-EJECUTADO[[#This Row],[RETENCION IVA]]-EJECUTADO[[#This Row],[RETENCION ISR]]</f>
        <v>0</v>
      </c>
      <c r="Q1678" s="84"/>
      <c r="R1678" s="84"/>
      <c r="T1678" s="168" t="e">
        <f t="shared" si="69"/>
        <v>#N/A</v>
      </c>
    </row>
    <row r="1679" spans="1:20" x14ac:dyDescent="0.25">
      <c r="A1679" s="6">
        <f t="shared" si="70"/>
        <v>1540</v>
      </c>
      <c r="B1679" s="21"/>
      <c r="C1679" s="126"/>
      <c r="E1679" s="65"/>
      <c r="G1679" s="161">
        <f>MONTH(EJECUTADO[[#This Row],[FECHA]])</f>
        <v>1</v>
      </c>
      <c r="H1679" s="163" t="str">
        <f>MID(EJECUTADO[[#This Row],[CUENTA]],1,4)</f>
        <v/>
      </c>
      <c r="I1679" s="163" t="e">
        <f>INDEX(CATALOGO[Descripción],MATCH(EJECUTADO[[#This Row],[APLICACIÓN]]&amp;"-00-00-00",CATALOGO[Código],0))</f>
        <v>#N/A</v>
      </c>
      <c r="J1679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79" s="161" t="str">
        <f>IF((EJECUTADO[[#This Row],[MONTO DISPONIBLE ]]-EJECUTADO[[#This Row],[MONTO SOLICITADO]])&gt;=0,"PRESUPUESTO: SI","PRESUPUESTO: NO")</f>
        <v>PRESUPUESTO: SI</v>
      </c>
      <c r="L1679" s="162">
        <f>SUMIF(PRESUPUESTO[CUENTA],EJECUTADO[[#This Row],[CUENTA]],PRESUPUESTO[MONTO])-SUMIF($F$1:F1678,EJECUTADO[[#This Row],[CUENTA]],$M$1:M1678)</f>
        <v>0</v>
      </c>
      <c r="M1679" s="2"/>
      <c r="N1679" s="84"/>
      <c r="O1679" s="84"/>
      <c r="P1679" s="162">
        <f>+EJECUTADO[[#This Row],[MONTO SOLICITADO]]-EJECUTADO[[#This Row],[RETENCION IVA]]-EJECUTADO[[#This Row],[RETENCION ISR]]</f>
        <v>0</v>
      </c>
      <c r="Q1679" s="84"/>
      <c r="R1679" s="84"/>
      <c r="T1679" s="168" t="e">
        <f t="shared" si="69"/>
        <v>#N/A</v>
      </c>
    </row>
    <row r="1680" spans="1:20" x14ac:dyDescent="0.25">
      <c r="A1680" s="6">
        <f t="shared" si="70"/>
        <v>1541</v>
      </c>
      <c r="B1680" s="21"/>
      <c r="C1680" s="126"/>
      <c r="E1680" s="65"/>
      <c r="G1680" s="161">
        <f>MONTH(EJECUTADO[[#This Row],[FECHA]])</f>
        <v>1</v>
      </c>
      <c r="H1680" s="163" t="str">
        <f>MID(EJECUTADO[[#This Row],[CUENTA]],1,4)</f>
        <v/>
      </c>
      <c r="I1680" s="163" t="e">
        <f>INDEX(CATALOGO[Descripción],MATCH(EJECUTADO[[#This Row],[APLICACIÓN]]&amp;"-00-00-00",CATALOGO[Código],0))</f>
        <v>#N/A</v>
      </c>
      <c r="J1680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0" s="161" t="str">
        <f>IF((EJECUTADO[[#This Row],[MONTO DISPONIBLE ]]-EJECUTADO[[#This Row],[MONTO SOLICITADO]])&gt;=0,"PRESUPUESTO: SI","PRESUPUESTO: NO")</f>
        <v>PRESUPUESTO: SI</v>
      </c>
      <c r="L1680" s="162">
        <f>SUMIF(PRESUPUESTO[CUENTA],EJECUTADO[[#This Row],[CUENTA]],PRESUPUESTO[MONTO])-SUMIF($F$1:F1679,EJECUTADO[[#This Row],[CUENTA]],$M$1:M1679)</f>
        <v>0</v>
      </c>
      <c r="M1680" s="2"/>
      <c r="N1680" s="84"/>
      <c r="O1680" s="84"/>
      <c r="P1680" s="162">
        <f>+EJECUTADO[[#This Row],[MONTO SOLICITADO]]-EJECUTADO[[#This Row],[RETENCION IVA]]-EJECUTADO[[#This Row],[RETENCION ISR]]</f>
        <v>0</v>
      </c>
      <c r="Q1680" s="84"/>
      <c r="R1680" s="84"/>
      <c r="T1680" s="168" t="e">
        <f t="shared" si="69"/>
        <v>#N/A</v>
      </c>
    </row>
    <row r="1681" spans="1:20" x14ac:dyDescent="0.25">
      <c r="A1681" s="6">
        <f t="shared" si="70"/>
        <v>1542</v>
      </c>
      <c r="B1681" s="21"/>
      <c r="C1681" s="126"/>
      <c r="E1681" s="65"/>
      <c r="G1681" s="161">
        <f>MONTH(EJECUTADO[[#This Row],[FECHA]])</f>
        <v>1</v>
      </c>
      <c r="H1681" s="163" t="str">
        <f>MID(EJECUTADO[[#This Row],[CUENTA]],1,4)</f>
        <v/>
      </c>
      <c r="I1681" s="163" t="e">
        <f>INDEX(CATALOGO[Descripción],MATCH(EJECUTADO[[#This Row],[APLICACIÓN]]&amp;"-00-00-00",CATALOGO[Código],0))</f>
        <v>#N/A</v>
      </c>
      <c r="J1681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1" s="161" t="str">
        <f>IF((EJECUTADO[[#This Row],[MONTO DISPONIBLE ]]-EJECUTADO[[#This Row],[MONTO SOLICITADO]])&gt;=0,"PRESUPUESTO: SI","PRESUPUESTO: NO")</f>
        <v>PRESUPUESTO: SI</v>
      </c>
      <c r="L1681" s="162">
        <f>SUMIF(PRESUPUESTO[CUENTA],EJECUTADO[[#This Row],[CUENTA]],PRESUPUESTO[MONTO])-SUMIF($F$1:F1680,EJECUTADO[[#This Row],[CUENTA]],$M$1:M1680)</f>
        <v>0</v>
      </c>
      <c r="M1681" s="2"/>
      <c r="N1681" s="84"/>
      <c r="O1681" s="84"/>
      <c r="P1681" s="162">
        <f>+EJECUTADO[[#This Row],[MONTO SOLICITADO]]-EJECUTADO[[#This Row],[RETENCION IVA]]-EJECUTADO[[#This Row],[RETENCION ISR]]</f>
        <v>0</v>
      </c>
      <c r="Q1681" s="84"/>
      <c r="R1681" s="84"/>
      <c r="T1681" s="168" t="e">
        <f t="shared" si="69"/>
        <v>#N/A</v>
      </c>
    </row>
    <row r="1682" spans="1:20" x14ac:dyDescent="0.25">
      <c r="A1682" s="6">
        <f t="shared" si="70"/>
        <v>1543</v>
      </c>
      <c r="B1682" s="21"/>
      <c r="C1682" s="126"/>
      <c r="E1682" s="65"/>
      <c r="G1682" s="161">
        <f>MONTH(EJECUTADO[[#This Row],[FECHA]])</f>
        <v>1</v>
      </c>
      <c r="H1682" s="163" t="str">
        <f>MID(EJECUTADO[[#This Row],[CUENTA]],1,4)</f>
        <v/>
      </c>
      <c r="I1682" s="163" t="e">
        <f>INDEX(CATALOGO[Descripción],MATCH(EJECUTADO[[#This Row],[APLICACIÓN]]&amp;"-00-00-00",CATALOGO[Código],0))</f>
        <v>#N/A</v>
      </c>
      <c r="J1682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2" s="161" t="str">
        <f>IF((EJECUTADO[[#This Row],[MONTO DISPONIBLE ]]-EJECUTADO[[#This Row],[MONTO SOLICITADO]])&gt;=0,"PRESUPUESTO: SI","PRESUPUESTO: NO")</f>
        <v>PRESUPUESTO: SI</v>
      </c>
      <c r="L1682" s="162">
        <f>SUMIF(PRESUPUESTO[CUENTA],EJECUTADO[[#This Row],[CUENTA]],PRESUPUESTO[MONTO])-SUMIF($F$1:F1681,EJECUTADO[[#This Row],[CUENTA]],$M$1:M1681)</f>
        <v>0</v>
      </c>
      <c r="M1682" s="2"/>
      <c r="N1682" s="84"/>
      <c r="O1682" s="84"/>
      <c r="P1682" s="162">
        <f>+EJECUTADO[[#This Row],[MONTO SOLICITADO]]-EJECUTADO[[#This Row],[RETENCION IVA]]-EJECUTADO[[#This Row],[RETENCION ISR]]</f>
        <v>0</v>
      </c>
      <c r="Q1682" s="84"/>
      <c r="R1682" s="84"/>
      <c r="T1682" s="168" t="e">
        <f t="shared" si="69"/>
        <v>#N/A</v>
      </c>
    </row>
    <row r="1683" spans="1:20" x14ac:dyDescent="0.25">
      <c r="A1683" s="6">
        <f t="shared" si="70"/>
        <v>1544</v>
      </c>
      <c r="B1683" s="21"/>
      <c r="C1683" s="126"/>
      <c r="E1683" s="65"/>
      <c r="G1683" s="161">
        <f>MONTH(EJECUTADO[[#This Row],[FECHA]])</f>
        <v>1</v>
      </c>
      <c r="H1683" s="163" t="str">
        <f>MID(EJECUTADO[[#This Row],[CUENTA]],1,4)</f>
        <v/>
      </c>
      <c r="I1683" s="163" t="e">
        <f>INDEX(CATALOGO[Descripción],MATCH(EJECUTADO[[#This Row],[APLICACIÓN]]&amp;"-00-00-00",CATALOGO[Código],0))</f>
        <v>#N/A</v>
      </c>
      <c r="J1683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3" s="161" t="str">
        <f>IF((EJECUTADO[[#This Row],[MONTO DISPONIBLE ]]-EJECUTADO[[#This Row],[MONTO SOLICITADO]])&gt;=0,"PRESUPUESTO: SI","PRESUPUESTO: NO")</f>
        <v>PRESUPUESTO: SI</v>
      </c>
      <c r="L1683" s="162">
        <f>SUMIF(PRESUPUESTO[CUENTA],EJECUTADO[[#This Row],[CUENTA]],PRESUPUESTO[MONTO])-SUMIF($F$1:F1682,EJECUTADO[[#This Row],[CUENTA]],$M$1:M1682)</f>
        <v>0</v>
      </c>
      <c r="M1683" s="2"/>
      <c r="N1683" s="84"/>
      <c r="O1683" s="84"/>
      <c r="P1683" s="162">
        <f>+EJECUTADO[[#This Row],[MONTO SOLICITADO]]-EJECUTADO[[#This Row],[RETENCION IVA]]-EJECUTADO[[#This Row],[RETENCION ISR]]</f>
        <v>0</v>
      </c>
      <c r="Q1683" s="84"/>
      <c r="R1683" s="84"/>
      <c r="T1683" s="168" t="e">
        <f t="shared" si="69"/>
        <v>#N/A</v>
      </c>
    </row>
    <row r="1684" spans="1:20" x14ac:dyDescent="0.25">
      <c r="A1684" s="6">
        <f t="shared" si="70"/>
        <v>1545</v>
      </c>
      <c r="B1684" s="21"/>
      <c r="C1684" s="126"/>
      <c r="E1684" s="65"/>
      <c r="G1684" s="161">
        <f>MONTH(EJECUTADO[[#This Row],[FECHA]])</f>
        <v>1</v>
      </c>
      <c r="H1684" s="163" t="str">
        <f>MID(EJECUTADO[[#This Row],[CUENTA]],1,4)</f>
        <v/>
      </c>
      <c r="I1684" s="163" t="e">
        <f>INDEX(CATALOGO[Descripción],MATCH(EJECUTADO[[#This Row],[APLICACIÓN]]&amp;"-00-00-00",CATALOGO[Código],0))</f>
        <v>#N/A</v>
      </c>
      <c r="J1684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4" s="161" t="str">
        <f>IF((EJECUTADO[[#This Row],[MONTO DISPONIBLE ]]-EJECUTADO[[#This Row],[MONTO SOLICITADO]])&gt;=0,"PRESUPUESTO: SI","PRESUPUESTO: NO")</f>
        <v>PRESUPUESTO: SI</v>
      </c>
      <c r="L1684" s="162">
        <f>SUMIF(PRESUPUESTO[CUENTA],EJECUTADO[[#This Row],[CUENTA]],PRESUPUESTO[MONTO])-SUMIF($F$1:F1683,EJECUTADO[[#This Row],[CUENTA]],$M$1:M1683)</f>
        <v>0</v>
      </c>
      <c r="M1684" s="2"/>
      <c r="N1684" s="84"/>
      <c r="O1684" s="84"/>
      <c r="P1684" s="162">
        <f>+EJECUTADO[[#This Row],[MONTO SOLICITADO]]-EJECUTADO[[#This Row],[RETENCION IVA]]-EJECUTADO[[#This Row],[RETENCION ISR]]</f>
        <v>0</v>
      </c>
      <c r="Q1684" s="84"/>
      <c r="R1684" s="84"/>
      <c r="T1684" s="168" t="e">
        <f t="shared" si="69"/>
        <v>#N/A</v>
      </c>
    </row>
    <row r="1685" spans="1:20" x14ac:dyDescent="0.25">
      <c r="A1685" s="6">
        <f t="shared" si="70"/>
        <v>1546</v>
      </c>
      <c r="B1685" s="21"/>
      <c r="C1685" s="126"/>
      <c r="E1685" s="65"/>
      <c r="G1685" s="161">
        <f>MONTH(EJECUTADO[[#This Row],[FECHA]])</f>
        <v>1</v>
      </c>
      <c r="H1685" s="163" t="str">
        <f>MID(EJECUTADO[[#This Row],[CUENTA]],1,4)</f>
        <v/>
      </c>
      <c r="I1685" s="163" t="e">
        <f>INDEX(CATALOGO[Descripción],MATCH(EJECUTADO[[#This Row],[APLICACIÓN]]&amp;"-00-00-00",CATALOGO[Código],0))</f>
        <v>#N/A</v>
      </c>
      <c r="J1685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5" s="161" t="str">
        <f>IF((EJECUTADO[[#This Row],[MONTO DISPONIBLE ]]-EJECUTADO[[#This Row],[MONTO SOLICITADO]])&gt;=0,"PRESUPUESTO: SI","PRESUPUESTO: NO")</f>
        <v>PRESUPUESTO: SI</v>
      </c>
      <c r="L1685" s="162">
        <f>SUMIF(PRESUPUESTO[CUENTA],EJECUTADO[[#This Row],[CUENTA]],PRESUPUESTO[MONTO])-SUMIF($F$1:F1684,EJECUTADO[[#This Row],[CUENTA]],$M$1:M1684)</f>
        <v>0</v>
      </c>
      <c r="M1685" s="2"/>
      <c r="N1685" s="84"/>
      <c r="O1685" s="84"/>
      <c r="P1685" s="162">
        <f>+EJECUTADO[[#This Row],[MONTO SOLICITADO]]-EJECUTADO[[#This Row],[RETENCION IVA]]-EJECUTADO[[#This Row],[RETENCION ISR]]</f>
        <v>0</v>
      </c>
      <c r="Q1685" s="84"/>
      <c r="R1685" s="84"/>
      <c r="T1685" s="168" t="e">
        <f t="shared" si="69"/>
        <v>#N/A</v>
      </c>
    </row>
    <row r="1686" spans="1:20" x14ac:dyDescent="0.25">
      <c r="A1686" s="6">
        <f t="shared" si="70"/>
        <v>1547</v>
      </c>
      <c r="B1686" s="21"/>
      <c r="C1686" s="126"/>
      <c r="E1686" s="65"/>
      <c r="G1686" s="161">
        <f>MONTH(EJECUTADO[[#This Row],[FECHA]])</f>
        <v>1</v>
      </c>
      <c r="H1686" s="163" t="str">
        <f>MID(EJECUTADO[[#This Row],[CUENTA]],1,4)</f>
        <v/>
      </c>
      <c r="I1686" s="163" t="e">
        <f>INDEX(CATALOGO[Descripción],MATCH(EJECUTADO[[#This Row],[APLICACIÓN]]&amp;"-00-00-00",CATALOGO[Código],0))</f>
        <v>#N/A</v>
      </c>
      <c r="J1686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6" s="161" t="str">
        <f>IF((EJECUTADO[[#This Row],[MONTO DISPONIBLE ]]-EJECUTADO[[#This Row],[MONTO SOLICITADO]])&gt;=0,"PRESUPUESTO: SI","PRESUPUESTO: NO")</f>
        <v>PRESUPUESTO: SI</v>
      </c>
      <c r="L1686" s="162">
        <f>SUMIF(PRESUPUESTO[CUENTA],EJECUTADO[[#This Row],[CUENTA]],PRESUPUESTO[MONTO])-SUMIF($F$1:F1685,EJECUTADO[[#This Row],[CUENTA]],$M$1:M1685)</f>
        <v>0</v>
      </c>
      <c r="M1686" s="2"/>
      <c r="N1686" s="84"/>
      <c r="O1686" s="84"/>
      <c r="P1686" s="162">
        <f>+EJECUTADO[[#This Row],[MONTO SOLICITADO]]-EJECUTADO[[#This Row],[RETENCION IVA]]-EJECUTADO[[#This Row],[RETENCION ISR]]</f>
        <v>0</v>
      </c>
      <c r="Q1686" s="84"/>
      <c r="R1686" s="84"/>
      <c r="T1686" s="168" t="e">
        <f t="shared" si="69"/>
        <v>#N/A</v>
      </c>
    </row>
    <row r="1687" spans="1:20" x14ac:dyDescent="0.25">
      <c r="A1687" s="6">
        <f t="shared" si="70"/>
        <v>1548</v>
      </c>
      <c r="B1687" s="21"/>
      <c r="C1687" s="126"/>
      <c r="E1687" s="65"/>
      <c r="G1687" s="161">
        <f>MONTH(EJECUTADO[[#This Row],[FECHA]])</f>
        <v>1</v>
      </c>
      <c r="H1687" s="163" t="str">
        <f>MID(EJECUTADO[[#This Row],[CUENTA]],1,4)</f>
        <v/>
      </c>
      <c r="I1687" s="163" t="e">
        <f>INDEX(CATALOGO[Descripción],MATCH(EJECUTADO[[#This Row],[APLICACIÓN]]&amp;"-00-00-00",CATALOGO[Código],0))</f>
        <v>#N/A</v>
      </c>
      <c r="J1687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7" s="161" t="str">
        <f>IF((EJECUTADO[[#This Row],[MONTO DISPONIBLE ]]-EJECUTADO[[#This Row],[MONTO SOLICITADO]])&gt;=0,"PRESUPUESTO: SI","PRESUPUESTO: NO")</f>
        <v>PRESUPUESTO: SI</v>
      </c>
      <c r="L1687" s="162">
        <f>SUMIF(PRESUPUESTO[CUENTA],EJECUTADO[[#This Row],[CUENTA]],PRESUPUESTO[MONTO])-SUMIF($F$1:F1686,EJECUTADO[[#This Row],[CUENTA]],$M$1:M1686)</f>
        <v>0</v>
      </c>
      <c r="M1687" s="2"/>
      <c r="N1687" s="84"/>
      <c r="O1687" s="84"/>
      <c r="P1687" s="162">
        <f>+EJECUTADO[[#This Row],[MONTO SOLICITADO]]-EJECUTADO[[#This Row],[RETENCION IVA]]-EJECUTADO[[#This Row],[RETENCION ISR]]</f>
        <v>0</v>
      </c>
      <c r="Q1687" s="84"/>
      <c r="R1687" s="84"/>
      <c r="T1687" s="168" t="e">
        <f t="shared" si="69"/>
        <v>#N/A</v>
      </c>
    </row>
    <row r="1688" spans="1:20" x14ac:dyDescent="0.25">
      <c r="A1688" s="6">
        <f t="shared" si="70"/>
        <v>1549</v>
      </c>
      <c r="B1688" s="21"/>
      <c r="C1688" s="126"/>
      <c r="E1688" s="65"/>
      <c r="G1688" s="161">
        <f>MONTH(EJECUTADO[[#This Row],[FECHA]])</f>
        <v>1</v>
      </c>
      <c r="H1688" s="163" t="str">
        <f>MID(EJECUTADO[[#This Row],[CUENTA]],1,4)</f>
        <v/>
      </c>
      <c r="I1688" s="163" t="e">
        <f>INDEX(CATALOGO[Descripción],MATCH(EJECUTADO[[#This Row],[APLICACIÓN]]&amp;"-00-00-00",CATALOGO[Código],0))</f>
        <v>#N/A</v>
      </c>
      <c r="J1688" s="161" t="e">
        <f>IF(INDEX(CATALOGO[Acepta movimientos],MATCH(EJECUTADO[[#This Row],[CUENTA]],CATALOGO[Código],0))="S",INDEX(CATALOGO[Descripción],MATCH(EJECUTADO[[#This Row],[CUENTA]],CATALOGO[Código],0)),"LA CUENTA SELECCIONADA NO PERMITE MOVIMIENTO")</f>
        <v>#N/A</v>
      </c>
      <c r="K1688" s="161" t="str">
        <f>IF((EJECUTADO[[#This Row],[MONTO DISPONIBLE ]]-EJECUTADO[[#This Row],[MONTO SOLICITADO]])&gt;=0,"PRESUPUESTO: SI","PRESUPUESTO: NO")</f>
        <v>PRESUPUESTO: SI</v>
      </c>
      <c r="L1688" s="162">
        <f>SUMIF(PRESUPUESTO[CUENTA],EJECUTADO[[#This Row],[CUENTA]],PRESUPUESTO[MONTO])-SUMIF($F$1:F1687,EJECUTADO[[#This Row],[CUENTA]],$M$1:M1687)</f>
        <v>0</v>
      </c>
      <c r="M1688" s="2"/>
      <c r="N1688" s="84"/>
      <c r="O1688" s="84"/>
      <c r="P1688" s="162">
        <f>+EJECUTADO[[#This Row],[MONTO SOLICITADO]]-EJECUTADO[[#This Row],[RETENCION IVA]]-EJECUTADO[[#This Row],[RETENCION ISR]]</f>
        <v>0</v>
      </c>
      <c r="Q1688" s="84"/>
      <c r="R1688" s="84"/>
      <c r="T1688" s="168" t="e">
        <f t="shared" si="69"/>
        <v>#N/A</v>
      </c>
    </row>
    <row r="1689" spans="1:20" s="177" customFormat="1" x14ac:dyDescent="0.25">
      <c r="A1689" s="77"/>
      <c r="B1689" s="21"/>
      <c r="C1689" s="17"/>
      <c r="D1689" s="65"/>
      <c r="E1689" s="65"/>
      <c r="F1689"/>
      <c r="G1689" s="161"/>
      <c r="H1689" s="163"/>
      <c r="I1689" s="163"/>
      <c r="J1689" s="161"/>
      <c r="K1689" s="161"/>
      <c r="L1689" s="164"/>
      <c r="M1689" s="10"/>
      <c r="N1689" s="10"/>
      <c r="O1689" s="10"/>
      <c r="P1689" s="164"/>
      <c r="Q1689" s="10"/>
      <c r="R1689" s="10"/>
      <c r="S1689"/>
      <c r="T1689" s="164"/>
    </row>
  </sheetData>
  <conditionalFormatting sqref="F11">
    <cfRule type="duplicateValues" dxfId="80" priority="82"/>
    <cfRule type="duplicateValues" dxfId="79" priority="81"/>
  </conditionalFormatting>
  <conditionalFormatting sqref="F15">
    <cfRule type="duplicateValues" dxfId="78" priority="37"/>
    <cfRule type="duplicateValues" dxfId="77" priority="38"/>
  </conditionalFormatting>
  <conditionalFormatting sqref="F26">
    <cfRule type="duplicateValues" dxfId="76" priority="77"/>
    <cfRule type="duplicateValues" dxfId="75" priority="78"/>
  </conditionalFormatting>
  <conditionalFormatting sqref="F113">
    <cfRule type="duplicateValues" dxfId="74" priority="33"/>
    <cfRule type="duplicateValues" dxfId="73" priority="34"/>
  </conditionalFormatting>
  <conditionalFormatting sqref="F128">
    <cfRule type="duplicateValues" dxfId="72" priority="68"/>
    <cfRule type="duplicateValues" dxfId="71" priority="67"/>
  </conditionalFormatting>
  <conditionalFormatting sqref="F139">
    <cfRule type="duplicateValues" dxfId="70" priority="27"/>
    <cfRule type="duplicateValues" dxfId="69" priority="28"/>
  </conditionalFormatting>
  <conditionalFormatting sqref="F153">
    <cfRule type="duplicateValues" dxfId="68" priority="25"/>
    <cfRule type="duplicateValues" dxfId="67" priority="26"/>
  </conditionalFormatting>
  <conditionalFormatting sqref="F202">
    <cfRule type="duplicateValues" dxfId="66" priority="66"/>
    <cfRule type="duplicateValues" dxfId="65" priority="65"/>
  </conditionalFormatting>
  <conditionalFormatting sqref="F341">
    <cfRule type="duplicateValues" dxfId="64" priority="96"/>
    <cfRule type="duplicateValues" dxfId="63" priority="95"/>
  </conditionalFormatting>
  <conditionalFormatting sqref="F478">
    <cfRule type="duplicateValues" dxfId="62" priority="56"/>
    <cfRule type="duplicateValues" dxfId="61" priority="55"/>
  </conditionalFormatting>
  <conditionalFormatting sqref="F565">
    <cfRule type="duplicateValues" dxfId="60" priority="92"/>
    <cfRule type="duplicateValues" dxfId="59" priority="91"/>
  </conditionalFormatting>
  <conditionalFormatting sqref="F566">
    <cfRule type="duplicateValues" dxfId="58" priority="90"/>
    <cfRule type="duplicateValues" dxfId="57" priority="89"/>
  </conditionalFormatting>
  <conditionalFormatting sqref="F608">
    <cfRule type="duplicateValues" dxfId="56" priority="51"/>
    <cfRule type="duplicateValues" dxfId="55" priority="52"/>
  </conditionalFormatting>
  <conditionalFormatting sqref="F623">
    <cfRule type="duplicateValues" dxfId="54" priority="49"/>
    <cfRule type="duplicateValues" dxfId="53" priority="50"/>
  </conditionalFormatting>
  <conditionalFormatting sqref="F746">
    <cfRule type="duplicateValues" dxfId="52" priority="75"/>
    <cfRule type="duplicateValues" dxfId="51" priority="76"/>
  </conditionalFormatting>
  <conditionalFormatting sqref="F747">
    <cfRule type="duplicateValues" dxfId="50" priority="72"/>
    <cfRule type="duplicateValues" dxfId="49" priority="71"/>
  </conditionalFormatting>
  <conditionalFormatting sqref="F750">
    <cfRule type="duplicateValues" dxfId="48" priority="58"/>
    <cfRule type="duplicateValues" dxfId="47" priority="57"/>
  </conditionalFormatting>
  <conditionalFormatting sqref="F752">
    <cfRule type="duplicateValues" dxfId="46" priority="64"/>
    <cfRule type="duplicateValues" dxfId="45" priority="63"/>
  </conditionalFormatting>
  <conditionalFormatting sqref="F769">
    <cfRule type="duplicateValues" dxfId="44" priority="42"/>
    <cfRule type="duplicateValues" dxfId="43" priority="41"/>
  </conditionalFormatting>
  <conditionalFormatting sqref="F771">
    <cfRule type="duplicateValues" dxfId="42" priority="53"/>
    <cfRule type="duplicateValues" dxfId="41" priority="54"/>
  </conditionalFormatting>
  <conditionalFormatting sqref="F801">
    <cfRule type="duplicateValues" dxfId="40" priority="47"/>
    <cfRule type="duplicateValues" dxfId="39" priority="48"/>
  </conditionalFormatting>
  <conditionalFormatting sqref="F815">
    <cfRule type="duplicateValues" dxfId="38" priority="44"/>
    <cfRule type="duplicateValues" dxfId="37" priority="43"/>
  </conditionalFormatting>
  <conditionalFormatting sqref="F821">
    <cfRule type="duplicateValues" dxfId="36" priority="46"/>
    <cfRule type="duplicateValues" dxfId="35" priority="45"/>
  </conditionalFormatting>
  <conditionalFormatting sqref="F833">
    <cfRule type="duplicateValues" dxfId="34" priority="32"/>
    <cfRule type="duplicateValues" dxfId="33" priority="31"/>
  </conditionalFormatting>
  <conditionalFormatting sqref="F869">
    <cfRule type="duplicateValues" dxfId="32" priority="35"/>
    <cfRule type="duplicateValues" dxfId="31" priority="36"/>
  </conditionalFormatting>
  <conditionalFormatting sqref="F870">
    <cfRule type="duplicateValues" dxfId="30" priority="30"/>
    <cfRule type="duplicateValues" dxfId="29" priority="29"/>
  </conditionalFormatting>
  <conditionalFormatting sqref="F877:F891">
    <cfRule type="duplicateValues" dxfId="28" priority="24"/>
    <cfRule type="duplicateValues" dxfId="27" priority="23"/>
  </conditionalFormatting>
  <conditionalFormatting sqref="F921">
    <cfRule type="duplicateValues" dxfId="26" priority="22"/>
    <cfRule type="duplicateValues" dxfId="25" priority="21"/>
  </conditionalFormatting>
  <conditionalFormatting sqref="F992">
    <cfRule type="duplicateValues" dxfId="24" priority="16"/>
    <cfRule type="duplicateValues" dxfId="23" priority="15"/>
  </conditionalFormatting>
  <conditionalFormatting sqref="F993">
    <cfRule type="duplicateValues" dxfId="22" priority="11"/>
    <cfRule type="duplicateValues" dxfId="21" priority="12"/>
  </conditionalFormatting>
  <conditionalFormatting sqref="F994">
    <cfRule type="duplicateValues" dxfId="20" priority="10"/>
    <cfRule type="duplicateValues" dxfId="19" priority="9"/>
  </conditionalFormatting>
  <conditionalFormatting sqref="F1207:F1209">
    <cfRule type="duplicateValues" dxfId="18" priority="5"/>
    <cfRule type="duplicateValues" dxfId="17" priority="6"/>
  </conditionalFormatting>
  <conditionalFormatting sqref="F1210:F1211">
    <cfRule type="duplicateValues" dxfId="16" priority="8"/>
    <cfRule type="duplicateValues" dxfId="15" priority="7"/>
  </conditionalFormatting>
  <conditionalFormatting sqref="F1299">
    <cfRule type="duplicateValues" dxfId="14" priority="2"/>
    <cfRule type="duplicateValues" dxfId="13" priority="1"/>
  </conditionalFormatting>
  <conditionalFormatting sqref="F1301">
    <cfRule type="duplicateValues" dxfId="12" priority="4"/>
    <cfRule type="duplicateValues" dxfId="11" priority="3"/>
  </conditionalFormatting>
  <pageMargins left="0.7" right="0.7" top="0.75" bottom="0.75" header="0.3" footer="0.3"/>
  <pageSetup paperSize="9" scale="35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R53"/>
  <sheetViews>
    <sheetView zoomScale="85" zoomScaleNormal="85" workbookViewId="0">
      <selection activeCell="D22" sqref="D22"/>
    </sheetView>
  </sheetViews>
  <sheetFormatPr baseColWidth="10" defaultColWidth="11.42578125" defaultRowHeight="15" x14ac:dyDescent="0.25"/>
  <cols>
    <col min="2" max="2" width="34.5703125" customWidth="1"/>
    <col min="3" max="6" width="17.85546875" customWidth="1"/>
    <col min="7" max="10" width="14.140625" bestFit="1" customWidth="1"/>
    <col min="11" max="11" width="15" customWidth="1"/>
    <col min="12" max="12" width="14" customWidth="1"/>
    <col min="13" max="13" width="14.140625" bestFit="1" customWidth="1"/>
    <col min="14" max="14" width="14" customWidth="1"/>
    <col min="15" max="15" width="14.5703125" customWidth="1"/>
    <col min="16" max="16" width="17.7109375" customWidth="1"/>
    <col min="18" max="18" width="20.42578125" customWidth="1"/>
  </cols>
  <sheetData>
    <row r="1" spans="1:18" x14ac:dyDescent="0.25">
      <c r="A1" t="s">
        <v>3109</v>
      </c>
      <c r="B1" t="s">
        <v>3110</v>
      </c>
      <c r="C1" t="s">
        <v>3111</v>
      </c>
      <c r="D1" t="s">
        <v>3112</v>
      </c>
      <c r="E1" t="s">
        <v>3113</v>
      </c>
      <c r="F1" t="s">
        <v>3114</v>
      </c>
      <c r="G1" t="s">
        <v>3115</v>
      </c>
      <c r="H1" t="s">
        <v>3116</v>
      </c>
      <c r="I1" t="s">
        <v>3117</v>
      </c>
      <c r="J1" t="s">
        <v>3118</v>
      </c>
      <c r="K1" t="s">
        <v>3119</v>
      </c>
      <c r="L1" t="s">
        <v>3120</v>
      </c>
      <c r="M1" t="s">
        <v>3121</v>
      </c>
      <c r="N1" t="s">
        <v>3122</v>
      </c>
      <c r="O1" t="s">
        <v>3123</v>
      </c>
      <c r="P1" t="s">
        <v>3124</v>
      </c>
    </row>
    <row r="2" spans="1:18" x14ac:dyDescent="0.25">
      <c r="A2" t="s">
        <v>3125</v>
      </c>
      <c r="B2" t="s">
        <v>8</v>
      </c>
      <c r="C2" s="5">
        <f>SUMIFS(PRESUPUESTO[MONTO],PRESUPUESTO[APLICACIÓN],REPING[[#This Row],[CODIGO]])</f>
        <v>14124999.999999998</v>
      </c>
      <c r="D2" s="2">
        <f>SUMIFS(INGRESOS[MONTO],INGRESOS[APLICACIÓN],REPING[[#This Row],[CODIGO]],INGRESOS[MES],1)</f>
        <v>1294469.6300000004</v>
      </c>
      <c r="E2" s="2">
        <f>SUMIFS(INGRESOS[MONTO],INGRESOS[APLICACIÓN],REPING[[#This Row],[CODIGO]],INGRESOS[MES],2)</f>
        <v>1238994.1200000001</v>
      </c>
      <c r="F2" s="2">
        <f>SUMIFS(INGRESOS[MONTO],INGRESOS[APLICACIÓN],REPING[[#This Row],[CODIGO]],INGRESOS[MES],3)</f>
        <v>1191732.9500000002</v>
      </c>
      <c r="G2" s="2">
        <f>SUMIFS(INGRESOS[MONTO],INGRESOS[APLICACIÓN],REPING[[#This Row],[CODIGO]],INGRESOS[MES],4)</f>
        <v>0</v>
      </c>
      <c r="H2" s="2">
        <f>SUMIFS(INGRESOS[MONTO],INGRESOS[APLICACIÓN],REPING[[#This Row],[CODIGO]],INGRESOS[MES],5)</f>
        <v>0</v>
      </c>
      <c r="I2" s="2">
        <f>SUMIFS(INGRESOS[MONTO],INGRESOS[APLICACIÓN],REPING[[#This Row],[CODIGO]],INGRESOS[MES],6)</f>
        <v>0</v>
      </c>
      <c r="J2" s="2">
        <f>SUMIFS(INGRESOS[MONTO],INGRESOS[APLICACIÓN],REPING[[#This Row],[CODIGO]],INGRESOS[MES],7)</f>
        <v>0</v>
      </c>
      <c r="K2" s="2">
        <f>SUMIFS(INGRESOS[MONTO],INGRESOS[APLICACIÓN],REPING[[#This Row],[CODIGO]],INGRESOS[MES],8)</f>
        <v>0</v>
      </c>
      <c r="L2" s="2">
        <f>SUMIFS(INGRESOS[MONTO],INGRESOS[APLICACIÓN],REPING[[#This Row],[CODIGO]],INGRESOS[MES],9)</f>
        <v>0</v>
      </c>
      <c r="M2" s="2">
        <f>SUMIFS(INGRESOS[MONTO],INGRESOS[APLICACIÓN],REPING[[#This Row],[CODIGO]],INGRESOS[MES],10)</f>
        <v>0</v>
      </c>
      <c r="N2" s="2">
        <f>SUMIFS(INGRESOS[MONTO],INGRESOS[APLICACIÓN],REPING[[#This Row],[CODIGO]],INGRESOS[MES],11)</f>
        <v>0</v>
      </c>
      <c r="O2" s="2">
        <f>SUMIFS(INGRESOS[MONTO],INGRESOS[APLICACIÓN],REPING[[#This Row],[CODIGO]],INGRESOS[MES],12)</f>
        <v>0</v>
      </c>
      <c r="P2" s="2">
        <f>SUM(REPING[[#This Row],[ENERO]:[DICIEMBRE]])</f>
        <v>3725196.7000000007</v>
      </c>
    </row>
    <row r="3" spans="1:18" x14ac:dyDescent="0.25">
      <c r="A3" t="s">
        <v>3126</v>
      </c>
      <c r="B3" t="s">
        <v>28</v>
      </c>
      <c r="C3" s="10">
        <f>SUMIFS(PRESUPUESTO[MONTO],PRESUPUESTO[APLICACIÓN],REPING[[#This Row],[CODIGO]])</f>
        <v>3124999.9999999995</v>
      </c>
      <c r="D3" s="10">
        <f>SUMIFS(INGRESOS[MONTO],INGRESOS[APLICACIÓN],REPING[[#This Row],[CODIGO]],INGRESOS[MES],1)</f>
        <v>1397858.3</v>
      </c>
      <c r="E3" s="10">
        <f>SUMIFS(INGRESOS[MONTO],INGRESOS[APLICACIÓN],REPING[[#This Row],[CODIGO]],INGRESOS[MES],2)</f>
        <v>55909</v>
      </c>
      <c r="F3" s="10">
        <f>SUMIFS(INGRESOS[MONTO],INGRESOS[APLICACIÓN],REPING[[#This Row],[CODIGO]],INGRESOS[MES],3)</f>
        <v>29989.5</v>
      </c>
      <c r="G3" s="10">
        <f>SUMIFS(INGRESOS[MONTO],INGRESOS[APLICACIÓN],REPING[[#This Row],[CODIGO]],INGRESOS[MES],4)</f>
        <v>0</v>
      </c>
      <c r="H3" s="10">
        <f>SUMIFS(INGRESOS[MONTO],INGRESOS[APLICACIÓN],REPING[[#This Row],[CODIGO]],INGRESOS[MES],5)</f>
        <v>0</v>
      </c>
      <c r="I3" s="10">
        <f>SUMIFS(INGRESOS[MONTO],INGRESOS[APLICACIÓN],REPING[[#This Row],[CODIGO]],INGRESOS[MES],6)</f>
        <v>0</v>
      </c>
      <c r="J3" s="10">
        <f>SUMIFS(INGRESOS[MONTO],INGRESOS[APLICACIÓN],REPING[[#This Row],[CODIGO]],INGRESOS[MES],7)</f>
        <v>0</v>
      </c>
      <c r="K3" s="10">
        <f>SUMIFS(INGRESOS[MONTO],INGRESOS[APLICACIÓN],REPING[[#This Row],[CODIGO]],INGRESOS[MES],8)</f>
        <v>0</v>
      </c>
      <c r="L3" s="2">
        <f>SUMIFS(INGRESOS[MONTO],INGRESOS[APLICACIÓN],REPING[[#This Row],[CODIGO]],INGRESOS[MES],9)</f>
        <v>0</v>
      </c>
      <c r="M3" s="10">
        <f>SUMIFS(INGRESOS[MONTO],INGRESOS[APLICACIÓN],REPING[[#This Row],[CODIGO]],INGRESOS[MES],10)</f>
        <v>0</v>
      </c>
      <c r="N3" s="10">
        <f>SUMIFS(INGRESOS[MONTO],INGRESOS[APLICACIÓN],REPING[[#This Row],[CODIGO]],INGRESOS[MES],11)</f>
        <v>0</v>
      </c>
      <c r="O3" s="10">
        <f>SUMIFS(INGRESOS[MONTO],INGRESOS[APLICACIÓN],REPING[[#This Row],[CODIGO]],INGRESOS[MES],12)</f>
        <v>0</v>
      </c>
      <c r="P3" s="10">
        <f>SUM(REPING[[#This Row],[ENERO]:[DICIEMBRE]])</f>
        <v>1483756.8</v>
      </c>
    </row>
    <row r="4" spans="1:18" x14ac:dyDescent="0.25">
      <c r="A4" t="s">
        <v>3127</v>
      </c>
      <c r="B4" t="s">
        <v>40</v>
      </c>
      <c r="C4" s="10">
        <f>SUMIFS(PRESUPUESTO[MONTO],PRESUPUESTO[APLICACIÓN],REPING[[#This Row],[CODIGO]])</f>
        <v>3525000</v>
      </c>
      <c r="D4" s="10">
        <f>SUMIFS(INGRESOS[MONTO],INGRESOS[APLICACIÓN],REPING[[#This Row],[CODIGO]],INGRESOS[MES],1)</f>
        <v>114434.9</v>
      </c>
      <c r="E4" s="10">
        <f>SUMIFS(INGRESOS[MONTO],INGRESOS[APLICACIÓN],REPING[[#This Row],[CODIGO]],INGRESOS[MES],2)</f>
        <v>351084.44</v>
      </c>
      <c r="F4" s="10">
        <f>SUMIFS(INGRESOS[MONTO],INGRESOS[APLICACIÓN],REPING[[#This Row],[CODIGO]],INGRESOS[MES],3)</f>
        <v>201596.03</v>
      </c>
      <c r="G4" s="10">
        <f>SUMIFS(INGRESOS[MONTO],INGRESOS[APLICACIÓN],REPING[[#This Row],[CODIGO]],INGRESOS[MES],4)</f>
        <v>0</v>
      </c>
      <c r="H4" s="10">
        <f>SUMIFS(INGRESOS[MONTO],INGRESOS[APLICACIÓN],REPING[[#This Row],[CODIGO]],INGRESOS[MES],5)</f>
        <v>0</v>
      </c>
      <c r="I4" s="10">
        <f>SUMIFS(INGRESOS[MONTO],INGRESOS[APLICACIÓN],REPING[[#This Row],[CODIGO]],INGRESOS[MES],6)</f>
        <v>0</v>
      </c>
      <c r="J4" s="10">
        <f>SUMIFS(INGRESOS[MONTO],INGRESOS[APLICACIÓN],REPING[[#This Row],[CODIGO]],INGRESOS[MES],7)</f>
        <v>0</v>
      </c>
      <c r="K4" s="10">
        <f>SUMIFS(INGRESOS[MONTO],INGRESOS[APLICACIÓN],REPING[[#This Row],[CODIGO]],INGRESOS[MES],8)</f>
        <v>0</v>
      </c>
      <c r="L4" s="2">
        <f>SUMIFS(INGRESOS[MONTO],INGRESOS[APLICACIÓN],REPING[[#This Row],[CODIGO]],INGRESOS[MES],9)</f>
        <v>0</v>
      </c>
      <c r="M4" s="10">
        <f>SUMIFS(INGRESOS[MONTO],INGRESOS[APLICACIÓN],REPING[[#This Row],[CODIGO]],INGRESOS[MES],10)</f>
        <v>0</v>
      </c>
      <c r="N4" s="10">
        <f>SUMIFS(INGRESOS[MONTO],INGRESOS[APLICACIÓN],REPING[[#This Row],[CODIGO]],INGRESOS[MES],11)</f>
        <v>0</v>
      </c>
      <c r="O4" s="10">
        <f>SUMIFS(INGRESOS[MONTO],INGRESOS[APLICACIÓN],REPING[[#This Row],[CODIGO]],INGRESOS[MES],12)</f>
        <v>0</v>
      </c>
      <c r="P4" s="10">
        <f>SUM(REPING[[#This Row],[ENERO]:[DICIEMBRE]])</f>
        <v>667115.37</v>
      </c>
    </row>
    <row r="5" spans="1:18" x14ac:dyDescent="0.25">
      <c r="A5" t="s">
        <v>3128</v>
      </c>
      <c r="B5" t="s">
        <v>50</v>
      </c>
      <c r="C5" s="10">
        <f>SUMIFS(PRESUPUESTO[MONTO],PRESUPUESTO[APLICACIÓN],REPING[[#This Row],[CODIGO]])</f>
        <v>800000</v>
      </c>
      <c r="D5" s="10">
        <f>SUMIFS(INGRESOS[MONTO],INGRESOS[APLICACIÓN],REPING[[#This Row],[CODIGO]],INGRESOS[MES],1)</f>
        <v>1951.25</v>
      </c>
      <c r="E5" s="10">
        <f>SUMIFS(INGRESOS[MONTO],INGRESOS[APLICACIÓN],REPING[[#This Row],[CODIGO]],INGRESOS[MES],2)</f>
        <v>67772.02</v>
      </c>
      <c r="F5" s="10">
        <f>SUMIFS(INGRESOS[MONTO],INGRESOS[APLICACIÓN],REPING[[#This Row],[CODIGO]],INGRESOS[MES],3)</f>
        <v>80360.709999999992</v>
      </c>
      <c r="G5" s="10">
        <f>SUMIFS(INGRESOS[MONTO],INGRESOS[APLICACIÓN],REPING[[#This Row],[CODIGO]],INGRESOS[MES],4)</f>
        <v>0</v>
      </c>
      <c r="H5" s="10">
        <f>SUMIFS(INGRESOS[MONTO],INGRESOS[APLICACIÓN],REPING[[#This Row],[CODIGO]],INGRESOS[MES],5)</f>
        <v>0</v>
      </c>
      <c r="I5" s="10">
        <f>SUMIFS(INGRESOS[MONTO],INGRESOS[APLICACIÓN],REPING[[#This Row],[CODIGO]],INGRESOS[MES],6)</f>
        <v>0</v>
      </c>
      <c r="J5" s="10">
        <f>SUMIFS(INGRESOS[MONTO],INGRESOS[APLICACIÓN],REPING[[#This Row],[CODIGO]],INGRESOS[MES],7)</f>
        <v>0</v>
      </c>
      <c r="K5" s="10">
        <f>SUMIFS(INGRESOS[MONTO],INGRESOS[APLICACIÓN],REPING[[#This Row],[CODIGO]],INGRESOS[MES],8)</f>
        <v>0</v>
      </c>
      <c r="L5" s="2">
        <f>SUMIFS(INGRESOS[MONTO],INGRESOS[APLICACIÓN],REPING[[#This Row],[CODIGO]],INGRESOS[MES],9)</f>
        <v>0</v>
      </c>
      <c r="M5" s="10">
        <f>SUMIFS(INGRESOS[MONTO],INGRESOS[APLICACIÓN],REPING[[#This Row],[CODIGO]],INGRESOS[MES],10)</f>
        <v>0</v>
      </c>
      <c r="N5" s="10">
        <f>SUMIFS(INGRESOS[MONTO],INGRESOS[APLICACIÓN],REPING[[#This Row],[CODIGO]],INGRESOS[MES],11)</f>
        <v>0</v>
      </c>
      <c r="O5" s="10">
        <f>SUMIFS(INGRESOS[MONTO],INGRESOS[APLICACIÓN],REPING[[#This Row],[CODIGO]],INGRESOS[MES],12)</f>
        <v>0</v>
      </c>
      <c r="P5" s="10">
        <f>SUM(REPING[[#This Row],[ENERO]:[DICIEMBRE]])</f>
        <v>150083.97999999998</v>
      </c>
    </row>
    <row r="6" spans="1:18" x14ac:dyDescent="0.25">
      <c r="A6" t="s">
        <v>3129</v>
      </c>
      <c r="B6" t="s">
        <v>3130</v>
      </c>
      <c r="C6" s="10">
        <f>SUMIFS(PRESUPUESTO[MONTO],PRESUPUESTO[APLICACIÓN],REPING[[#This Row],[CODIGO]])</f>
        <v>1300000</v>
      </c>
      <c r="D6" s="10">
        <f>SUMIFS(INGRESOS[MONTO],INGRESOS[APLICACIÓN],REPING[[#This Row],[CODIGO]],INGRESOS[MES],1)</f>
        <v>96427.19</v>
      </c>
      <c r="E6" s="10">
        <f>SUMIFS(INGRESOS[MONTO],INGRESOS[APLICACIÓN],REPING[[#This Row],[CODIGO]],INGRESOS[MES],2)</f>
        <v>99075.29</v>
      </c>
      <c r="F6" s="10">
        <f>SUMIFS(INGRESOS[MONTO],INGRESOS[APLICACIÓN],REPING[[#This Row],[CODIGO]],INGRESOS[MES],3)</f>
        <v>107249.06</v>
      </c>
      <c r="G6" s="10">
        <f>SUMIFS(INGRESOS[MONTO],INGRESOS[APLICACIÓN],REPING[[#This Row],[CODIGO]],INGRESOS[MES],4)</f>
        <v>0</v>
      </c>
      <c r="H6" s="10">
        <f>SUMIFS(INGRESOS[MONTO],INGRESOS[APLICACIÓN],REPING[[#This Row],[CODIGO]],INGRESOS[MES],5)</f>
        <v>0</v>
      </c>
      <c r="I6" s="10">
        <f>SUMIFS(INGRESOS[MONTO],INGRESOS[APLICACIÓN],REPING[[#This Row],[CODIGO]],INGRESOS[MES],6)</f>
        <v>0</v>
      </c>
      <c r="J6" s="10">
        <f>SUMIFS(INGRESOS[MONTO],INGRESOS[APLICACIÓN],REPING[[#This Row],[CODIGO]],INGRESOS[MES],7)</f>
        <v>0</v>
      </c>
      <c r="K6" s="10">
        <f>SUMIFS(INGRESOS[MONTO],INGRESOS[APLICACIÓN],REPING[[#This Row],[CODIGO]],INGRESOS[MES],8)</f>
        <v>0</v>
      </c>
      <c r="L6" s="2">
        <f>SUMIFS(INGRESOS[MONTO],INGRESOS[APLICACIÓN],REPING[[#This Row],[CODIGO]],INGRESOS[MES],9)</f>
        <v>0</v>
      </c>
      <c r="M6" s="10">
        <f>SUMIFS(INGRESOS[MONTO],INGRESOS[APLICACIÓN],REPING[[#This Row],[CODIGO]],INGRESOS[MES],10)</f>
        <v>0</v>
      </c>
      <c r="N6" s="10">
        <f>SUMIFS(INGRESOS[MONTO],INGRESOS[APLICACIÓN],REPING[[#This Row],[CODIGO]],INGRESOS[MES],11)</f>
        <v>0</v>
      </c>
      <c r="O6" s="10">
        <f>SUMIFS(INGRESOS[MONTO],INGRESOS[APLICACIÓN],REPING[[#This Row],[CODIGO]],INGRESOS[MES],12)</f>
        <v>0</v>
      </c>
      <c r="P6" s="10">
        <f>SUM(REPING[[#This Row],[ENERO]:[DICIEMBRE]])</f>
        <v>302751.53999999998</v>
      </c>
    </row>
    <row r="7" spans="1:18" x14ac:dyDescent="0.25">
      <c r="A7" t="s">
        <v>3131</v>
      </c>
      <c r="B7" t="s">
        <v>66</v>
      </c>
      <c r="C7" s="10">
        <f>SUMIFS(PRESUPUESTO[MONTO],PRESUPUESTO[APLICACIÓN],REPING[[#This Row],[CODIGO]])</f>
        <v>575000</v>
      </c>
      <c r="D7" s="10">
        <f>SUMIFS(INGRESOS[MONTO],INGRESOS[APLICACIÓN],REPING[[#This Row],[CODIGO]],INGRESOS[MES],1)</f>
        <v>67037.250000000015</v>
      </c>
      <c r="E7" s="10">
        <f>SUMIFS(INGRESOS[MONTO],INGRESOS[APLICACIÓN],REPING[[#This Row],[CODIGO]],INGRESOS[MES],2)</f>
        <v>105939.33</v>
      </c>
      <c r="F7" s="10">
        <f>SUMIFS(INGRESOS[MONTO],INGRESOS[APLICACIÓN],REPING[[#This Row],[CODIGO]],INGRESOS[MES],3)</f>
        <v>91775.049999999988</v>
      </c>
      <c r="G7" s="10">
        <f>SUMIFS(INGRESOS[MONTO],INGRESOS[APLICACIÓN],REPING[[#This Row],[CODIGO]],INGRESOS[MES],4)</f>
        <v>0</v>
      </c>
      <c r="H7" s="10">
        <f>SUMIFS(INGRESOS[MONTO],INGRESOS[APLICACIÓN],REPING[[#This Row],[CODIGO]],INGRESOS[MES],5)</f>
        <v>0</v>
      </c>
      <c r="I7" s="10">
        <f>SUMIFS(INGRESOS[MONTO],INGRESOS[APLICACIÓN],REPING[[#This Row],[CODIGO]],INGRESOS[MES],6)</f>
        <v>0</v>
      </c>
      <c r="J7" s="10">
        <f>SUMIFS(INGRESOS[MONTO],INGRESOS[APLICACIÓN],REPING[[#This Row],[CODIGO]],INGRESOS[MES],7)</f>
        <v>0</v>
      </c>
      <c r="K7" s="10">
        <f>SUMIFS(INGRESOS[MONTO],INGRESOS[APLICACIÓN],REPING[[#This Row],[CODIGO]],INGRESOS[MES],8)</f>
        <v>0</v>
      </c>
      <c r="L7" s="2">
        <f>SUMIFS(INGRESOS[MONTO],INGRESOS[APLICACIÓN],REPING[[#This Row],[CODIGO]],INGRESOS[MES],9)</f>
        <v>0</v>
      </c>
      <c r="M7" s="10">
        <f>SUMIFS(INGRESOS[MONTO],INGRESOS[APLICACIÓN],REPING[[#This Row],[CODIGO]],INGRESOS[MES],10)</f>
        <v>0</v>
      </c>
      <c r="N7" s="10">
        <f>SUMIFS(INGRESOS[MONTO],INGRESOS[APLICACIÓN],REPING[[#This Row],[CODIGO]],INGRESOS[MES],11)</f>
        <v>0</v>
      </c>
      <c r="O7" s="10">
        <f>SUMIFS(INGRESOS[MONTO],INGRESOS[APLICACIÓN],REPING[[#This Row],[CODIGO]],INGRESOS[MES],12)</f>
        <v>0</v>
      </c>
      <c r="P7" s="10">
        <f>SUM(REPING[[#This Row],[ENERO]:[DICIEMBRE]])</f>
        <v>264751.63</v>
      </c>
    </row>
    <row r="8" spans="1:18" x14ac:dyDescent="0.25">
      <c r="A8" t="s">
        <v>3132</v>
      </c>
      <c r="B8" t="s">
        <v>102</v>
      </c>
      <c r="C8" s="10">
        <f>SUMIFS(PRESUPUESTO[MONTO],PRESUPUESTO[APLICACIÓN],REPING[[#This Row],[CODIGO]])</f>
        <v>0</v>
      </c>
      <c r="D8" s="10">
        <f>SUMIFS(INGRESOS[MONTO],INGRESOS[APLICACIÓN],REPING[[#This Row],[CODIGO]],INGRESOS[MES],1)</f>
        <v>0</v>
      </c>
      <c r="E8" s="10">
        <f>SUMIFS(INGRESOS[MONTO],INGRESOS[APLICACIÓN],REPING[[#This Row],[CODIGO]],INGRESOS[MES],2)</f>
        <v>0</v>
      </c>
      <c r="F8" s="10">
        <f>SUMIFS(INGRESOS[MONTO],INGRESOS[APLICACIÓN],REPING[[#This Row],[CODIGO]],INGRESOS[MES],3)</f>
        <v>0</v>
      </c>
      <c r="G8" s="10">
        <f>SUMIFS(INGRESOS[MONTO],INGRESOS[APLICACIÓN],REPING[[#This Row],[CODIGO]],INGRESOS[MES],4)</f>
        <v>0</v>
      </c>
      <c r="H8" s="10">
        <f>SUMIFS(INGRESOS[MONTO],INGRESOS[APLICACIÓN],REPING[[#This Row],[CODIGO]],INGRESOS[MES],5)</f>
        <v>0</v>
      </c>
      <c r="I8" s="10">
        <f>SUMIFS(INGRESOS[MONTO],INGRESOS[APLICACIÓN],REPING[[#This Row],[CODIGO]],INGRESOS[MES],6)</f>
        <v>0</v>
      </c>
      <c r="J8" s="10">
        <f>SUMIFS(INGRESOS[MONTO],INGRESOS[APLICACIÓN],REPING[[#This Row],[CODIGO]],INGRESOS[MES],7)</f>
        <v>0</v>
      </c>
      <c r="K8" s="10">
        <f>SUMIFS(INGRESOS[MONTO],INGRESOS[APLICACIÓN],REPING[[#This Row],[CODIGO]],INGRESOS[MES],8)</f>
        <v>0</v>
      </c>
      <c r="L8" s="2">
        <f>SUMIFS(INGRESOS[MONTO],INGRESOS[APLICACIÓN],REPING[[#This Row],[CODIGO]],INGRESOS[MES],9)</f>
        <v>0</v>
      </c>
      <c r="M8" s="10">
        <f>SUMIFS(INGRESOS[MONTO],INGRESOS[APLICACIÓN],REPING[[#This Row],[CODIGO]],INGRESOS[MES],10)</f>
        <v>0</v>
      </c>
      <c r="N8" s="10">
        <f>SUMIFS(INGRESOS[MONTO],INGRESOS[APLICACIÓN],REPING[[#This Row],[CODIGO]],INGRESOS[MES],11)</f>
        <v>0</v>
      </c>
      <c r="O8" s="10">
        <f>SUMIFS(INGRESOS[MONTO],INGRESOS[APLICACIÓN],REPING[[#This Row],[CODIGO]],INGRESOS[MES],12)</f>
        <v>0</v>
      </c>
      <c r="P8" s="10">
        <f>SUM(REPING[[#This Row],[ENERO]:[DICIEMBRE]])</f>
        <v>0</v>
      </c>
    </row>
    <row r="9" spans="1:18" x14ac:dyDescent="0.25">
      <c r="A9" t="s">
        <v>3133</v>
      </c>
      <c r="B9" t="s">
        <v>83</v>
      </c>
      <c r="C9" s="10">
        <f>SUMIFS(PRESUPUESTO[MONTO],PRESUPUESTO[APLICACIÓN],REPING[[#This Row],[CODIGO]])</f>
        <v>230000</v>
      </c>
      <c r="D9" s="10">
        <f>SUMIFS(INGRESOS[MONTO],INGRESOS[APLICACIÓN],REPING[[#This Row],[CODIGO]],INGRESOS[MES],1)</f>
        <v>4660.49</v>
      </c>
      <c r="E9" s="10">
        <f>SUMIFS(INGRESOS[MONTO],INGRESOS[APLICACIÓN],REPING[[#This Row],[CODIGO]],INGRESOS[MES],2)</f>
        <v>21322.240000000002</v>
      </c>
      <c r="F9" s="10">
        <f>SUMIFS(INGRESOS[MONTO],INGRESOS[APLICACIÓN],REPING[[#This Row],[CODIGO]],INGRESOS[MES],3)</f>
        <v>5047.1899999999996</v>
      </c>
      <c r="G9" s="10">
        <f>SUMIFS(INGRESOS[MONTO],INGRESOS[APLICACIÓN],REPING[[#This Row],[CODIGO]],INGRESOS[MES],4)</f>
        <v>0</v>
      </c>
      <c r="H9" s="10">
        <f>SUMIFS(INGRESOS[MONTO],INGRESOS[APLICACIÓN],REPING[[#This Row],[CODIGO]],INGRESOS[MES],5)</f>
        <v>0</v>
      </c>
      <c r="I9" s="10">
        <f>SUMIFS(INGRESOS[MONTO],INGRESOS[APLICACIÓN],REPING[[#This Row],[CODIGO]],INGRESOS[MES],6)</f>
        <v>0</v>
      </c>
      <c r="J9" s="10">
        <f>SUMIFS(INGRESOS[MONTO],INGRESOS[APLICACIÓN],REPING[[#This Row],[CODIGO]],INGRESOS[MES],7)</f>
        <v>0</v>
      </c>
      <c r="K9" s="10">
        <f>SUMIFS(INGRESOS[MONTO],INGRESOS[APLICACIÓN],REPING[[#This Row],[CODIGO]],INGRESOS[MES],8)</f>
        <v>0</v>
      </c>
      <c r="L9" s="2">
        <f>SUMIFS(INGRESOS[MONTO],INGRESOS[APLICACIÓN],REPING[[#This Row],[CODIGO]],INGRESOS[MES],9)</f>
        <v>0</v>
      </c>
      <c r="M9" s="10">
        <f>SUMIFS(INGRESOS[MONTO],INGRESOS[APLICACIÓN],REPING[[#This Row],[CODIGO]],INGRESOS[MES],10)</f>
        <v>0</v>
      </c>
      <c r="N9" s="10">
        <f>SUMIFS(INGRESOS[MONTO],INGRESOS[APLICACIÓN],REPING[[#This Row],[CODIGO]],INGRESOS[MES],11)</f>
        <v>0</v>
      </c>
      <c r="O9" s="10">
        <f>SUMIFS(INGRESOS[MONTO],INGRESOS[APLICACIÓN],REPING[[#This Row],[CODIGO]],INGRESOS[MES],12)</f>
        <v>0</v>
      </c>
      <c r="P9" s="10">
        <f>SUM(REPING[[#This Row],[ENERO]:[DICIEMBRE]])</f>
        <v>31029.920000000002</v>
      </c>
    </row>
    <row r="10" spans="1:18" x14ac:dyDescent="0.25">
      <c r="A10" t="s">
        <v>3134</v>
      </c>
      <c r="C10" s="10">
        <f>SUBTOTAL(109,REPING[PRESUPUESTADO])</f>
        <v>23679999.999999996</v>
      </c>
      <c r="D10" s="2">
        <f t="shared" ref="D10:P10" si="0">SUBTOTAL(109,D2:D9)</f>
        <v>2976839.0100000007</v>
      </c>
      <c r="E10" s="2">
        <f t="shared" si="0"/>
        <v>1940096.4400000002</v>
      </c>
      <c r="F10" s="54">
        <f t="shared" si="0"/>
        <v>1707750.4900000002</v>
      </c>
      <c r="G10" s="2">
        <f>SUBTOTAL(109,REPING[ABRIL])</f>
        <v>0</v>
      </c>
      <c r="H10" s="2">
        <f t="shared" si="0"/>
        <v>0</v>
      </c>
      <c r="I10" s="2">
        <f t="shared" si="0"/>
        <v>0</v>
      </c>
      <c r="J10" s="2">
        <f>SUBTOTAL(109,REPING[JULIO])</f>
        <v>0</v>
      </c>
      <c r="K10" s="2">
        <f>SUBTOTAL(109,REPING[AGOSTO])</f>
        <v>0</v>
      </c>
      <c r="L10" s="2">
        <f t="shared" si="0"/>
        <v>0</v>
      </c>
      <c r="M10" s="2">
        <f t="shared" si="0"/>
        <v>0</v>
      </c>
      <c r="N10" s="2">
        <f>SUBTOTAL(109,REPING[NOVIEMBRE])</f>
        <v>0</v>
      </c>
      <c r="O10" s="2">
        <f t="shared" si="0"/>
        <v>0</v>
      </c>
      <c r="P10" s="2">
        <f t="shared" si="0"/>
        <v>6624685.9400000013</v>
      </c>
    </row>
    <row r="11" spans="1:18" x14ac:dyDescent="0.25">
      <c r="D11" s="2"/>
      <c r="E11" s="2"/>
      <c r="F11" s="2"/>
      <c r="G11" s="2"/>
      <c r="H11" s="2"/>
      <c r="I11" s="18"/>
    </row>
    <row r="12" spans="1:18" x14ac:dyDescent="0.25">
      <c r="R12" s="10">
        <f>REPORTE[[#Totals],[EJECUTADO]]-REPING[[#Totals],[EJECUTADO]]</f>
        <v>-233468.46700000111</v>
      </c>
    </row>
    <row r="13" spans="1:18" x14ac:dyDescent="0.25">
      <c r="A13" t="s">
        <v>3109</v>
      </c>
      <c r="B13" t="s">
        <v>3110</v>
      </c>
      <c r="C13" t="s">
        <v>3111</v>
      </c>
      <c r="D13" t="s">
        <v>3112</v>
      </c>
      <c r="E13" t="s">
        <v>3113</v>
      </c>
      <c r="F13" t="s">
        <v>3114</v>
      </c>
      <c r="G13" t="s">
        <v>3115</v>
      </c>
      <c r="H13" t="s">
        <v>3116</v>
      </c>
      <c r="I13" t="s">
        <v>3117</v>
      </c>
      <c r="J13" t="s">
        <v>3118</v>
      </c>
      <c r="K13" t="s">
        <v>3119</v>
      </c>
      <c r="L13" t="s">
        <v>3120</v>
      </c>
      <c r="M13" t="s">
        <v>3121</v>
      </c>
      <c r="N13" t="s">
        <v>3122</v>
      </c>
      <c r="O13" t="s">
        <v>3123</v>
      </c>
      <c r="P13" t="s">
        <v>3124</v>
      </c>
    </row>
    <row r="14" spans="1:18" x14ac:dyDescent="0.25">
      <c r="A14" s="3" t="s">
        <v>3135</v>
      </c>
      <c r="B14" s="4" t="s">
        <v>113</v>
      </c>
      <c r="C14" s="5">
        <f>SUMIFS(PRESUPUESTO[MONTO],PRESUPUESTO[APLICACIÓN],REPORTE[[#This Row],[CODIGO]])</f>
        <v>2533280</v>
      </c>
      <c r="D14" s="5">
        <f>SUMIFS(EJECUTADO[MONTO SOLICITADO],EJECUTADO[APLICACIÓN],REPORTE[[#This Row],[CODIGO]],EJECUTADO[MES],1)</f>
        <v>224207</v>
      </c>
      <c r="E14" s="5">
        <f>SUMIFS(EJECUTADO[MONTO SOLICITADO],EJECUTADO[APLICACIÓN],REPORTE[[#This Row],[CODIGO]],EJECUTADO[MES],2)</f>
        <v>228260</v>
      </c>
      <c r="F14" s="5">
        <f>SUMIFS(EJECUTADO[MONTO SOLICITADO],EJECUTADO[APLICACIÓN],REPORTE[[#This Row],[CODIGO]],EJECUTADO[MES],3)</f>
        <v>224068.54</v>
      </c>
      <c r="G14" s="5">
        <f>SUMIFS(EJECUTADO[MONTO SOLICITADO],EJECUTADO[APLICACIÓN],REPORTE[[#This Row],[CODIGO]],EJECUTADO[MES],4)</f>
        <v>67210</v>
      </c>
      <c r="H14" s="5">
        <f>SUMIFS(EJECUTADO[MONTO SOLICITADO],EJECUTADO[APLICACIÓN],REPORTE[[#This Row],[CODIGO]],EJECUTADO[MES],5)</f>
        <v>0</v>
      </c>
      <c r="I14" s="5">
        <f>SUMIFS(EJECUTADO[MONTO SOLICITADO],EJECUTADO[APLICACIÓN],REPORTE[[#This Row],[CODIGO]],EJECUTADO[MES],6)</f>
        <v>0</v>
      </c>
      <c r="J14" s="5">
        <f>SUMIFS(EJECUTADO[MONTO SOLICITADO],EJECUTADO[APLICACIÓN],REPORTE[[#This Row],[CODIGO]],EJECUTADO[MES],7)</f>
        <v>0</v>
      </c>
      <c r="K14" s="5">
        <f>SUMIFS(EJECUTADO[MONTO SOLICITADO],EJECUTADO[APLICACIÓN],REPORTE[[#This Row],[CODIGO]],EJECUTADO[MES],8)</f>
        <v>0</v>
      </c>
      <c r="L14" s="5">
        <f>SUMIFS(EJECUTADO[MONTO SOLICITADO],EJECUTADO[APLICACIÓN],REPORTE[[#This Row],[CODIGO]],EJECUTADO[MES],9)</f>
        <v>0</v>
      </c>
      <c r="M14" s="5">
        <f>SUMIFS(EJECUTADO[MONTO SOLICITADO],EJECUTADO[APLICACIÓN],REPORTE[[#This Row],[CODIGO]],EJECUTADO[MES],10)</f>
        <v>0</v>
      </c>
      <c r="N14" s="5">
        <f>SUMIFS(EJECUTADO[MONTO SOLICITADO],EJECUTADO[APLICACIÓN],REPORTE[[#This Row],[CODIGO]],EJECUTADO[MES],11)</f>
        <v>0</v>
      </c>
      <c r="O14" s="5">
        <f>SUMIFS(EJECUTADO[MONTO SOLICITADO],EJECUTADO[APLICACIÓN],REPORTE[[#This Row],[CODIGO]],EJECUTADO[MES],12)</f>
        <v>0</v>
      </c>
      <c r="P14" s="5">
        <f>SUM(REPORTE[[#This Row],[ENERO]:[DICIEMBRE]])</f>
        <v>743745.54</v>
      </c>
    </row>
    <row r="15" spans="1:18" x14ac:dyDescent="0.25">
      <c r="A15" s="3" t="s">
        <v>3142</v>
      </c>
      <c r="B15" s="1" t="s">
        <v>171</v>
      </c>
      <c r="C15" s="2">
        <f>SUMIFS(PRESUPUESTO[MONTO],PRESUPUESTO[APLICACIÓN],REPORTE[[#This Row],[CODIGO]])</f>
        <v>2226967</v>
      </c>
      <c r="D15" s="2">
        <f>SUMIFS(EJECUTADO[MONTO SOLICITADO],EJECUTADO[APLICACIÓN],REPORTE[[#This Row],[CODIGO]],EJECUTADO[MES],1)</f>
        <v>159791.5</v>
      </c>
      <c r="E15" s="2">
        <f>SUMIFS(EJECUTADO[MONTO SOLICITADO],EJECUTADO[APLICACIÓN],REPORTE[[#This Row],[CODIGO]],EJECUTADO[MES],2)</f>
        <v>350403.02</v>
      </c>
      <c r="F15" s="2">
        <f>SUMIFS(EJECUTADO[MONTO SOLICITADO],EJECUTADO[APLICACIÓN],REPORTE[[#This Row],[CODIGO]],EJECUTADO[MES],3)</f>
        <v>175896.38</v>
      </c>
      <c r="G15" s="2">
        <f>SUMIFS(EJECUTADO[MONTO SOLICITADO],EJECUTADO[APLICACIÓN],REPORTE[[#This Row],[CODIGO]],EJECUTADO[MES],4)</f>
        <v>3051</v>
      </c>
      <c r="H15" s="2">
        <f>SUMIFS(EJECUTADO[MONTO SOLICITADO],EJECUTADO[APLICACIÓN],REPORTE[[#This Row],[CODIGO]],EJECUTADO[MES],5)</f>
        <v>0</v>
      </c>
      <c r="I15" s="2">
        <f>SUMIFS(EJECUTADO[MONTO SOLICITADO],EJECUTADO[APLICACIÓN],REPORTE[[#This Row],[CODIGO]],EJECUTADO[MES],6)</f>
        <v>0</v>
      </c>
      <c r="J15" s="2">
        <f>SUMIFS(EJECUTADO[MONTO SOLICITADO],EJECUTADO[APLICACIÓN],REPORTE[[#This Row],[CODIGO]],EJECUTADO[MES],7)</f>
        <v>0</v>
      </c>
      <c r="K15" s="2">
        <f>SUMIFS(EJECUTADO[MONTO SOLICITADO],EJECUTADO[APLICACIÓN],REPORTE[[#This Row],[CODIGO]],EJECUTADO[MES],8)</f>
        <v>0</v>
      </c>
      <c r="L15" s="2">
        <f>SUMIFS(EJECUTADO[MONTO SOLICITADO],EJECUTADO[APLICACIÓN],REPORTE[[#This Row],[CODIGO]],EJECUTADO[MES],9)</f>
        <v>0</v>
      </c>
      <c r="M15" s="2">
        <f>SUMIFS(EJECUTADO[MONTO SOLICITADO],EJECUTADO[APLICACIÓN],REPORTE[[#This Row],[CODIGO]],EJECUTADO[MES],10)</f>
        <v>0</v>
      </c>
      <c r="N15" s="2">
        <f>SUMIFS(EJECUTADO[MONTO SOLICITADO],EJECUTADO[APLICACIÓN],REPORTE[[#This Row],[CODIGO]],EJECUTADO[MES],11)</f>
        <v>0</v>
      </c>
      <c r="O15" s="2">
        <f>SUMIFS(EJECUTADO[MONTO SOLICITADO],EJECUTADO[APLICACIÓN],REPORTE[[#This Row],[CODIGO]],EJECUTADO[MES],12)</f>
        <v>0</v>
      </c>
      <c r="P15" s="2">
        <f>SUM(REPORTE[[#This Row],[ENERO]:[DICIEMBRE]])</f>
        <v>689141.9</v>
      </c>
    </row>
    <row r="16" spans="1:18" x14ac:dyDescent="0.25">
      <c r="A16" s="3" t="s">
        <v>3137</v>
      </c>
      <c r="B16" s="1" t="s">
        <v>138</v>
      </c>
      <c r="C16" s="2">
        <f>SUMIFS(PRESUPUESTO[MONTO],PRESUPUESTO[APLICACIÓN],REPORTE[[#This Row],[CODIGO]])</f>
        <v>2802500</v>
      </c>
      <c r="D16" s="2">
        <f>SUMIFS(EJECUTADO[MONTO SOLICITADO],EJECUTADO[APLICACIÓN],REPORTE[[#This Row],[CODIGO]],EJECUTADO[MES],1)</f>
        <v>216626.73999999996</v>
      </c>
      <c r="E16" s="2">
        <f>SUMIFS(EJECUTADO[MONTO SOLICITADO],EJECUTADO[APLICACIÓN],REPORTE[[#This Row],[CODIGO]],EJECUTADO[MES],2)</f>
        <v>206547.78999999998</v>
      </c>
      <c r="F16" s="2">
        <f>SUMIFS(EJECUTADO[MONTO SOLICITADO],EJECUTADO[APLICACIÓN],REPORTE[[#This Row],[CODIGO]],EJECUTADO[MES],3)</f>
        <v>217131.87999999998</v>
      </c>
      <c r="G16" s="2">
        <f>SUMIFS(EJECUTADO[MONTO SOLICITADO],EJECUTADO[APLICACIÓN],REPORTE[[#This Row],[CODIGO]],EJECUTADO[MES],4)</f>
        <v>350</v>
      </c>
      <c r="H16" s="2">
        <f>SUMIFS(EJECUTADO[MONTO SOLICITADO],EJECUTADO[APLICACIÓN],REPORTE[[#This Row],[CODIGO]],EJECUTADO[MES],5)</f>
        <v>0</v>
      </c>
      <c r="I16" s="2">
        <f>SUMIFS(EJECUTADO[MONTO SOLICITADO],EJECUTADO[APLICACIÓN],REPORTE[[#This Row],[CODIGO]],EJECUTADO[MES],6)</f>
        <v>0</v>
      </c>
      <c r="J16" s="2">
        <f>SUMIFS(EJECUTADO[MONTO SOLICITADO],EJECUTADO[APLICACIÓN],REPORTE[[#This Row],[CODIGO]],EJECUTADO[MES],7)</f>
        <v>0</v>
      </c>
      <c r="K16" s="2">
        <f>SUMIFS(EJECUTADO[MONTO SOLICITADO],EJECUTADO[APLICACIÓN],REPORTE[[#This Row],[CODIGO]],EJECUTADO[MES],8)</f>
        <v>0</v>
      </c>
      <c r="L16" s="2">
        <f>SUMIFS(EJECUTADO[MONTO SOLICITADO],EJECUTADO[APLICACIÓN],REPORTE[[#This Row],[CODIGO]],EJECUTADO[MES],9)</f>
        <v>0</v>
      </c>
      <c r="M16" s="2">
        <f>SUMIFS(EJECUTADO[MONTO SOLICITADO],EJECUTADO[APLICACIÓN],REPORTE[[#This Row],[CODIGO]],EJECUTADO[MES],10)</f>
        <v>0</v>
      </c>
      <c r="N16" s="2">
        <f>SUMIFS(EJECUTADO[MONTO SOLICITADO],EJECUTADO[APLICACIÓN],REPORTE[[#This Row],[CODIGO]],EJECUTADO[MES],11)</f>
        <v>0</v>
      </c>
      <c r="O16" s="2">
        <f>SUMIFS(EJECUTADO[MONTO SOLICITADO],EJECUTADO[APLICACIÓN],REPORTE[[#This Row],[CODIGO]],EJECUTADO[MES],12)</f>
        <v>0</v>
      </c>
      <c r="P16" s="2">
        <f>SUM(REPORTE[[#This Row],[ENERO]:[DICIEMBRE]])</f>
        <v>640656.40999999992</v>
      </c>
    </row>
    <row r="17" spans="1:16" x14ac:dyDescent="0.25">
      <c r="A17" s="3" t="s">
        <v>3136</v>
      </c>
      <c r="B17" s="1" t="s">
        <v>132</v>
      </c>
      <c r="C17" s="2">
        <f>SUMIFS(PRESUPUESTO[MONTO],PRESUPUESTO[APLICACIÓN],REPORTE[[#This Row],[CODIGO]])</f>
        <v>2032700</v>
      </c>
      <c r="D17" s="2">
        <f>SUMIFS(EJECUTADO[MONTO SOLICITADO],EJECUTADO[APLICACIÓN],REPORTE[[#This Row],[CODIGO]],EJECUTADO[MES],1)</f>
        <v>150378.76</v>
      </c>
      <c r="E17" s="2">
        <f>SUMIFS(EJECUTADO[MONTO SOLICITADO],EJECUTADO[APLICACIÓN],REPORTE[[#This Row],[CODIGO]],EJECUTADO[MES],2)</f>
        <v>166609.02000000002</v>
      </c>
      <c r="F17" s="2">
        <f>SUMIFS(EJECUTADO[MONTO SOLICITADO],EJECUTADO[APLICACIÓN],REPORTE[[#This Row],[CODIGO]],EJECUTADO[MES],3)</f>
        <v>165712.21999999997</v>
      </c>
      <c r="G17" s="2">
        <f>SUMIFS(EJECUTADO[MONTO SOLICITADO],EJECUTADO[APLICACIÓN],REPORTE[[#This Row],[CODIGO]],EJECUTADO[MES],4)</f>
        <v>0</v>
      </c>
      <c r="H17" s="2">
        <f>SUMIFS(EJECUTADO[MONTO SOLICITADO],EJECUTADO[APLICACIÓN],REPORTE[[#This Row],[CODIGO]],EJECUTADO[MES],5)</f>
        <v>0</v>
      </c>
      <c r="I17" s="2">
        <f>SUMIFS(EJECUTADO[MONTO SOLICITADO],EJECUTADO[APLICACIÓN],REPORTE[[#This Row],[CODIGO]],EJECUTADO[MES],6)</f>
        <v>0</v>
      </c>
      <c r="J17" s="2">
        <f>SUMIFS(EJECUTADO[MONTO SOLICITADO],EJECUTADO[APLICACIÓN],REPORTE[[#This Row],[CODIGO]],EJECUTADO[MES],7)</f>
        <v>0</v>
      </c>
      <c r="K17" s="2">
        <f>SUMIFS(EJECUTADO[MONTO SOLICITADO],EJECUTADO[APLICACIÓN],REPORTE[[#This Row],[CODIGO]],EJECUTADO[MES],8)</f>
        <v>0</v>
      </c>
      <c r="L17" s="2">
        <f>SUMIFS(EJECUTADO[MONTO SOLICITADO],EJECUTADO[APLICACIÓN],REPORTE[[#This Row],[CODIGO]],EJECUTADO[MES],9)</f>
        <v>0</v>
      </c>
      <c r="M17" s="2">
        <f>SUMIFS(EJECUTADO[MONTO SOLICITADO],EJECUTADO[APLICACIÓN],REPORTE[[#This Row],[CODIGO]],EJECUTADO[MES],10)</f>
        <v>0</v>
      </c>
      <c r="N17" s="2">
        <f>SUMIFS(EJECUTADO[MONTO SOLICITADO],EJECUTADO[APLICACIÓN],REPORTE[[#This Row],[CODIGO]],EJECUTADO[MES],11)</f>
        <v>0</v>
      </c>
      <c r="O17" s="2">
        <f>SUMIFS(EJECUTADO[MONTO SOLICITADO],EJECUTADO[APLICACIÓN],REPORTE[[#This Row],[CODIGO]],EJECUTADO[MES],12)</f>
        <v>0</v>
      </c>
      <c r="P17" s="2">
        <f>SUM(REPORTE[[#This Row],[ENERO]:[DICIEMBRE]])</f>
        <v>482700</v>
      </c>
    </row>
    <row r="18" spans="1:16" x14ac:dyDescent="0.25">
      <c r="A18" s="3" t="s">
        <v>3143</v>
      </c>
      <c r="B18" s="1" t="s">
        <v>201</v>
      </c>
      <c r="C18" s="2">
        <f>SUMIFS(PRESUPUESTO[MONTO],PRESUPUESTO[APLICACIÓN],REPORTE[[#This Row],[CODIGO]])</f>
        <v>799558</v>
      </c>
      <c r="D18" s="2">
        <f>SUMIFS(EJECUTADO[MONTO SOLICITADO],EJECUTADO[APLICACIÓN],REPORTE[[#This Row],[CODIGO]],EJECUTADO[MES],1)</f>
        <v>7243.01</v>
      </c>
      <c r="E18" s="2">
        <f>SUMIFS(EJECUTADO[MONTO SOLICITADO],EJECUTADO[APLICACIÓN],REPORTE[[#This Row],[CODIGO]],EJECUTADO[MES],2)</f>
        <v>409694.18999999994</v>
      </c>
      <c r="F18" s="2">
        <f>SUMIFS(EJECUTADO[MONTO SOLICITADO],EJECUTADO[APLICACIÓN],REPORTE[[#This Row],[CODIGO]],EJECUTADO[MES],3)</f>
        <v>2914</v>
      </c>
      <c r="G18" s="2">
        <f>SUMIFS(EJECUTADO[MONTO SOLICITADO],EJECUTADO[APLICACIÓN],REPORTE[[#This Row],[CODIGO]],EJECUTADO[MES],4)</f>
        <v>21765.87</v>
      </c>
      <c r="H18" s="2">
        <f>SUMIFS(EJECUTADO[MONTO SOLICITADO],EJECUTADO[APLICACIÓN],REPORTE[[#This Row],[CODIGO]],EJECUTADO[MES],5)</f>
        <v>0</v>
      </c>
      <c r="I18" s="2">
        <f>SUMIFS(EJECUTADO[MONTO SOLICITADO],EJECUTADO[APLICACIÓN],REPORTE[[#This Row],[CODIGO]],EJECUTADO[MES],6)</f>
        <v>0</v>
      </c>
      <c r="J18" s="2">
        <f>SUMIFS(EJECUTADO[MONTO SOLICITADO],EJECUTADO[APLICACIÓN],REPORTE[[#This Row],[CODIGO]],EJECUTADO[MES],7)</f>
        <v>0</v>
      </c>
      <c r="K18" s="2">
        <f>SUMIFS(EJECUTADO[MONTO SOLICITADO],EJECUTADO[APLICACIÓN],REPORTE[[#This Row],[CODIGO]],EJECUTADO[MES],8)</f>
        <v>0</v>
      </c>
      <c r="L18" s="2">
        <f>SUMIFS(EJECUTADO[MONTO SOLICITADO],EJECUTADO[APLICACIÓN],REPORTE[[#This Row],[CODIGO]],EJECUTADO[MES],9)</f>
        <v>0</v>
      </c>
      <c r="M18" s="2">
        <f>SUMIFS(EJECUTADO[MONTO SOLICITADO],EJECUTADO[APLICACIÓN],REPORTE[[#This Row],[CODIGO]],EJECUTADO[MES],10)</f>
        <v>0</v>
      </c>
      <c r="N18" s="2">
        <f>SUMIFS(EJECUTADO[MONTO SOLICITADO],EJECUTADO[APLICACIÓN],REPORTE[[#This Row],[CODIGO]],EJECUTADO[MES],11)</f>
        <v>0</v>
      </c>
      <c r="O18" s="2">
        <f>SUMIFS(EJECUTADO[MONTO SOLICITADO],EJECUTADO[APLICACIÓN],REPORTE[[#This Row],[CODIGO]],EJECUTADO[MES],12)</f>
        <v>0</v>
      </c>
      <c r="P18" s="2">
        <f>SUM(REPORTE[[#This Row],[ENERO]:[DICIEMBRE]])</f>
        <v>441617.06999999995</v>
      </c>
    </row>
    <row r="19" spans="1:16" x14ac:dyDescent="0.25">
      <c r="A19" s="3" t="s">
        <v>3147</v>
      </c>
      <c r="B19" s="1" t="s">
        <v>255</v>
      </c>
      <c r="C19" s="2">
        <f>SUMIFS(PRESUPUESTO[MONTO],PRESUPUESTO[APLICACIÓN],REPORTE[[#This Row],[CODIGO]])</f>
        <v>1350000</v>
      </c>
      <c r="D19" s="2">
        <f>SUMIFS(EJECUTADO[MONTO SOLICITADO],EJECUTADO[APLICACIÓN],REPORTE[[#This Row],[CODIGO]],EJECUTADO[MES],1)</f>
        <v>105306.67</v>
      </c>
      <c r="E19" s="2">
        <f>SUMIFS(EJECUTADO[MONTO SOLICITADO],EJECUTADO[APLICACIÓN],REPORTE[[#This Row],[CODIGO]],EJECUTADO[MES],2)</f>
        <v>114203.84999999999</v>
      </c>
      <c r="F19" s="2">
        <f>SUMIFS(EJECUTADO[MONTO SOLICITADO],EJECUTADO[APLICACIÓN],REPORTE[[#This Row],[CODIGO]],EJECUTADO[MES],3)</f>
        <v>107943.94</v>
      </c>
      <c r="G19" s="2">
        <f>SUMIFS(EJECUTADO[MONTO SOLICITADO],EJECUTADO[APLICACIÓN],REPORTE[[#This Row],[CODIGO]],EJECUTADO[MES],4)</f>
        <v>85625</v>
      </c>
      <c r="H19" s="2">
        <f>SUMIFS(EJECUTADO[MONTO SOLICITADO],EJECUTADO[APLICACIÓN],REPORTE[[#This Row],[CODIGO]],EJECUTADO[MES],5)</f>
        <v>0</v>
      </c>
      <c r="I19" s="2">
        <f>SUMIFS(EJECUTADO[MONTO SOLICITADO],EJECUTADO[APLICACIÓN],REPORTE[[#This Row],[CODIGO]],EJECUTADO[MES],6)</f>
        <v>0</v>
      </c>
      <c r="J19" s="2">
        <f>SUMIFS(EJECUTADO[MONTO SOLICITADO],EJECUTADO[APLICACIÓN],REPORTE[[#This Row],[CODIGO]],EJECUTADO[MES],7)</f>
        <v>0</v>
      </c>
      <c r="K19" s="2">
        <f>SUMIFS(EJECUTADO[MONTO SOLICITADO],EJECUTADO[APLICACIÓN],REPORTE[[#This Row],[CODIGO]],EJECUTADO[MES],8)</f>
        <v>0</v>
      </c>
      <c r="L19" s="2">
        <f>SUMIFS(EJECUTADO[MONTO SOLICITADO],EJECUTADO[APLICACIÓN],REPORTE[[#This Row],[CODIGO]],EJECUTADO[MES],9)</f>
        <v>0</v>
      </c>
      <c r="M19" s="2">
        <f>SUMIFS(EJECUTADO[MONTO SOLICITADO],EJECUTADO[APLICACIÓN],REPORTE[[#This Row],[CODIGO]],EJECUTADO[MES],10)</f>
        <v>0</v>
      </c>
      <c r="N19" s="2">
        <f>SUMIFS(EJECUTADO[MONTO SOLICITADO],EJECUTADO[APLICACIÓN],REPORTE[[#This Row],[CODIGO]],EJECUTADO[MES],11)</f>
        <v>0</v>
      </c>
      <c r="O19" s="2">
        <f>SUMIFS(EJECUTADO[MONTO SOLICITADO],EJECUTADO[APLICACIÓN],REPORTE[[#This Row],[CODIGO]],EJECUTADO[MES],12)</f>
        <v>0</v>
      </c>
      <c r="P19" s="2">
        <f>SUM(REPORTE[[#This Row],[ENERO]:[DICIEMBRE]])</f>
        <v>413079.45999999996</v>
      </c>
    </row>
    <row r="20" spans="1:16" x14ac:dyDescent="0.25">
      <c r="A20" s="3" t="s">
        <v>3140</v>
      </c>
      <c r="B20" s="1" t="s">
        <v>3141</v>
      </c>
      <c r="C20" s="2">
        <f>SUMIFS(PRESUPUESTO[MONTO],PRESUPUESTO[APLICACIÓN],REPORTE[[#This Row],[CODIGO]])</f>
        <v>1600000</v>
      </c>
      <c r="D20" s="54">
        <f>SUMIFS(EJECUTADO[MONTO SOLICITADO],EJECUTADO[APLICACIÓN],REPORTE[[#This Row],[CODIGO]],EJECUTADO[MES],1)</f>
        <v>0</v>
      </c>
      <c r="E20" s="2">
        <f>SUMIFS(EJECUTADO[MONTO SOLICITADO],EJECUTADO[APLICACIÓN],REPORTE[[#This Row],[CODIGO]],EJECUTADO[MES],2)</f>
        <v>79622.880000000005</v>
      </c>
      <c r="F20" s="2">
        <f>SUMIFS(EJECUTADO[MONTO SOLICITADO],EJECUTADO[APLICACIÓN],REPORTE[[#This Row],[CODIGO]],EJECUTADO[MES],3)</f>
        <v>161066.4</v>
      </c>
      <c r="G20" s="2">
        <f>SUMIFS(EJECUTADO[MONTO SOLICITADO],EJECUTADO[APLICACIÓN],REPORTE[[#This Row],[CODIGO]],EJECUTADO[MES],4)</f>
        <v>137407.63999999998</v>
      </c>
      <c r="H20" s="2">
        <f>SUMIFS(EJECUTADO[MONTO SOLICITADO],EJECUTADO[APLICACIÓN],REPORTE[[#This Row],[CODIGO]],EJECUTADO[MES],5)</f>
        <v>0</v>
      </c>
      <c r="I20" s="2">
        <f>SUMIFS(EJECUTADO[MONTO SOLICITADO],EJECUTADO[APLICACIÓN],REPORTE[[#This Row],[CODIGO]],EJECUTADO[MES],6)</f>
        <v>0</v>
      </c>
      <c r="J20" s="2">
        <f>SUMIFS(EJECUTADO[MONTO SOLICITADO],EJECUTADO[APLICACIÓN],REPORTE[[#This Row],[CODIGO]],EJECUTADO[MES],7)</f>
        <v>0</v>
      </c>
      <c r="K20" s="54">
        <f>SUMIFS(EJECUTADO[MONTO SOLICITADO],EJECUTADO[APLICACIÓN],REPORTE[[#This Row],[CODIGO]],EJECUTADO[MES],8)</f>
        <v>0</v>
      </c>
      <c r="L20" s="2">
        <f>SUMIFS(EJECUTADO[MONTO SOLICITADO],EJECUTADO[APLICACIÓN],REPORTE[[#This Row],[CODIGO]],EJECUTADO[MES],9)</f>
        <v>0</v>
      </c>
      <c r="M20" s="2">
        <f>SUMIFS(EJECUTADO[MONTO SOLICITADO],EJECUTADO[APLICACIÓN],REPORTE[[#This Row],[CODIGO]],EJECUTADO[MES],10)</f>
        <v>0</v>
      </c>
      <c r="N20" s="2">
        <f>SUMIFS(EJECUTADO[MONTO SOLICITADO],EJECUTADO[APLICACIÓN],REPORTE[[#This Row],[CODIGO]],EJECUTADO[MES],11)</f>
        <v>0</v>
      </c>
      <c r="O20" s="2">
        <f>SUMIFS(EJECUTADO[MONTO SOLICITADO],EJECUTADO[APLICACIÓN],REPORTE[[#This Row],[CODIGO]],EJECUTADO[MES],12)</f>
        <v>0</v>
      </c>
      <c r="P20" s="2">
        <f>SUM(REPORTE[[#This Row],[ENERO]:[DICIEMBRE]])</f>
        <v>378096.92</v>
      </c>
    </row>
    <row r="21" spans="1:16" x14ac:dyDescent="0.25">
      <c r="A21" s="3" t="s">
        <v>3152</v>
      </c>
      <c r="B21" s="1" t="s">
        <v>434</v>
      </c>
      <c r="C21" s="2">
        <f>SUMIFS(PRESUPUESTO[MONTO],PRESUPUESTO[APLICACIÓN],REPORTE[[#This Row],[CODIGO]])</f>
        <v>1008700</v>
      </c>
      <c r="D21" s="2">
        <f>SUMIFS(EJECUTADO[MONTO SOLICITADO],EJECUTADO[APLICACIÓN],REPORTE[[#This Row],[CODIGO]],EJECUTADO[MES],1)</f>
        <v>86030.430000000008</v>
      </c>
      <c r="E21" s="2">
        <f>SUMIFS(EJECUTADO[MONTO SOLICITADO],EJECUTADO[APLICACIÓN],REPORTE[[#This Row],[CODIGO]],EJECUTADO[MES],2)</f>
        <v>79533.22</v>
      </c>
      <c r="F21" s="2">
        <f>SUMIFS(EJECUTADO[MONTO SOLICITADO],EJECUTADO[APLICACIÓN],REPORTE[[#This Row],[CODIGO]],EJECUTADO[MES],3)</f>
        <v>86226.28</v>
      </c>
      <c r="G21" s="2">
        <f>SUMIFS(EJECUTADO[MONTO SOLICITADO],EJECUTADO[APLICACIÓN],REPORTE[[#This Row],[CODIGO]],EJECUTADO[MES],4)</f>
        <v>69881.47</v>
      </c>
      <c r="H21" s="2">
        <f>SUMIFS(EJECUTADO[MONTO SOLICITADO],EJECUTADO[APLICACIÓN],REPORTE[[#This Row],[CODIGO]],EJECUTADO[MES],5)</f>
        <v>0</v>
      </c>
      <c r="I21" s="2">
        <f>SUMIFS(EJECUTADO[MONTO SOLICITADO],EJECUTADO[APLICACIÓN],REPORTE[[#This Row],[CODIGO]],EJECUTADO[MES],6)</f>
        <v>0</v>
      </c>
      <c r="J21" s="2">
        <f>SUMIFS(EJECUTADO[MONTO SOLICITADO],EJECUTADO[APLICACIÓN],REPORTE[[#This Row],[CODIGO]],EJECUTADO[MES],7)</f>
        <v>0</v>
      </c>
      <c r="K21" s="2">
        <f>SUMIFS(EJECUTADO[MONTO SOLICITADO],EJECUTADO[APLICACIÓN],REPORTE[[#This Row],[CODIGO]],EJECUTADO[MES],8)</f>
        <v>0</v>
      </c>
      <c r="L21" s="2">
        <f>SUMIFS(EJECUTADO[MONTO SOLICITADO],EJECUTADO[APLICACIÓN],REPORTE[[#This Row],[CODIGO]],EJECUTADO[MES],9)</f>
        <v>0</v>
      </c>
      <c r="M21" s="2">
        <f>SUMIFS(EJECUTADO[MONTO SOLICITADO],EJECUTADO[APLICACIÓN],REPORTE[[#This Row],[CODIGO]],EJECUTADO[MES],10)</f>
        <v>0</v>
      </c>
      <c r="N21" s="2">
        <f>SUMIFS(EJECUTADO[MONTO SOLICITADO],EJECUTADO[APLICACIÓN],REPORTE[[#This Row],[CODIGO]],EJECUTADO[MES],11)</f>
        <v>0</v>
      </c>
      <c r="O21" s="2">
        <f>SUMIFS(EJECUTADO[MONTO SOLICITADO],EJECUTADO[APLICACIÓN],REPORTE[[#This Row],[CODIGO]],EJECUTADO[MES],12)</f>
        <v>0</v>
      </c>
      <c r="P21" s="2">
        <f>SUM(REPORTE[[#This Row],[ENERO]:[DICIEMBRE]])</f>
        <v>321671.40000000002</v>
      </c>
    </row>
    <row r="22" spans="1:16" x14ac:dyDescent="0.25">
      <c r="A22" s="3" t="s">
        <v>3139</v>
      </c>
      <c r="B22" s="1" t="s">
        <v>165</v>
      </c>
      <c r="C22" s="2">
        <f>SUMIFS(PRESUPUESTO[MONTO],PRESUPUESTO[APLICACIÓN],REPORTE[[#This Row],[CODIGO]])</f>
        <v>1350000</v>
      </c>
      <c r="D22" s="54">
        <f>SUMIFS(EJECUTADO[MONTO SOLICITADO],EJECUTADO[APLICACIÓN],REPORTE[[#This Row],[CODIGO]],EJECUTADO[MES],1)</f>
        <v>105032.25</v>
      </c>
      <c r="E22" s="2">
        <f>SUMIFS(EJECUTADO[MONTO SOLICITADO],EJECUTADO[APLICACIÓN],REPORTE[[#This Row],[CODIGO]],EJECUTADO[MES],2)</f>
        <v>103235.67</v>
      </c>
      <c r="F22" s="2">
        <f>SUMIFS(EJECUTADO[MONTO SOLICITADO],EJECUTADO[APLICACIÓN],REPORTE[[#This Row],[CODIGO]],EJECUTADO[MES],3)</f>
        <v>111006.04</v>
      </c>
      <c r="G22" s="2">
        <f>SUMIFS(EJECUTADO[MONTO SOLICITADO],EJECUTADO[APLICACIÓN],REPORTE[[#This Row],[CODIGO]],EJECUTADO[MES],4)</f>
        <v>0</v>
      </c>
      <c r="H22" s="2">
        <f>SUMIFS(EJECUTADO[MONTO SOLICITADO],EJECUTADO[APLICACIÓN],REPORTE[[#This Row],[CODIGO]],EJECUTADO[MES],5)</f>
        <v>0</v>
      </c>
      <c r="I22" s="2">
        <f>SUMIFS(EJECUTADO[MONTO SOLICITADO],EJECUTADO[APLICACIÓN],REPORTE[[#This Row],[CODIGO]],EJECUTADO[MES],6)</f>
        <v>0</v>
      </c>
      <c r="J22" s="2">
        <f>SUMIFS(EJECUTADO[MONTO SOLICITADO],EJECUTADO[APLICACIÓN],REPORTE[[#This Row],[CODIGO]],EJECUTADO[MES],7)</f>
        <v>0</v>
      </c>
      <c r="K22" s="2">
        <f>SUMIFS(EJECUTADO[MONTO SOLICITADO],EJECUTADO[APLICACIÓN],REPORTE[[#This Row],[CODIGO]],EJECUTADO[MES],8)</f>
        <v>0</v>
      </c>
      <c r="L22" s="2">
        <f>SUMIFS(EJECUTADO[MONTO SOLICITADO],EJECUTADO[APLICACIÓN],REPORTE[[#This Row],[CODIGO]],EJECUTADO[MES],9)</f>
        <v>0</v>
      </c>
      <c r="M22" s="2">
        <f>SUMIFS(EJECUTADO[MONTO SOLICITADO],EJECUTADO[APLICACIÓN],REPORTE[[#This Row],[CODIGO]],EJECUTADO[MES],10)</f>
        <v>0</v>
      </c>
      <c r="N22" s="2">
        <f>SUMIFS(EJECUTADO[MONTO SOLICITADO],EJECUTADO[APLICACIÓN],REPORTE[[#This Row],[CODIGO]],EJECUTADO[MES],11)</f>
        <v>0</v>
      </c>
      <c r="O22" s="2">
        <f>SUMIFS(EJECUTADO[MONTO SOLICITADO],EJECUTADO[APLICACIÓN],REPORTE[[#This Row],[CODIGO]],EJECUTADO[MES],12)</f>
        <v>0</v>
      </c>
      <c r="P22" s="2">
        <f>SUM(REPORTE[[#This Row],[ENERO]:[DICIEMBRE]])</f>
        <v>319273.95999999996</v>
      </c>
    </row>
    <row r="23" spans="1:16" x14ac:dyDescent="0.25">
      <c r="A23" s="3" t="s">
        <v>3138</v>
      </c>
      <c r="B23" s="1" t="s">
        <v>150</v>
      </c>
      <c r="C23" s="2">
        <f>SUMIFS(PRESUPUESTO[MONTO],PRESUPUESTO[APLICACIÓN],REPORTE[[#This Row],[CODIGO]])</f>
        <v>1442500</v>
      </c>
      <c r="D23" s="2">
        <f>SUMIFS(EJECUTADO[MONTO SOLICITADO],EJECUTADO[APLICACIÓN],REPORTE[[#This Row],[CODIGO]],EJECUTADO[MES],1)</f>
        <v>112000</v>
      </c>
      <c r="E23" s="2">
        <f>SUMIFS(EJECUTADO[MONTO SOLICITADO],EJECUTADO[APLICACIÓN],REPORTE[[#This Row],[CODIGO]],EJECUTADO[MES],2)</f>
        <v>105558.19</v>
      </c>
      <c r="F23" s="2">
        <f>SUMIFS(EJECUTADO[MONTO SOLICITADO],EJECUTADO[APLICACIÓN],REPORTE[[#This Row],[CODIGO]],EJECUTADO[MES],3)</f>
        <v>101231.83000000002</v>
      </c>
      <c r="G23" s="2">
        <f>SUMIFS(EJECUTADO[MONTO SOLICITADO],EJECUTADO[APLICACIÓN],REPORTE[[#This Row],[CODIGO]],EJECUTADO[MES],4)</f>
        <v>0</v>
      </c>
      <c r="H23" s="2">
        <f>SUMIFS(EJECUTADO[MONTO SOLICITADO],EJECUTADO[APLICACIÓN],REPORTE[[#This Row],[CODIGO]],EJECUTADO[MES],5)</f>
        <v>0</v>
      </c>
      <c r="I23" s="2">
        <f>SUMIFS(EJECUTADO[MONTO SOLICITADO],EJECUTADO[APLICACIÓN],REPORTE[[#This Row],[CODIGO]],EJECUTADO[MES],6)</f>
        <v>0</v>
      </c>
      <c r="J23" s="2">
        <f>SUMIFS(EJECUTADO[MONTO SOLICITADO],EJECUTADO[APLICACIÓN],REPORTE[[#This Row],[CODIGO]],EJECUTADO[MES],7)</f>
        <v>0</v>
      </c>
      <c r="K23" s="2">
        <f>SUMIFS(EJECUTADO[MONTO SOLICITADO],EJECUTADO[APLICACIÓN],REPORTE[[#This Row],[CODIGO]],EJECUTADO[MES],8)</f>
        <v>0</v>
      </c>
      <c r="L23" s="2">
        <f>SUMIFS(EJECUTADO[MONTO SOLICITADO],EJECUTADO[APLICACIÓN],REPORTE[[#This Row],[CODIGO]],EJECUTADO[MES],9)</f>
        <v>0</v>
      </c>
      <c r="M23" s="2">
        <f>SUMIFS(EJECUTADO[MONTO SOLICITADO],EJECUTADO[APLICACIÓN],REPORTE[[#This Row],[CODIGO]],EJECUTADO[MES],10)</f>
        <v>0</v>
      </c>
      <c r="N23" s="2">
        <f>SUMIFS(EJECUTADO[MONTO SOLICITADO],EJECUTADO[APLICACIÓN],REPORTE[[#This Row],[CODIGO]],EJECUTADO[MES],11)</f>
        <v>0</v>
      </c>
      <c r="O23" s="2">
        <f>SUMIFS(EJECUTADO[MONTO SOLICITADO],EJECUTADO[APLICACIÓN],REPORTE[[#This Row],[CODIGO]],EJECUTADO[MES],12)</f>
        <v>0</v>
      </c>
      <c r="P23" s="2">
        <f>SUM(REPORTE[[#This Row],[ENERO]:[DICIEMBRE]])</f>
        <v>318790.02</v>
      </c>
    </row>
    <row r="24" spans="1:16" x14ac:dyDescent="0.25">
      <c r="A24" s="3" t="s">
        <v>3144</v>
      </c>
      <c r="B24" s="1" t="s">
        <v>226</v>
      </c>
      <c r="C24" s="2">
        <f>SUMIFS(PRESUPUESTO[MONTO],PRESUPUESTO[APLICACIÓN],REPORTE[[#This Row],[CODIGO]])</f>
        <v>1100000</v>
      </c>
      <c r="D24" s="2">
        <f>SUMIFS(EJECUTADO[MONTO SOLICITADO],EJECUTADO[APLICACIÓN],REPORTE[[#This Row],[CODIGO]],EJECUTADO[MES],1)</f>
        <v>81608.61</v>
      </c>
      <c r="E24" s="2">
        <f>SUMIFS(EJECUTADO[MONTO SOLICITADO],EJECUTADO[APLICACIÓN],REPORTE[[#This Row],[CODIGO]],EJECUTADO[MES],2)</f>
        <v>71750.540000000008</v>
      </c>
      <c r="F24" s="2">
        <f>SUMIFS(EJECUTADO[MONTO SOLICITADO],EJECUTADO[APLICACIÓN],REPORTE[[#This Row],[CODIGO]],EJECUTADO[MES],3)</f>
        <v>106880.54</v>
      </c>
      <c r="G24" s="2">
        <f>SUMIFS(EJECUTADO[MONTO SOLICITADO],EJECUTADO[APLICACIÓN],REPORTE[[#This Row],[CODIGO]],EJECUTADO[MES],4)</f>
        <v>7977.07</v>
      </c>
      <c r="H24" s="2">
        <f>SUMIFS(EJECUTADO[MONTO SOLICITADO],EJECUTADO[APLICACIÓN],REPORTE[[#This Row],[CODIGO]],EJECUTADO[MES],5)</f>
        <v>0</v>
      </c>
      <c r="I24" s="2">
        <f>SUMIFS(EJECUTADO[MONTO SOLICITADO],EJECUTADO[APLICACIÓN],REPORTE[[#This Row],[CODIGO]],EJECUTADO[MES],6)</f>
        <v>0</v>
      </c>
      <c r="J24" s="2">
        <f>SUMIFS(EJECUTADO[MONTO SOLICITADO],EJECUTADO[APLICACIÓN],REPORTE[[#This Row],[CODIGO]],EJECUTADO[MES],7)</f>
        <v>0</v>
      </c>
      <c r="K24" s="2">
        <f>SUMIFS(EJECUTADO[MONTO SOLICITADO],EJECUTADO[APLICACIÓN],REPORTE[[#This Row],[CODIGO]],EJECUTADO[MES],8)</f>
        <v>0</v>
      </c>
      <c r="L24" s="2">
        <f>SUMIFS(EJECUTADO[MONTO SOLICITADO],EJECUTADO[APLICACIÓN],REPORTE[[#This Row],[CODIGO]],EJECUTADO[MES],9)</f>
        <v>0</v>
      </c>
      <c r="M24" s="2">
        <f>SUMIFS(EJECUTADO[MONTO SOLICITADO],EJECUTADO[APLICACIÓN],REPORTE[[#This Row],[CODIGO]],EJECUTADO[MES],10)</f>
        <v>0</v>
      </c>
      <c r="N24" s="2">
        <f>SUMIFS(EJECUTADO[MONTO SOLICITADO],EJECUTADO[APLICACIÓN],REPORTE[[#This Row],[CODIGO]],EJECUTADO[MES],11)</f>
        <v>0</v>
      </c>
      <c r="O24" s="2">
        <f>SUMIFS(EJECUTADO[MONTO SOLICITADO],EJECUTADO[APLICACIÓN],REPORTE[[#This Row],[CODIGO]],EJECUTADO[MES],12)</f>
        <v>0</v>
      </c>
      <c r="P24" s="2">
        <f>SUM(REPORTE[[#This Row],[ENERO]:[DICIEMBRE]])</f>
        <v>268216.76</v>
      </c>
    </row>
    <row r="25" spans="1:16" x14ac:dyDescent="0.25">
      <c r="A25" s="3" t="s">
        <v>3149</v>
      </c>
      <c r="B25" s="1" t="s">
        <v>3150</v>
      </c>
      <c r="C25" s="2">
        <f>SUMIFS(PRESUPUESTO[MONTO],PRESUPUESTO[APLICACIÓN],REPORTE[[#This Row],[CODIGO]])</f>
        <v>800000</v>
      </c>
      <c r="D25" s="2">
        <f>SUMIFS(EJECUTADO[MONTO SOLICITADO],EJECUTADO[APLICACIÓN],REPORTE[[#This Row],[CODIGO]],EJECUTADO[MES],1)</f>
        <v>28766.29</v>
      </c>
      <c r="E25" s="2">
        <f>SUMIFS(EJECUTADO[MONTO SOLICITADO],EJECUTADO[APLICACIÓN],REPORTE[[#This Row],[CODIGO]],EJECUTADO[MES],2)</f>
        <v>100494.21</v>
      </c>
      <c r="F25" s="2">
        <f>SUMIFS(EJECUTADO[MONTO SOLICITADO],EJECUTADO[APLICACIÓN],REPORTE[[#This Row],[CODIGO]],EJECUTADO[MES],3)</f>
        <v>74432.72</v>
      </c>
      <c r="G25" s="2">
        <f>SUMIFS(EJECUTADO[MONTO SOLICITADO],EJECUTADO[APLICACIÓN],REPORTE[[#This Row],[CODIGO]],EJECUTADO[MES],4)</f>
        <v>39388.600000000006</v>
      </c>
      <c r="H25" s="2">
        <f>SUMIFS(EJECUTADO[MONTO SOLICITADO],EJECUTADO[APLICACIÓN],REPORTE[[#This Row],[CODIGO]],EJECUTADO[MES],5)</f>
        <v>0</v>
      </c>
      <c r="I25" s="2">
        <f>SUMIFS(EJECUTADO[MONTO SOLICITADO],EJECUTADO[APLICACIÓN],REPORTE[[#This Row],[CODIGO]],EJECUTADO[MES],6)</f>
        <v>0</v>
      </c>
      <c r="J25" s="2">
        <f>SUMIFS(EJECUTADO[MONTO SOLICITADO],EJECUTADO[APLICACIÓN],REPORTE[[#This Row],[CODIGO]],EJECUTADO[MES],7)</f>
        <v>0</v>
      </c>
      <c r="K25" s="2">
        <f>SUMIFS(EJECUTADO[MONTO SOLICITADO],EJECUTADO[APLICACIÓN],REPORTE[[#This Row],[CODIGO]],EJECUTADO[MES],8)</f>
        <v>0</v>
      </c>
      <c r="L25" s="2">
        <f>SUMIFS(EJECUTADO[MONTO SOLICITADO],EJECUTADO[APLICACIÓN],REPORTE[[#This Row],[CODIGO]],EJECUTADO[MES],9)</f>
        <v>0</v>
      </c>
      <c r="M25" s="2">
        <f>SUMIFS(EJECUTADO[MONTO SOLICITADO],EJECUTADO[APLICACIÓN],REPORTE[[#This Row],[CODIGO]],EJECUTADO[MES],10)</f>
        <v>0</v>
      </c>
      <c r="N25" s="2">
        <f>SUMIFS(EJECUTADO[MONTO SOLICITADO],EJECUTADO[APLICACIÓN],REPORTE[[#This Row],[CODIGO]],EJECUTADO[MES],11)</f>
        <v>0</v>
      </c>
      <c r="O25" s="2">
        <f>SUMIFS(EJECUTADO[MONTO SOLICITADO],EJECUTADO[APLICACIÓN],REPORTE[[#This Row],[CODIGO]],EJECUTADO[MES],12)</f>
        <v>0</v>
      </c>
      <c r="P25" s="2">
        <f>SUM(REPORTE[[#This Row],[ENERO]:[DICIEMBRE]])</f>
        <v>243081.82</v>
      </c>
    </row>
    <row r="26" spans="1:16" x14ac:dyDescent="0.25">
      <c r="A26" s="3" t="s">
        <v>3157</v>
      </c>
      <c r="B26" s="1" t="s">
        <v>581</v>
      </c>
      <c r="C26" s="2">
        <f>SUMIFS(PRESUPUESTO[MONTO],PRESUPUESTO[APLICACIÓN],REPORTE[[#This Row],[CODIGO]])</f>
        <v>483570</v>
      </c>
      <c r="D26" s="2">
        <f>SUMIFS(EJECUTADO[MONTO SOLICITADO],EJECUTADO[APLICACIÓN],REPORTE[[#This Row],[CODIGO]],EJECUTADO[MES],1)</f>
        <v>62826.899999999994</v>
      </c>
      <c r="E26" s="2">
        <f>SUMIFS(EJECUTADO[MONTO SOLICITADO],EJECUTADO[APLICACIÓN],REPORTE[[#This Row],[CODIGO]],EJECUTADO[MES],2)</f>
        <v>81715.95</v>
      </c>
      <c r="F26" s="2">
        <f>SUMIFS(EJECUTADO[MONTO SOLICITADO],EJECUTADO[APLICACIÓN],REPORTE[[#This Row],[CODIGO]],EJECUTADO[MES],3)</f>
        <v>48739.03</v>
      </c>
      <c r="G26" s="2">
        <f>SUMIFS(EJECUTADO[MONTO SOLICITADO],EJECUTADO[APLICACIÓN],REPORTE[[#This Row],[CODIGO]],EJECUTADO[MES],4)</f>
        <v>0</v>
      </c>
      <c r="H26" s="2">
        <f>SUMIFS(EJECUTADO[MONTO SOLICITADO],EJECUTADO[APLICACIÓN],REPORTE[[#This Row],[CODIGO]],EJECUTADO[MES],5)</f>
        <v>0</v>
      </c>
      <c r="I26" s="2">
        <f>SUMIFS(EJECUTADO[MONTO SOLICITADO],EJECUTADO[APLICACIÓN],REPORTE[[#This Row],[CODIGO]],EJECUTADO[MES],6)</f>
        <v>0</v>
      </c>
      <c r="J26" s="2">
        <f>SUMIFS(EJECUTADO[MONTO SOLICITADO],EJECUTADO[APLICACIÓN],REPORTE[[#This Row],[CODIGO]],EJECUTADO[MES],7)</f>
        <v>0</v>
      </c>
      <c r="K26" s="2">
        <f>SUMIFS(EJECUTADO[MONTO SOLICITADO],EJECUTADO[APLICACIÓN],REPORTE[[#This Row],[CODIGO]],EJECUTADO[MES],8)</f>
        <v>0</v>
      </c>
      <c r="L26" s="2">
        <f>SUMIFS(EJECUTADO[MONTO SOLICITADO],EJECUTADO[APLICACIÓN],REPORTE[[#This Row],[CODIGO]],EJECUTADO[MES],9)</f>
        <v>0</v>
      </c>
      <c r="M26" s="2">
        <f>SUMIFS(EJECUTADO[MONTO SOLICITADO],EJECUTADO[APLICACIÓN],REPORTE[[#This Row],[CODIGO]],EJECUTADO[MES],10)</f>
        <v>0</v>
      </c>
      <c r="N26" s="2">
        <f>SUMIFS(EJECUTADO[MONTO SOLICITADO],EJECUTADO[APLICACIÓN],REPORTE[[#This Row],[CODIGO]],EJECUTADO[MES],11)</f>
        <v>0</v>
      </c>
      <c r="O26" s="2">
        <f>SUMIFS(EJECUTADO[MONTO SOLICITADO],EJECUTADO[APLICACIÓN],REPORTE[[#This Row],[CODIGO]],EJECUTADO[MES],12)</f>
        <v>0</v>
      </c>
      <c r="P26" s="2">
        <f>SUM(REPORTE[[#This Row],[ENERO]:[DICIEMBRE]])</f>
        <v>193281.87999999998</v>
      </c>
    </row>
    <row r="27" spans="1:16" x14ac:dyDescent="0.25">
      <c r="A27" s="3" t="s">
        <v>3145</v>
      </c>
      <c r="B27" s="1" t="s">
        <v>3146</v>
      </c>
      <c r="C27" s="2">
        <f>SUMIFS(PRESUPUESTO[MONTO],PRESUPUESTO[APLICACIÓN],REPORTE[[#This Row],[CODIGO]])</f>
        <v>720500</v>
      </c>
      <c r="D27" s="2">
        <f>SUMIFS(EJECUTADO[MONTO SOLICITADO],EJECUTADO[APLICACIÓN],REPORTE[[#This Row],[CODIGO]],EJECUTADO[MES],1)</f>
        <v>32789.56</v>
      </c>
      <c r="E27" s="2">
        <f>SUMIFS(EJECUTADO[MONTO SOLICITADO],EJECUTADO[APLICACIÓN],REPORTE[[#This Row],[CODIGO]],EJECUTADO[MES],2)</f>
        <v>48051.123000000007</v>
      </c>
      <c r="F27" s="2">
        <f>SUMIFS(EJECUTADO[MONTO SOLICITADO],EJECUTADO[APLICACIÓN],REPORTE[[#This Row],[CODIGO]],EJECUTADO[MES],3)</f>
        <v>55630.01</v>
      </c>
      <c r="G27" s="2">
        <f>SUMIFS(EJECUTADO[MONTO SOLICITADO],EJECUTADO[APLICACIÓN],REPORTE[[#This Row],[CODIGO]],EJECUTADO[MES],4)</f>
        <v>12425.35</v>
      </c>
      <c r="H27" s="2">
        <f>SUMIFS(EJECUTADO[MONTO SOLICITADO],EJECUTADO[APLICACIÓN],REPORTE[[#This Row],[CODIGO]],EJECUTADO[MES],5)</f>
        <v>0</v>
      </c>
      <c r="I27" s="2">
        <f>SUMIFS(EJECUTADO[MONTO SOLICITADO],EJECUTADO[APLICACIÓN],REPORTE[[#This Row],[CODIGO]],EJECUTADO[MES],6)</f>
        <v>0</v>
      </c>
      <c r="J27" s="2">
        <f>SUMIFS(EJECUTADO[MONTO SOLICITADO],EJECUTADO[APLICACIÓN],REPORTE[[#This Row],[CODIGO]],EJECUTADO[MES],7)</f>
        <v>0</v>
      </c>
      <c r="K27" s="2">
        <f>SUMIFS(EJECUTADO[MONTO SOLICITADO],EJECUTADO[APLICACIÓN],REPORTE[[#This Row],[CODIGO]],EJECUTADO[MES],8)</f>
        <v>0</v>
      </c>
      <c r="L27" s="2">
        <f>SUMIFS(EJECUTADO[MONTO SOLICITADO],EJECUTADO[APLICACIÓN],REPORTE[[#This Row],[CODIGO]],EJECUTADO[MES],9)</f>
        <v>0</v>
      </c>
      <c r="M27" s="2">
        <f>SUMIFS(EJECUTADO[MONTO SOLICITADO],EJECUTADO[APLICACIÓN],REPORTE[[#This Row],[CODIGO]],EJECUTADO[MES],10)</f>
        <v>0</v>
      </c>
      <c r="N27" s="2">
        <f>SUMIFS(EJECUTADO[MONTO SOLICITADO],EJECUTADO[APLICACIÓN],REPORTE[[#This Row],[CODIGO]],EJECUTADO[MES],11)</f>
        <v>0</v>
      </c>
      <c r="O27" s="2">
        <f>SUMIFS(EJECUTADO[MONTO SOLICITADO],EJECUTADO[APLICACIÓN],REPORTE[[#This Row],[CODIGO]],EJECUTADO[MES],12)</f>
        <v>0</v>
      </c>
      <c r="P27" s="2">
        <f>SUM(REPORTE[[#This Row],[ENERO]:[DICIEMBRE]])</f>
        <v>148896.04300000001</v>
      </c>
    </row>
    <row r="28" spans="1:16" x14ac:dyDescent="0.25">
      <c r="A28" s="3" t="s">
        <v>3151</v>
      </c>
      <c r="B28" s="1" t="s">
        <v>279</v>
      </c>
      <c r="C28" s="2">
        <f>SUMIFS(PRESUPUESTO[MONTO],PRESUPUESTO[APLICACIÓN],REPORTE[[#This Row],[CODIGO]])</f>
        <v>341600</v>
      </c>
      <c r="D28" s="2">
        <f>SUMIFS(EJECUTADO[MONTO SOLICITADO],EJECUTADO[APLICACIÓN],REPORTE[[#This Row],[CODIGO]],EJECUTADO[MES],1)</f>
        <v>27669.83</v>
      </c>
      <c r="E28" s="2">
        <f>SUMIFS(EJECUTADO[MONTO SOLICITADO],EJECUTADO[APLICACIÓN],REPORTE[[#This Row],[CODIGO]],EJECUTADO[MES],2)</f>
        <v>38312.49</v>
      </c>
      <c r="F28" s="2">
        <f>SUMIFS(EJECUTADO[MONTO SOLICITADO],EJECUTADO[APLICACIÓN],REPORTE[[#This Row],[CODIGO]],EJECUTADO[MES],3)</f>
        <v>26118.75</v>
      </c>
      <c r="G28" s="2">
        <f>SUMIFS(EJECUTADO[MONTO SOLICITADO],EJECUTADO[APLICACIÓN],REPORTE[[#This Row],[CODIGO]],EJECUTADO[MES],4)</f>
        <v>25500</v>
      </c>
      <c r="H28" s="2">
        <f>SUMIFS(EJECUTADO[MONTO SOLICITADO],EJECUTADO[APLICACIÓN],REPORTE[[#This Row],[CODIGO]],EJECUTADO[MES],5)</f>
        <v>0</v>
      </c>
      <c r="I28" s="2">
        <f>SUMIFS(EJECUTADO[MONTO SOLICITADO],EJECUTADO[APLICACIÓN],REPORTE[[#This Row],[CODIGO]],EJECUTADO[MES],6)</f>
        <v>0</v>
      </c>
      <c r="J28" s="2">
        <f>SUMIFS(EJECUTADO[MONTO SOLICITADO],EJECUTADO[APLICACIÓN],REPORTE[[#This Row],[CODIGO]],EJECUTADO[MES],7)</f>
        <v>0</v>
      </c>
      <c r="K28" s="2">
        <f>SUMIFS(EJECUTADO[MONTO SOLICITADO],EJECUTADO[APLICACIÓN],REPORTE[[#This Row],[CODIGO]],EJECUTADO[MES],8)</f>
        <v>0</v>
      </c>
      <c r="L28" s="2">
        <f>SUMIFS(EJECUTADO[MONTO SOLICITADO],EJECUTADO[APLICACIÓN],REPORTE[[#This Row],[CODIGO]],EJECUTADO[MES],9)</f>
        <v>0</v>
      </c>
      <c r="M28" s="2">
        <f>SUMIFS(EJECUTADO[MONTO SOLICITADO],EJECUTADO[APLICACIÓN],REPORTE[[#This Row],[CODIGO]],EJECUTADO[MES],10)</f>
        <v>0</v>
      </c>
      <c r="N28" s="2">
        <f>SUMIFS(EJECUTADO[MONTO SOLICITADO],EJECUTADO[APLICACIÓN],REPORTE[[#This Row],[CODIGO]],EJECUTADO[MES],11)</f>
        <v>0</v>
      </c>
      <c r="O28" s="2">
        <f>SUMIFS(EJECUTADO[MONTO SOLICITADO],EJECUTADO[APLICACIÓN],REPORTE[[#This Row],[CODIGO]],EJECUTADO[MES],12)</f>
        <v>0</v>
      </c>
      <c r="P28" s="2">
        <f>SUM(REPORTE[[#This Row],[ENERO]:[DICIEMBRE]])</f>
        <v>117601.07</v>
      </c>
    </row>
    <row r="29" spans="1:16" x14ac:dyDescent="0.25">
      <c r="A29" s="3" t="s">
        <v>3172</v>
      </c>
      <c r="B29" s="1" t="s">
        <v>968</v>
      </c>
      <c r="C29" s="2">
        <f>SUMIFS(PRESUPUESTO[MONTO],PRESUPUESTO[APLICACIÓN],REPORTE[[#This Row],[CODIGO]])</f>
        <v>400000</v>
      </c>
      <c r="D29" s="2">
        <f>SUMIFS(EJECUTADO[MONTO SOLICITADO],EJECUTADO[APLICACIÓN],REPORTE[[#This Row],[CODIGO]],EJECUTADO[MES],1)</f>
        <v>41899.619999999995</v>
      </c>
      <c r="E29" s="2">
        <f>SUMIFS(EJECUTADO[MONTO SOLICITADO],EJECUTADO[APLICACIÓN],REPORTE[[#This Row],[CODIGO]],EJECUTADO[MES],2)</f>
        <v>41315.910000000003</v>
      </c>
      <c r="F29" s="2">
        <f>SUMIFS(EJECUTADO[MONTO SOLICITADO],EJECUTADO[APLICACIÓN],REPORTE[[#This Row],[CODIGO]],EJECUTADO[MES],3)</f>
        <v>25000</v>
      </c>
      <c r="G29" s="2">
        <f>SUMIFS(EJECUTADO[MONTO SOLICITADO],EJECUTADO[APLICACIÓN],REPORTE[[#This Row],[CODIGO]],EJECUTADO[MES],4)</f>
        <v>0</v>
      </c>
      <c r="H29" s="2">
        <f>SUMIFS(EJECUTADO[MONTO SOLICITADO],EJECUTADO[APLICACIÓN],REPORTE[[#This Row],[CODIGO]],EJECUTADO[MES],5)</f>
        <v>0</v>
      </c>
      <c r="I29" s="2">
        <f>SUMIFS(EJECUTADO[MONTO SOLICITADO],EJECUTADO[APLICACIÓN],REPORTE[[#This Row],[CODIGO]],EJECUTADO[MES],6)</f>
        <v>0</v>
      </c>
      <c r="J29" s="2">
        <f>SUMIFS(EJECUTADO[MONTO SOLICITADO],EJECUTADO[APLICACIÓN],REPORTE[[#This Row],[CODIGO]],EJECUTADO[MES],7)</f>
        <v>0</v>
      </c>
      <c r="K29" s="2">
        <f>SUMIFS(EJECUTADO[MONTO SOLICITADO],EJECUTADO[APLICACIÓN],REPORTE[[#This Row],[CODIGO]],EJECUTADO[MES],8)</f>
        <v>0</v>
      </c>
      <c r="L29" s="2">
        <f>SUMIFS(EJECUTADO[MONTO SOLICITADO],EJECUTADO[APLICACIÓN],REPORTE[[#This Row],[CODIGO]],EJECUTADO[MES],9)</f>
        <v>0</v>
      </c>
      <c r="M29" s="2">
        <f>SUMIFS(EJECUTADO[MONTO SOLICITADO],EJECUTADO[APLICACIÓN],REPORTE[[#This Row],[CODIGO]],EJECUTADO[MES],10)</f>
        <v>0</v>
      </c>
      <c r="N29" s="2">
        <f>SUMIFS(EJECUTADO[MONTO SOLICITADO],EJECUTADO[APLICACIÓN],REPORTE[[#This Row],[CODIGO]],EJECUTADO[MES],11)</f>
        <v>0</v>
      </c>
      <c r="O29" s="2">
        <f>SUMIFS(EJECUTADO[MONTO SOLICITADO],EJECUTADO[APLICACIÓN],REPORTE[[#This Row],[CODIGO]],EJECUTADO[MES],12)</f>
        <v>0</v>
      </c>
      <c r="P29" s="2">
        <f>SUM(REPORTE[[#This Row],[ENERO]:[DICIEMBRE]])</f>
        <v>108215.53</v>
      </c>
    </row>
    <row r="30" spans="1:16" x14ac:dyDescent="0.25">
      <c r="A30" s="3" t="s">
        <v>3156</v>
      </c>
      <c r="B30" s="1" t="s">
        <v>323</v>
      </c>
      <c r="C30" s="2">
        <f>SUMIFS(PRESUPUESTO[MONTO],PRESUPUESTO[APLICACIÓN],REPORTE[[#This Row],[CODIGO]])</f>
        <v>500540</v>
      </c>
      <c r="D30" s="2">
        <f>SUMIFS(EJECUTADO[MONTO SOLICITADO],EJECUTADO[APLICACIÓN],REPORTE[[#This Row],[CODIGO]],EJECUTADO[MES],1)</f>
        <v>10363.5</v>
      </c>
      <c r="E30" s="2">
        <f>SUMIFS(EJECUTADO[MONTO SOLICITADO],EJECUTADO[APLICACIÓN],REPORTE[[#This Row],[CODIGO]],EJECUTADO[MES],2)</f>
        <v>51261.090000000004</v>
      </c>
      <c r="F30" s="2">
        <f>SUMIFS(EJECUTADO[MONTO SOLICITADO],EJECUTADO[APLICACIÓN],REPORTE[[#This Row],[CODIGO]],EJECUTADO[MES],3)</f>
        <v>18066.060000000001</v>
      </c>
      <c r="G30" s="2">
        <f>SUMIFS(EJECUTADO[MONTO SOLICITADO],EJECUTADO[APLICACIÓN],REPORTE[[#This Row],[CODIGO]],EJECUTADO[MES],4)</f>
        <v>5197.8700000000008</v>
      </c>
      <c r="H30" s="2">
        <f>SUMIFS(EJECUTADO[MONTO SOLICITADO],EJECUTADO[APLICACIÓN],REPORTE[[#This Row],[CODIGO]],EJECUTADO[MES],5)</f>
        <v>0</v>
      </c>
      <c r="I30" s="2">
        <f>SUMIFS(EJECUTADO[MONTO SOLICITADO],EJECUTADO[APLICACIÓN],REPORTE[[#This Row],[CODIGO]],EJECUTADO[MES],6)</f>
        <v>0</v>
      </c>
      <c r="J30" s="2">
        <f>SUMIFS(EJECUTADO[MONTO SOLICITADO],EJECUTADO[APLICACIÓN],REPORTE[[#This Row],[CODIGO]],EJECUTADO[MES],7)</f>
        <v>0</v>
      </c>
      <c r="K30" s="2">
        <f>SUMIFS(EJECUTADO[MONTO SOLICITADO],EJECUTADO[APLICACIÓN],REPORTE[[#This Row],[CODIGO]],EJECUTADO[MES],8)</f>
        <v>0</v>
      </c>
      <c r="L30" s="2">
        <f>SUMIFS(EJECUTADO[MONTO SOLICITADO],EJECUTADO[APLICACIÓN],REPORTE[[#This Row],[CODIGO]],EJECUTADO[MES],9)</f>
        <v>0</v>
      </c>
      <c r="M30" s="2">
        <f>SUMIFS(EJECUTADO[MONTO SOLICITADO],EJECUTADO[APLICACIÓN],REPORTE[[#This Row],[CODIGO]],EJECUTADO[MES],10)</f>
        <v>0</v>
      </c>
      <c r="N30" s="2">
        <f>SUMIFS(EJECUTADO[MONTO SOLICITADO],EJECUTADO[APLICACIÓN],REPORTE[[#This Row],[CODIGO]],EJECUTADO[MES],11)</f>
        <v>0</v>
      </c>
      <c r="O30" s="2">
        <f>SUMIFS(EJECUTADO[MONTO SOLICITADO],EJECUTADO[APLICACIÓN],REPORTE[[#This Row],[CODIGO]],EJECUTADO[MES],12)</f>
        <v>0</v>
      </c>
      <c r="P30" s="2">
        <f>SUM(REPORTE[[#This Row],[ENERO]:[DICIEMBRE]])</f>
        <v>84888.52</v>
      </c>
    </row>
    <row r="31" spans="1:16" x14ac:dyDescent="0.25">
      <c r="A31" s="3" t="s">
        <v>3155</v>
      </c>
      <c r="B31" s="1" t="s">
        <v>504</v>
      </c>
      <c r="C31" s="2">
        <f>SUMIFS(PRESUPUESTO[MONTO],PRESUPUESTO[APLICACIÓN],REPORTE[[#This Row],[CODIGO]])</f>
        <v>253760</v>
      </c>
      <c r="D31" s="2">
        <f>SUMIFS(EJECUTADO[MONTO SOLICITADO],EJECUTADO[APLICACIÓN],REPORTE[[#This Row],[CODIGO]],EJECUTADO[MES],1)</f>
        <v>28244.149999999998</v>
      </c>
      <c r="E31" s="2">
        <f>SUMIFS(EJECUTADO[MONTO SOLICITADO],EJECUTADO[APLICACIÓN],REPORTE[[#This Row],[CODIGO]],EJECUTADO[MES],2)</f>
        <v>32325.45</v>
      </c>
      <c r="F31" s="2">
        <f>SUMIFS(EJECUTADO[MONTO SOLICITADO],EJECUTADO[APLICACIÓN],REPORTE[[#This Row],[CODIGO]],EJECUTADO[MES],3)</f>
        <v>14059.699999999999</v>
      </c>
      <c r="G31" s="2">
        <f>SUMIFS(EJECUTADO[MONTO SOLICITADO],EJECUTADO[APLICACIÓN],REPORTE[[#This Row],[CODIGO]],EJECUTADO[MES],4)</f>
        <v>0</v>
      </c>
      <c r="H31" s="2">
        <f>SUMIFS(EJECUTADO[MONTO SOLICITADO],EJECUTADO[APLICACIÓN],REPORTE[[#This Row],[CODIGO]],EJECUTADO[MES],5)</f>
        <v>0</v>
      </c>
      <c r="I31" s="2">
        <f>SUMIFS(EJECUTADO[MONTO SOLICITADO],EJECUTADO[APLICACIÓN],REPORTE[[#This Row],[CODIGO]],EJECUTADO[MES],6)</f>
        <v>0</v>
      </c>
      <c r="J31" s="2">
        <f>SUMIFS(EJECUTADO[MONTO SOLICITADO],EJECUTADO[APLICACIÓN],REPORTE[[#This Row],[CODIGO]],EJECUTADO[MES],7)</f>
        <v>0</v>
      </c>
      <c r="K31" s="2">
        <f>SUMIFS(EJECUTADO[MONTO SOLICITADO],EJECUTADO[APLICACIÓN],REPORTE[[#This Row],[CODIGO]],EJECUTADO[MES],8)</f>
        <v>0</v>
      </c>
      <c r="L31" s="2">
        <f>SUMIFS(EJECUTADO[MONTO SOLICITADO],EJECUTADO[APLICACIÓN],REPORTE[[#This Row],[CODIGO]],EJECUTADO[MES],9)</f>
        <v>0</v>
      </c>
      <c r="M31" s="2">
        <f>SUMIFS(EJECUTADO[MONTO SOLICITADO],EJECUTADO[APLICACIÓN],REPORTE[[#This Row],[CODIGO]],EJECUTADO[MES],10)</f>
        <v>0</v>
      </c>
      <c r="N31" s="2">
        <f>SUMIFS(EJECUTADO[MONTO SOLICITADO],EJECUTADO[APLICACIÓN],REPORTE[[#This Row],[CODIGO]],EJECUTADO[MES],11)</f>
        <v>0</v>
      </c>
      <c r="O31" s="2">
        <f>SUMIFS(EJECUTADO[MONTO SOLICITADO],EJECUTADO[APLICACIÓN],REPORTE[[#This Row],[CODIGO]],EJECUTADO[MES],12)</f>
        <v>0</v>
      </c>
      <c r="P31" s="2">
        <f>SUM(REPORTE[[#This Row],[ENERO]:[DICIEMBRE]])</f>
        <v>74629.3</v>
      </c>
    </row>
    <row r="32" spans="1:16" x14ac:dyDescent="0.25">
      <c r="A32" s="3" t="s">
        <v>3162</v>
      </c>
      <c r="B32" s="1" t="s">
        <v>702</v>
      </c>
      <c r="C32" s="2">
        <f>SUMIFS(PRESUPUESTO[MONTO],PRESUPUESTO[APLICACIÓN],REPORTE[[#This Row],[CODIGO]])</f>
        <v>479820</v>
      </c>
      <c r="D32" s="2">
        <f>SUMIFS(EJECUTADO[MONTO SOLICITADO],EJECUTADO[APLICACIÓN],REPORTE[[#This Row],[CODIGO]],EJECUTADO[MES],1)</f>
        <v>21032.3</v>
      </c>
      <c r="E32" s="2">
        <f>SUMIFS(EJECUTADO[MONTO SOLICITADO],EJECUTADO[APLICACIÓN],REPORTE[[#This Row],[CODIGO]],EJECUTADO[MES],2)</f>
        <v>20873.079999999998</v>
      </c>
      <c r="F32" s="2">
        <f>SUMIFS(EJECUTADO[MONTO SOLICITADO],EJECUTADO[APLICACIÓN],REPORTE[[#This Row],[CODIGO]],EJECUTADO[MES],3)</f>
        <v>14864.2</v>
      </c>
      <c r="G32" s="2">
        <f>SUMIFS(EJECUTADO[MONTO SOLICITADO],EJECUTADO[APLICACIÓN],REPORTE[[#This Row],[CODIGO]],EJECUTADO[MES],4)</f>
        <v>14768.62</v>
      </c>
      <c r="H32" s="2">
        <f>SUMIFS(EJECUTADO[MONTO SOLICITADO],EJECUTADO[APLICACIÓN],REPORTE[[#This Row],[CODIGO]],EJECUTADO[MES],5)</f>
        <v>0</v>
      </c>
      <c r="I32" s="2">
        <f>SUMIFS(EJECUTADO[MONTO SOLICITADO],EJECUTADO[APLICACIÓN],REPORTE[[#This Row],[CODIGO]],EJECUTADO[MES],6)</f>
        <v>0</v>
      </c>
      <c r="J32" s="2">
        <f>SUMIFS(EJECUTADO[MONTO SOLICITADO],EJECUTADO[APLICACIÓN],REPORTE[[#This Row],[CODIGO]],EJECUTADO[MES],7)</f>
        <v>0</v>
      </c>
      <c r="K32" s="2">
        <f>SUMIFS(EJECUTADO[MONTO SOLICITADO],EJECUTADO[APLICACIÓN],REPORTE[[#This Row],[CODIGO]],EJECUTADO[MES],8)</f>
        <v>0</v>
      </c>
      <c r="L32" s="2">
        <f>SUMIFS(EJECUTADO[MONTO SOLICITADO],EJECUTADO[APLICACIÓN],REPORTE[[#This Row],[CODIGO]],EJECUTADO[MES],9)</f>
        <v>0</v>
      </c>
      <c r="M32" s="2">
        <f>SUMIFS(EJECUTADO[MONTO SOLICITADO],EJECUTADO[APLICACIÓN],REPORTE[[#This Row],[CODIGO]],EJECUTADO[MES],10)</f>
        <v>0</v>
      </c>
      <c r="N32" s="2">
        <f>SUMIFS(EJECUTADO[MONTO SOLICITADO],EJECUTADO[APLICACIÓN],REPORTE[[#This Row],[CODIGO]],EJECUTADO[MES],11)</f>
        <v>0</v>
      </c>
      <c r="O32" s="2">
        <f>SUMIFS(EJECUTADO[MONTO SOLICITADO],EJECUTADO[APLICACIÓN],REPORTE[[#This Row],[CODIGO]],EJECUTADO[MES],12)</f>
        <v>0</v>
      </c>
      <c r="P32" s="2">
        <f>SUM(REPORTE[[#This Row],[ENERO]:[DICIEMBRE]])</f>
        <v>71538.2</v>
      </c>
    </row>
    <row r="33" spans="1:16" x14ac:dyDescent="0.25">
      <c r="A33" s="3" t="s">
        <v>3153</v>
      </c>
      <c r="B33" s="1" t="s">
        <v>40</v>
      </c>
      <c r="C33" s="2">
        <f>SUMIFS(PRESUPUESTO[MONTO],PRESUPUESTO[APLICACIÓN],REPORTE[[#This Row],[CODIGO]])</f>
        <v>715390</v>
      </c>
      <c r="D33" s="2">
        <f>SUMIFS(EJECUTADO[MONTO SOLICITADO],EJECUTADO[APLICACIÓN],REPORTE[[#This Row],[CODIGO]],EJECUTADO[MES],1)</f>
        <v>7956.8</v>
      </c>
      <c r="E33" s="2">
        <f>SUMIFS(EJECUTADO[MONTO SOLICITADO],EJECUTADO[APLICACIÓN],REPORTE[[#This Row],[CODIGO]],EJECUTADO[MES],2)</f>
        <v>27037.190000000002</v>
      </c>
      <c r="F33" s="2">
        <f>SUMIFS(EJECUTADO[MONTO SOLICITADO],EJECUTADO[APLICACIÓN],REPORTE[[#This Row],[CODIGO]],EJECUTADO[MES],3)</f>
        <v>12954.960000000001</v>
      </c>
      <c r="G33" s="2">
        <f>SUMIFS(EJECUTADO[MONTO SOLICITADO],EJECUTADO[APLICACIÓN],REPORTE[[#This Row],[CODIGO]],EJECUTADO[MES],4)</f>
        <v>11769</v>
      </c>
      <c r="H33" s="2">
        <f>SUMIFS(EJECUTADO[MONTO SOLICITADO],EJECUTADO[APLICACIÓN],REPORTE[[#This Row],[CODIGO]],EJECUTADO[MES],5)</f>
        <v>0</v>
      </c>
      <c r="I33" s="2">
        <f>SUMIFS(EJECUTADO[MONTO SOLICITADO],EJECUTADO[APLICACIÓN],REPORTE[[#This Row],[CODIGO]],EJECUTADO[MES],6)</f>
        <v>0</v>
      </c>
      <c r="J33" s="2">
        <f>SUMIFS(EJECUTADO[MONTO SOLICITADO],EJECUTADO[APLICACIÓN],REPORTE[[#This Row],[CODIGO]],EJECUTADO[MES],7)</f>
        <v>0</v>
      </c>
      <c r="K33" s="2">
        <f>SUMIFS(EJECUTADO[MONTO SOLICITADO],EJECUTADO[APLICACIÓN],REPORTE[[#This Row],[CODIGO]],EJECUTADO[MES],8)</f>
        <v>0</v>
      </c>
      <c r="L33" s="2">
        <f>SUMIFS(EJECUTADO[MONTO SOLICITADO],EJECUTADO[APLICACIÓN],REPORTE[[#This Row],[CODIGO]],EJECUTADO[MES],9)</f>
        <v>0</v>
      </c>
      <c r="M33" s="2">
        <f>SUMIFS(EJECUTADO[MONTO SOLICITADO],EJECUTADO[APLICACIÓN],REPORTE[[#This Row],[CODIGO]],EJECUTADO[MES],10)</f>
        <v>0</v>
      </c>
      <c r="N33" s="2">
        <f>SUMIFS(EJECUTADO[MONTO SOLICITADO],EJECUTADO[APLICACIÓN],REPORTE[[#This Row],[CODIGO]],EJECUTADO[MES],11)</f>
        <v>0</v>
      </c>
      <c r="O33" s="2">
        <f>SUMIFS(EJECUTADO[MONTO SOLICITADO],EJECUTADO[APLICACIÓN],REPORTE[[#This Row],[CODIGO]],EJECUTADO[MES],12)</f>
        <v>0</v>
      </c>
      <c r="P33" s="2">
        <f>SUM(REPORTE[[#This Row],[ENERO]:[DICIEMBRE]])</f>
        <v>59717.950000000004</v>
      </c>
    </row>
    <row r="34" spans="1:16" x14ac:dyDescent="0.25">
      <c r="A34" s="3" t="s">
        <v>3163</v>
      </c>
      <c r="B34" s="1" t="s">
        <v>672</v>
      </c>
      <c r="C34" s="2">
        <f>SUMIFS(PRESUPUESTO[MONTO],PRESUPUESTO[APLICACIÓN],REPORTE[[#This Row],[CODIGO]])</f>
        <v>180000</v>
      </c>
      <c r="D34" s="2">
        <f>SUMIFS(EJECUTADO[MONTO SOLICITADO],EJECUTADO[APLICACIÓN],REPORTE[[#This Row],[CODIGO]],EJECUTADO[MES],1)</f>
        <v>13450</v>
      </c>
      <c r="E34" s="2">
        <f>SUMIFS(EJECUTADO[MONTO SOLICITADO],EJECUTADO[APLICACIÓN],REPORTE[[#This Row],[CODIGO]],EJECUTADO[MES],2)</f>
        <v>18655.800000000003</v>
      </c>
      <c r="F34" s="2">
        <f>SUMIFS(EJECUTADO[MONTO SOLICITADO],EJECUTADO[APLICACIÓN],REPORTE[[#This Row],[CODIGO]],EJECUTADO[MES],3)</f>
        <v>19575.41</v>
      </c>
      <c r="G34" s="2">
        <f>SUMIFS(EJECUTADO[MONTO SOLICITADO],EJECUTADO[APLICACIÓN],REPORTE[[#This Row],[CODIGO]],EJECUTADO[MES],4)</f>
        <v>2540</v>
      </c>
      <c r="H34" s="2">
        <f>SUMIFS(EJECUTADO[MONTO SOLICITADO],EJECUTADO[APLICACIÓN],REPORTE[[#This Row],[CODIGO]],EJECUTADO[MES],5)</f>
        <v>0</v>
      </c>
      <c r="I34" s="2">
        <f>SUMIFS(EJECUTADO[MONTO SOLICITADO],EJECUTADO[APLICACIÓN],REPORTE[[#This Row],[CODIGO]],EJECUTADO[MES],6)</f>
        <v>0</v>
      </c>
      <c r="J34" s="2">
        <f>SUMIFS(EJECUTADO[MONTO SOLICITADO],EJECUTADO[APLICACIÓN],REPORTE[[#This Row],[CODIGO]],EJECUTADO[MES],7)</f>
        <v>0</v>
      </c>
      <c r="K34" s="2">
        <f>SUMIFS(EJECUTADO[MONTO SOLICITADO],EJECUTADO[APLICACIÓN],REPORTE[[#This Row],[CODIGO]],EJECUTADO[MES],8)</f>
        <v>0</v>
      </c>
      <c r="L34" s="2">
        <f>SUMIFS(EJECUTADO[MONTO SOLICITADO],EJECUTADO[APLICACIÓN],REPORTE[[#This Row],[CODIGO]],EJECUTADO[MES],9)</f>
        <v>0</v>
      </c>
      <c r="M34" s="2">
        <f>SUMIFS(EJECUTADO[MONTO SOLICITADO],EJECUTADO[APLICACIÓN],REPORTE[[#This Row],[CODIGO]],EJECUTADO[MES],10)</f>
        <v>0</v>
      </c>
      <c r="N34" s="2">
        <f>SUMIFS(EJECUTADO[MONTO SOLICITADO],EJECUTADO[APLICACIÓN],REPORTE[[#This Row],[CODIGO]],EJECUTADO[MES],11)</f>
        <v>0</v>
      </c>
      <c r="O34" s="2">
        <f>SUMIFS(EJECUTADO[MONTO SOLICITADO],EJECUTADO[APLICACIÓN],REPORTE[[#This Row],[CODIGO]],EJECUTADO[MES],12)</f>
        <v>0</v>
      </c>
      <c r="P34" s="2">
        <f>SUM(REPORTE[[#This Row],[ENERO]:[DICIEMBRE]])</f>
        <v>54221.210000000006</v>
      </c>
    </row>
    <row r="35" spans="1:16" x14ac:dyDescent="0.25">
      <c r="A35" s="3" t="s">
        <v>3164</v>
      </c>
      <c r="B35" s="1" t="s">
        <v>3165</v>
      </c>
      <c r="C35" s="2">
        <f>SUMIFS(PRESUPUESTO[MONTO],PRESUPUESTO[APLICACIÓN],REPORTE[[#This Row],[CODIGO]])</f>
        <v>273599.99999999994</v>
      </c>
      <c r="D35" s="2">
        <f>SUMIFS(EJECUTADO[MONTO SOLICITADO],EJECUTADO[APLICACIÓN],REPORTE[[#This Row],[CODIGO]],EJECUTADO[MES],1)</f>
        <v>10839.7</v>
      </c>
      <c r="E35" s="2">
        <f>SUMIFS(EJECUTADO[MONTO SOLICITADO],EJECUTADO[APLICACIÓN],REPORTE[[#This Row],[CODIGO]],EJECUTADO[MES],2)</f>
        <v>1887.0700000000002</v>
      </c>
      <c r="F35" s="2">
        <f>SUMIFS(EJECUTADO[MONTO SOLICITADO],EJECUTADO[APLICACIÓN],REPORTE[[#This Row],[CODIGO]],EJECUTADO[MES],3)</f>
        <v>14128.029999999999</v>
      </c>
      <c r="G35" s="2">
        <f>SUMIFS(EJECUTADO[MONTO SOLICITADO],EJECUTADO[APLICACIÓN],REPORTE[[#This Row],[CODIGO]],EJECUTADO[MES],4)</f>
        <v>8888.8799999999992</v>
      </c>
      <c r="H35" s="2">
        <f>SUMIFS(EJECUTADO[MONTO SOLICITADO],EJECUTADO[APLICACIÓN],REPORTE[[#This Row],[CODIGO]],EJECUTADO[MES],5)</f>
        <v>0</v>
      </c>
      <c r="I35" s="2">
        <f>SUMIFS(EJECUTADO[MONTO SOLICITADO],EJECUTADO[APLICACIÓN],REPORTE[[#This Row],[CODIGO]],EJECUTADO[MES],6)</f>
        <v>0</v>
      </c>
      <c r="J35" s="2">
        <f>SUMIFS(EJECUTADO[MONTO SOLICITADO],EJECUTADO[APLICACIÓN],REPORTE[[#This Row],[CODIGO]],EJECUTADO[MES],7)</f>
        <v>0</v>
      </c>
      <c r="K35" s="2">
        <f>SUMIFS(EJECUTADO[MONTO SOLICITADO],EJECUTADO[APLICACIÓN],REPORTE[[#This Row],[CODIGO]],EJECUTADO[MES],8)</f>
        <v>0</v>
      </c>
      <c r="L35" s="2">
        <f>SUMIFS(EJECUTADO[MONTO SOLICITADO],EJECUTADO[APLICACIÓN],REPORTE[[#This Row],[CODIGO]],EJECUTADO[MES],9)</f>
        <v>0</v>
      </c>
      <c r="M35" s="2">
        <f>SUMIFS(EJECUTADO[MONTO SOLICITADO],EJECUTADO[APLICACIÓN],REPORTE[[#This Row],[CODIGO]],EJECUTADO[MES],10)</f>
        <v>0</v>
      </c>
      <c r="N35" s="2">
        <f>SUMIFS(EJECUTADO[MONTO SOLICITADO],EJECUTADO[APLICACIÓN],REPORTE[[#This Row],[CODIGO]],EJECUTADO[MES],11)</f>
        <v>0</v>
      </c>
      <c r="O35" s="2">
        <f>SUMIFS(EJECUTADO[MONTO SOLICITADO],EJECUTADO[APLICACIÓN],REPORTE[[#This Row],[CODIGO]],EJECUTADO[MES],12)</f>
        <v>0</v>
      </c>
      <c r="P35" s="2">
        <f>SUM(REPORTE[[#This Row],[ENERO]:[DICIEMBRE]])</f>
        <v>35743.68</v>
      </c>
    </row>
    <row r="36" spans="1:16" x14ac:dyDescent="0.25">
      <c r="A36" s="3" t="s">
        <v>3166</v>
      </c>
      <c r="B36" s="1" t="s">
        <v>261</v>
      </c>
      <c r="C36" s="2">
        <f>SUMIFS(PRESUPUESTO[MONTO],PRESUPUESTO[APLICACIÓN],REPORTE[[#This Row],[CODIGO]])</f>
        <v>120000</v>
      </c>
      <c r="D36" s="2">
        <f>SUMIFS(EJECUTADO[MONTO SOLICITADO],EJECUTADO[APLICACIÓN],REPORTE[[#This Row],[CODIGO]],EJECUTADO[MES],1)</f>
        <v>6671.2</v>
      </c>
      <c r="E36" s="2">
        <f>SUMIFS(EJECUTADO[MONTO SOLICITADO],EJECUTADO[APLICACIÓN],REPORTE[[#This Row],[CODIGO]],EJECUTADO[MES],2)</f>
        <v>13328.38</v>
      </c>
      <c r="F36" s="2">
        <f>SUMIFS(EJECUTADO[MONTO SOLICITADO],EJECUTADO[APLICACIÓN],REPORTE[[#This Row],[CODIGO]],EJECUTADO[MES],3)</f>
        <v>9530.15</v>
      </c>
      <c r="G36" s="2">
        <f>SUMIFS(EJECUTADO[MONTO SOLICITADO],EJECUTADO[APLICACIÓN],REPORTE[[#This Row],[CODIGO]],EJECUTADO[MES],4)</f>
        <v>5880</v>
      </c>
      <c r="H36" s="2">
        <f>SUMIFS(EJECUTADO[MONTO SOLICITADO],EJECUTADO[APLICACIÓN],REPORTE[[#This Row],[CODIGO]],EJECUTADO[MES],5)</f>
        <v>0</v>
      </c>
      <c r="I36" s="2">
        <f>SUMIFS(EJECUTADO[MONTO SOLICITADO],EJECUTADO[APLICACIÓN],REPORTE[[#This Row],[CODIGO]],EJECUTADO[MES],6)</f>
        <v>0</v>
      </c>
      <c r="J36" s="2">
        <f>SUMIFS(EJECUTADO[MONTO SOLICITADO],EJECUTADO[APLICACIÓN],REPORTE[[#This Row],[CODIGO]],EJECUTADO[MES],7)</f>
        <v>0</v>
      </c>
      <c r="K36" s="2">
        <f>SUMIFS(EJECUTADO[MONTO SOLICITADO],EJECUTADO[APLICACIÓN],REPORTE[[#This Row],[CODIGO]],EJECUTADO[MES],8)</f>
        <v>0</v>
      </c>
      <c r="L36" s="2">
        <f>SUMIFS(EJECUTADO[MONTO SOLICITADO],EJECUTADO[APLICACIÓN],REPORTE[[#This Row],[CODIGO]],EJECUTADO[MES],9)</f>
        <v>0</v>
      </c>
      <c r="M36" s="2">
        <f>SUMIFS(EJECUTADO[MONTO SOLICITADO],EJECUTADO[APLICACIÓN],REPORTE[[#This Row],[CODIGO]],EJECUTADO[MES],10)</f>
        <v>0</v>
      </c>
      <c r="N36" s="2">
        <f>SUMIFS(EJECUTADO[MONTO SOLICITADO],EJECUTADO[APLICACIÓN],REPORTE[[#This Row],[CODIGO]],EJECUTADO[MES],11)</f>
        <v>0</v>
      </c>
      <c r="O36" s="2">
        <f>SUMIFS(EJECUTADO[MONTO SOLICITADO],EJECUTADO[APLICACIÓN],REPORTE[[#This Row],[CODIGO]],EJECUTADO[MES],12)</f>
        <v>0</v>
      </c>
      <c r="P36" s="2">
        <f>SUM(REPORTE[[#This Row],[ENERO]:[DICIEMBRE]])</f>
        <v>35409.729999999996</v>
      </c>
    </row>
    <row r="37" spans="1:16" x14ac:dyDescent="0.25">
      <c r="A37" s="3" t="s">
        <v>3148</v>
      </c>
      <c r="B37" s="1" t="s">
        <v>269</v>
      </c>
      <c r="C37" s="2">
        <f>SUMIFS(PRESUPUESTO[MONTO],PRESUPUESTO[APLICACIÓN],REPORTE[[#This Row],[CODIGO]])</f>
        <v>145000</v>
      </c>
      <c r="D37" s="2">
        <f>SUMIFS(EJECUTADO[MONTO SOLICITADO],EJECUTADO[APLICACIÓN],REPORTE[[#This Row],[CODIGO]],EJECUTADO[MES],1)</f>
        <v>9525.5600000000013</v>
      </c>
      <c r="E37" s="2">
        <f>SUMIFS(EJECUTADO[MONTO SOLICITADO],EJECUTADO[APLICACIÓN],REPORTE[[#This Row],[CODIGO]],EJECUTADO[MES],2)</f>
        <v>12137.44</v>
      </c>
      <c r="F37" s="2">
        <f>SUMIFS(EJECUTADO[MONTO SOLICITADO],EJECUTADO[APLICACIÓN],REPORTE[[#This Row],[CODIGO]],EJECUTADO[MES],3)</f>
        <v>10339.08</v>
      </c>
      <c r="G37" s="2">
        <f>SUMIFS(EJECUTADO[MONTO SOLICITADO],EJECUTADO[APLICACIÓN],REPORTE[[#This Row],[CODIGO]],EJECUTADO[MES],4)</f>
        <v>500</v>
      </c>
      <c r="H37" s="2">
        <f>SUMIFS(EJECUTADO[MONTO SOLICITADO],EJECUTADO[APLICACIÓN],REPORTE[[#This Row],[CODIGO]],EJECUTADO[MES],5)</f>
        <v>0</v>
      </c>
      <c r="I37" s="2">
        <f>SUMIFS(EJECUTADO[MONTO SOLICITADO],EJECUTADO[APLICACIÓN],REPORTE[[#This Row],[CODIGO]],EJECUTADO[MES],6)</f>
        <v>0</v>
      </c>
      <c r="J37" s="2">
        <f>SUMIFS(EJECUTADO[MONTO SOLICITADO],EJECUTADO[APLICACIÓN],REPORTE[[#This Row],[CODIGO]],EJECUTADO[MES],7)</f>
        <v>0</v>
      </c>
      <c r="K37" s="2">
        <f>SUMIFS(EJECUTADO[MONTO SOLICITADO],EJECUTADO[APLICACIÓN],REPORTE[[#This Row],[CODIGO]],EJECUTADO[MES],8)</f>
        <v>0</v>
      </c>
      <c r="L37" s="2">
        <f>SUMIFS(EJECUTADO[MONTO SOLICITADO],EJECUTADO[APLICACIÓN],REPORTE[[#This Row],[CODIGO]],EJECUTADO[MES],9)</f>
        <v>0</v>
      </c>
      <c r="M37" s="2">
        <f>SUMIFS(EJECUTADO[MONTO SOLICITADO],EJECUTADO[APLICACIÓN],REPORTE[[#This Row],[CODIGO]],EJECUTADO[MES],10)</f>
        <v>0</v>
      </c>
      <c r="N37" s="2">
        <f>SUMIFS(EJECUTADO[MONTO SOLICITADO],EJECUTADO[APLICACIÓN],REPORTE[[#This Row],[CODIGO]],EJECUTADO[MES],11)</f>
        <v>0</v>
      </c>
      <c r="O37" s="2">
        <f>SUMIFS(EJECUTADO[MONTO SOLICITADO],EJECUTADO[APLICACIÓN],REPORTE[[#This Row],[CODIGO]],EJECUTADO[MES],12)</f>
        <v>0</v>
      </c>
      <c r="P37" s="2">
        <f>SUM(REPORTE[[#This Row],[ENERO]:[DICIEMBRE]])</f>
        <v>32502.080000000002</v>
      </c>
    </row>
    <row r="38" spans="1:16" x14ac:dyDescent="0.25">
      <c r="A38" s="3" t="s">
        <v>3160</v>
      </c>
      <c r="B38" s="1" t="s">
        <v>625</v>
      </c>
      <c r="C38" s="2">
        <f>SUMIFS(PRESUPUESTO[MONTO],PRESUPUESTO[APLICACIÓN],REPORTE[[#This Row],[CODIGO]])</f>
        <v>100000</v>
      </c>
      <c r="D38" s="2">
        <f>SUMIFS(EJECUTADO[MONTO SOLICITADO],EJECUTADO[APLICACIÓN],REPORTE[[#This Row],[CODIGO]],EJECUTADO[MES],1)</f>
        <v>14030.369999999999</v>
      </c>
      <c r="E38" s="2">
        <f>SUMIFS(EJECUTADO[MONTO SOLICITADO],EJECUTADO[APLICACIÓN],REPORTE[[#This Row],[CODIGO]],EJECUTADO[MES],2)</f>
        <v>5391.5099999999993</v>
      </c>
      <c r="F38" s="2">
        <f>SUMIFS(EJECUTADO[MONTO SOLICITADO],EJECUTADO[APLICACIÓN],REPORTE[[#This Row],[CODIGO]],EJECUTADO[MES],3)</f>
        <v>7134.16</v>
      </c>
      <c r="G38" s="2">
        <f>SUMIFS(EJECUTADO[MONTO SOLICITADO],EJECUTADO[APLICACIÓN],REPORTE[[#This Row],[CODIGO]],EJECUTADO[MES],4)</f>
        <v>4476.76</v>
      </c>
      <c r="H38" s="2">
        <f>SUMIFS(EJECUTADO[MONTO SOLICITADO],EJECUTADO[APLICACIÓN],REPORTE[[#This Row],[CODIGO]],EJECUTADO[MES],5)</f>
        <v>0</v>
      </c>
      <c r="I38" s="2">
        <f>SUMIFS(EJECUTADO[MONTO SOLICITADO],EJECUTADO[APLICACIÓN],REPORTE[[#This Row],[CODIGO]],EJECUTADO[MES],6)</f>
        <v>0</v>
      </c>
      <c r="J38" s="2">
        <f>SUMIFS(EJECUTADO[MONTO SOLICITADO],EJECUTADO[APLICACIÓN],REPORTE[[#This Row],[CODIGO]],EJECUTADO[MES],7)</f>
        <v>0</v>
      </c>
      <c r="K38" s="2">
        <f>SUMIFS(EJECUTADO[MONTO SOLICITADO],EJECUTADO[APLICACIÓN],REPORTE[[#This Row],[CODIGO]],EJECUTADO[MES],8)</f>
        <v>0</v>
      </c>
      <c r="L38" s="2">
        <f>SUMIFS(EJECUTADO[MONTO SOLICITADO],EJECUTADO[APLICACIÓN],REPORTE[[#This Row],[CODIGO]],EJECUTADO[MES],9)</f>
        <v>0</v>
      </c>
      <c r="M38" s="2">
        <f>SUMIFS(EJECUTADO[MONTO SOLICITADO],EJECUTADO[APLICACIÓN],REPORTE[[#This Row],[CODIGO]],EJECUTADO[MES],10)</f>
        <v>0</v>
      </c>
      <c r="N38" s="2">
        <f>SUMIFS(EJECUTADO[MONTO SOLICITADO],EJECUTADO[APLICACIÓN],REPORTE[[#This Row],[CODIGO]],EJECUTADO[MES],11)</f>
        <v>0</v>
      </c>
      <c r="O38" s="2">
        <f>SUMIFS(EJECUTADO[MONTO SOLICITADO],EJECUTADO[APLICACIÓN],REPORTE[[#This Row],[CODIGO]],EJECUTADO[MES],12)</f>
        <v>0</v>
      </c>
      <c r="P38" s="2">
        <f>SUM(REPORTE[[#This Row],[ENERO]:[DICIEMBRE]])</f>
        <v>31032.799999999996</v>
      </c>
    </row>
    <row r="39" spans="1:16" x14ac:dyDescent="0.25">
      <c r="A39" s="3" t="s">
        <v>3168</v>
      </c>
      <c r="B39" s="1" t="s">
        <v>891</v>
      </c>
      <c r="C39" s="2">
        <f>SUMIFS(PRESUPUESTO[MONTO],PRESUPUESTO[APLICACIÓN],REPORTE[[#This Row],[CODIGO]])</f>
        <v>65000</v>
      </c>
      <c r="D39" s="2">
        <f>SUMIFS(EJECUTADO[MONTO SOLICITADO],EJECUTADO[APLICACIÓN],REPORTE[[#This Row],[CODIGO]],EJECUTADO[MES],1)</f>
        <v>1020</v>
      </c>
      <c r="E39" s="2">
        <f>SUMIFS(EJECUTADO[MONTO SOLICITADO],EJECUTADO[APLICACIÓN],REPORTE[[#This Row],[CODIGO]],EJECUTADO[MES],2)</f>
        <v>2698.73</v>
      </c>
      <c r="F39" s="2">
        <f>SUMIFS(EJECUTADO[MONTO SOLICITADO],EJECUTADO[APLICACIÓN],REPORTE[[#This Row],[CODIGO]],EJECUTADO[MES],3)</f>
        <v>1020</v>
      </c>
      <c r="G39" s="2">
        <f>SUMIFS(EJECUTADO[MONTO SOLICITADO],EJECUTADO[APLICACIÓN],REPORTE[[#This Row],[CODIGO]],EJECUTADO[MES],4)</f>
        <v>19453</v>
      </c>
      <c r="H39" s="2">
        <f>SUMIFS(EJECUTADO[MONTO SOLICITADO],EJECUTADO[APLICACIÓN],REPORTE[[#This Row],[CODIGO]],EJECUTADO[MES],5)</f>
        <v>0</v>
      </c>
      <c r="I39" s="2">
        <f>SUMIFS(EJECUTADO[MONTO SOLICITADO],EJECUTADO[APLICACIÓN],REPORTE[[#This Row],[CODIGO]],EJECUTADO[MES],6)</f>
        <v>0</v>
      </c>
      <c r="J39" s="2">
        <f>SUMIFS(EJECUTADO[MONTO SOLICITADO],EJECUTADO[APLICACIÓN],REPORTE[[#This Row],[CODIGO]],EJECUTADO[MES],7)</f>
        <v>0</v>
      </c>
      <c r="K39" s="2">
        <f>SUMIFS(EJECUTADO[MONTO SOLICITADO],EJECUTADO[APLICACIÓN],REPORTE[[#This Row],[CODIGO]],EJECUTADO[MES],8)</f>
        <v>0</v>
      </c>
      <c r="L39" s="2">
        <f>SUMIFS(EJECUTADO[MONTO SOLICITADO],EJECUTADO[APLICACIÓN],REPORTE[[#This Row],[CODIGO]],EJECUTADO[MES],9)</f>
        <v>0</v>
      </c>
      <c r="M39" s="2">
        <f>SUMIFS(EJECUTADO[MONTO SOLICITADO],EJECUTADO[APLICACIÓN],REPORTE[[#This Row],[CODIGO]],EJECUTADO[MES],10)</f>
        <v>0</v>
      </c>
      <c r="N39" s="2">
        <f>SUMIFS(EJECUTADO[MONTO SOLICITADO],EJECUTADO[APLICACIÓN],REPORTE[[#This Row],[CODIGO]],EJECUTADO[MES],11)</f>
        <v>0</v>
      </c>
      <c r="O39" s="2">
        <f>SUMIFS(EJECUTADO[MONTO SOLICITADO],EJECUTADO[APLICACIÓN],REPORTE[[#This Row],[CODIGO]],EJECUTADO[MES],12)</f>
        <v>0</v>
      </c>
      <c r="P39" s="2">
        <f>SUM(REPORTE[[#This Row],[ENERO]:[DICIEMBRE]])</f>
        <v>24191.73</v>
      </c>
    </row>
    <row r="40" spans="1:16" x14ac:dyDescent="0.25">
      <c r="A40" s="3" t="s">
        <v>3161</v>
      </c>
      <c r="B40" s="1" t="s">
        <v>694</v>
      </c>
      <c r="C40" s="2">
        <f>SUMIFS(PRESUPUESTO[MONTO],PRESUPUESTO[APLICACIÓN],REPORTE[[#This Row],[CODIGO]])</f>
        <v>50000</v>
      </c>
      <c r="D40" s="2">
        <f>SUMIFS(EJECUTADO[MONTO SOLICITADO],EJECUTADO[APLICACIÓN],REPORTE[[#This Row],[CODIGO]],EJECUTADO[MES],1)</f>
        <v>1938</v>
      </c>
      <c r="E40" s="2">
        <f>SUMIFS(EJECUTADO[MONTO SOLICITADO],EJECUTADO[APLICACIÓN],REPORTE[[#This Row],[CODIGO]],EJECUTADO[MES],2)</f>
        <v>3561.5</v>
      </c>
      <c r="F40" s="2">
        <f>SUMIFS(EJECUTADO[MONTO SOLICITADO],EJECUTADO[APLICACIÓN],REPORTE[[#This Row],[CODIGO]],EJECUTADO[MES],3)</f>
        <v>5195.3099999999995</v>
      </c>
      <c r="G40" s="2">
        <f>SUMIFS(EJECUTADO[MONTO SOLICITADO],EJECUTADO[APLICACIÓN],REPORTE[[#This Row],[CODIGO]],EJECUTADO[MES],4)</f>
        <v>3091.68</v>
      </c>
      <c r="H40" s="2">
        <f>SUMIFS(EJECUTADO[MONTO SOLICITADO],EJECUTADO[APLICACIÓN],REPORTE[[#This Row],[CODIGO]],EJECUTADO[MES],5)</f>
        <v>0</v>
      </c>
      <c r="I40" s="2">
        <f>SUMIFS(EJECUTADO[MONTO SOLICITADO],EJECUTADO[APLICACIÓN],REPORTE[[#This Row],[CODIGO]],EJECUTADO[MES],6)</f>
        <v>0</v>
      </c>
      <c r="J40" s="2">
        <f>SUMIFS(EJECUTADO[MONTO SOLICITADO],EJECUTADO[APLICACIÓN],REPORTE[[#This Row],[CODIGO]],EJECUTADO[MES],7)</f>
        <v>0</v>
      </c>
      <c r="K40" s="2">
        <f>SUMIFS(EJECUTADO[MONTO SOLICITADO],EJECUTADO[APLICACIÓN],REPORTE[[#This Row],[CODIGO]],EJECUTADO[MES],8)</f>
        <v>0</v>
      </c>
      <c r="L40" s="2">
        <f>SUMIFS(EJECUTADO[MONTO SOLICITADO],EJECUTADO[APLICACIÓN],REPORTE[[#This Row],[CODIGO]],EJECUTADO[MES],9)</f>
        <v>0</v>
      </c>
      <c r="M40" s="2">
        <f>SUMIFS(EJECUTADO[MONTO SOLICITADO],EJECUTADO[APLICACIÓN],REPORTE[[#This Row],[CODIGO]],EJECUTADO[MES],10)</f>
        <v>0</v>
      </c>
      <c r="N40" s="2">
        <f>SUMIFS(EJECUTADO[MONTO SOLICITADO],EJECUTADO[APLICACIÓN],REPORTE[[#This Row],[CODIGO]],EJECUTADO[MES],11)</f>
        <v>0</v>
      </c>
      <c r="O40" s="2">
        <f>SUMIFS(EJECUTADO[MONTO SOLICITADO],EJECUTADO[APLICACIÓN],REPORTE[[#This Row],[CODIGO]],EJECUTADO[MES],12)</f>
        <v>0</v>
      </c>
      <c r="P40" s="2">
        <f>SUM(REPORTE[[#This Row],[ENERO]:[DICIEMBRE]])</f>
        <v>13786.49</v>
      </c>
    </row>
    <row r="41" spans="1:16" x14ac:dyDescent="0.25">
      <c r="A41" s="3" t="s">
        <v>3167</v>
      </c>
      <c r="B41" s="1" t="s">
        <v>881</v>
      </c>
      <c r="C41" s="2">
        <f>SUMIFS(PRESUPUESTO[MONTO],PRESUPUESTO[APLICACIÓN],REPORTE[[#This Row],[CODIGO]])</f>
        <v>50950</v>
      </c>
      <c r="D41" s="2">
        <f>SUMIFS(EJECUTADO[MONTO SOLICITADO],EJECUTADO[APLICACIÓN],REPORTE[[#This Row],[CODIGO]],EJECUTADO[MES],1)</f>
        <v>3889</v>
      </c>
      <c r="E41" s="2">
        <f>SUMIFS(EJECUTADO[MONTO SOLICITADO],EJECUTADO[APLICACIÓN],REPORTE[[#This Row],[CODIGO]],EJECUTADO[MES],2)</f>
        <v>3550</v>
      </c>
      <c r="F41" s="2">
        <f>SUMIFS(EJECUTADO[MONTO SOLICITADO],EJECUTADO[APLICACIÓN],REPORTE[[#This Row],[CODIGO]],EJECUTADO[MES],3)</f>
        <v>4476.5</v>
      </c>
      <c r="G41" s="2">
        <f>SUMIFS(EJECUTADO[MONTO SOLICITADO],EJECUTADO[APLICACIÓN],REPORTE[[#This Row],[CODIGO]],EJECUTADO[MES],4)</f>
        <v>0</v>
      </c>
      <c r="H41" s="2">
        <f>SUMIFS(EJECUTADO[MONTO SOLICITADO],EJECUTADO[APLICACIÓN],REPORTE[[#This Row],[CODIGO]],EJECUTADO[MES],5)</f>
        <v>0</v>
      </c>
      <c r="I41" s="2">
        <f>SUMIFS(EJECUTADO[MONTO SOLICITADO],EJECUTADO[APLICACIÓN],REPORTE[[#This Row],[CODIGO]],EJECUTADO[MES],6)</f>
        <v>0</v>
      </c>
      <c r="J41" s="2">
        <f>SUMIFS(EJECUTADO[MONTO SOLICITADO],EJECUTADO[APLICACIÓN],REPORTE[[#This Row],[CODIGO]],EJECUTADO[MES],7)</f>
        <v>0</v>
      </c>
      <c r="K41" s="2">
        <f>SUMIFS(EJECUTADO[MONTO SOLICITADO],EJECUTADO[APLICACIÓN],REPORTE[[#This Row],[CODIGO]],EJECUTADO[MES],8)</f>
        <v>0</v>
      </c>
      <c r="L41" s="2">
        <f>SUMIFS(EJECUTADO[MONTO SOLICITADO],EJECUTADO[APLICACIÓN],REPORTE[[#This Row],[CODIGO]],EJECUTADO[MES],9)</f>
        <v>0</v>
      </c>
      <c r="M41" s="2">
        <f>SUMIFS(EJECUTADO[MONTO SOLICITADO],EJECUTADO[APLICACIÓN],REPORTE[[#This Row],[CODIGO]],EJECUTADO[MES],10)</f>
        <v>0</v>
      </c>
      <c r="N41" s="2">
        <f>SUMIFS(EJECUTADO[MONTO SOLICITADO],EJECUTADO[APLICACIÓN],REPORTE[[#This Row],[CODIGO]],EJECUTADO[MES],11)</f>
        <v>0</v>
      </c>
      <c r="O41" s="2">
        <f>SUMIFS(EJECUTADO[MONTO SOLICITADO],EJECUTADO[APLICACIÓN],REPORTE[[#This Row],[CODIGO]],EJECUTADO[MES],12)</f>
        <v>0</v>
      </c>
      <c r="P41" s="2">
        <f>SUM(REPORTE[[#This Row],[ENERO]:[DICIEMBRE]])</f>
        <v>11915.5</v>
      </c>
    </row>
    <row r="42" spans="1:16" x14ac:dyDescent="0.25">
      <c r="A42" s="3" t="s">
        <v>3170</v>
      </c>
      <c r="B42" s="1" t="s">
        <v>924</v>
      </c>
      <c r="C42" s="2">
        <f>SUMIFS(PRESUPUESTO[MONTO],PRESUPUESTO[APLICACIÓN],REPORTE[[#This Row],[CODIGO]])</f>
        <v>20000</v>
      </c>
      <c r="D42" s="2">
        <f>SUMIFS(EJECUTADO[MONTO SOLICITADO],EJECUTADO[APLICACIÓN],REPORTE[[#This Row],[CODIGO]],EJECUTADO[MES],1)</f>
        <v>1842.87</v>
      </c>
      <c r="E42" s="2">
        <f>SUMIFS(EJECUTADO[MONTO SOLICITADO],EJECUTADO[APLICACIÓN],REPORTE[[#This Row],[CODIGO]],EJECUTADO[MES],2)</f>
        <v>7114.29</v>
      </c>
      <c r="F42" s="2">
        <f>SUMIFS(EJECUTADO[MONTO SOLICITADO],EJECUTADO[APLICACIÓN],REPORTE[[#This Row],[CODIGO]],EJECUTADO[MES],3)</f>
        <v>1688.56</v>
      </c>
      <c r="G42" s="2">
        <f>SUMIFS(EJECUTADO[MONTO SOLICITADO],EJECUTADO[APLICACIÓN],REPORTE[[#This Row],[CODIGO]],EJECUTADO[MES],4)</f>
        <v>114.29</v>
      </c>
      <c r="H42" s="2">
        <f>SUMIFS(EJECUTADO[MONTO SOLICITADO],EJECUTADO[APLICACIÓN],REPORTE[[#This Row],[CODIGO]],EJECUTADO[MES],5)</f>
        <v>0</v>
      </c>
      <c r="I42" s="2">
        <f>SUMIFS(EJECUTADO[MONTO SOLICITADO],EJECUTADO[APLICACIÓN],REPORTE[[#This Row],[CODIGO]],EJECUTADO[MES],6)</f>
        <v>0</v>
      </c>
      <c r="J42" s="2">
        <f>SUMIFS(EJECUTADO[MONTO SOLICITADO],EJECUTADO[APLICACIÓN],REPORTE[[#This Row],[CODIGO]],EJECUTADO[MES],7)</f>
        <v>0</v>
      </c>
      <c r="K42" s="2">
        <f>SUMIFS(EJECUTADO[MONTO SOLICITADO],EJECUTADO[APLICACIÓN],REPORTE[[#This Row],[CODIGO]],EJECUTADO[MES],8)</f>
        <v>0</v>
      </c>
      <c r="L42" s="2">
        <f>SUMIFS(EJECUTADO[MONTO SOLICITADO],EJECUTADO[APLICACIÓN],REPORTE[[#This Row],[CODIGO]],EJECUTADO[MES],9)</f>
        <v>0</v>
      </c>
      <c r="M42" s="2">
        <f>SUMIFS(EJECUTADO[MONTO SOLICITADO],EJECUTADO[APLICACIÓN],REPORTE[[#This Row],[CODIGO]],EJECUTADO[MES],10)</f>
        <v>0</v>
      </c>
      <c r="N42" s="2">
        <f>SUMIFS(EJECUTADO[MONTO SOLICITADO],EJECUTADO[APLICACIÓN],REPORTE[[#This Row],[CODIGO]],EJECUTADO[MES],11)</f>
        <v>0</v>
      </c>
      <c r="O42" s="2">
        <f>SUMIFS(EJECUTADO[MONTO SOLICITADO],EJECUTADO[APLICACIÓN],REPORTE[[#This Row],[CODIGO]],EJECUTADO[MES],12)</f>
        <v>0</v>
      </c>
      <c r="P42" s="2">
        <f>SUM(REPORTE[[#This Row],[ENERO]:[DICIEMBRE]])</f>
        <v>10760.01</v>
      </c>
    </row>
    <row r="43" spans="1:16" x14ac:dyDescent="0.25">
      <c r="A43" s="3" t="s">
        <v>3158</v>
      </c>
      <c r="B43" s="1" t="s">
        <v>3159</v>
      </c>
      <c r="C43" s="2">
        <f>SUMIFS(PRESUPUESTO[MONTO],PRESUPUESTO[APLICACIÓN],REPORTE[[#This Row],[CODIGO]])</f>
        <v>203300</v>
      </c>
      <c r="D43" s="2">
        <f>SUMIFS(EJECUTADO[MONTO SOLICITADO],EJECUTADO[APLICACIÓN],REPORTE[[#This Row],[CODIGO]],EJECUTADO[MES],1)</f>
        <v>2820</v>
      </c>
      <c r="E43" s="2">
        <f>SUMIFS(EJECUTADO[MONTO SOLICITADO],EJECUTADO[APLICACIÓN],REPORTE[[#This Row],[CODIGO]],EJECUTADO[MES],2)</f>
        <v>1654</v>
      </c>
      <c r="F43" s="2">
        <f>SUMIFS(EJECUTADO[MONTO SOLICITADO],EJECUTADO[APLICACIÓN],REPORTE[[#This Row],[CODIGO]],EJECUTADO[MES],3)</f>
        <v>2525.1999999999998</v>
      </c>
      <c r="G43" s="2">
        <f>SUMIFS(EJECUTADO[MONTO SOLICITADO],EJECUTADO[APLICACIÓN],REPORTE[[#This Row],[CODIGO]],EJECUTADO[MES],4)</f>
        <v>1500</v>
      </c>
      <c r="H43" s="2">
        <f>SUMIFS(EJECUTADO[MONTO SOLICITADO],EJECUTADO[APLICACIÓN],REPORTE[[#This Row],[CODIGO]],EJECUTADO[MES],5)</f>
        <v>0</v>
      </c>
      <c r="I43" s="2">
        <f>SUMIFS(EJECUTADO[MONTO SOLICITADO],EJECUTADO[APLICACIÓN],REPORTE[[#This Row],[CODIGO]],EJECUTADO[MES],6)</f>
        <v>0</v>
      </c>
      <c r="J43" s="2">
        <f>SUMIFS(EJECUTADO[MONTO SOLICITADO],EJECUTADO[APLICACIÓN],REPORTE[[#This Row],[CODIGO]],EJECUTADO[MES],7)</f>
        <v>0</v>
      </c>
      <c r="K43" s="2">
        <f>SUMIFS(EJECUTADO[MONTO SOLICITADO],EJECUTADO[APLICACIÓN],REPORTE[[#This Row],[CODIGO]],EJECUTADO[MES],8)</f>
        <v>0</v>
      </c>
      <c r="L43" s="2">
        <f>SUMIFS(EJECUTADO[MONTO SOLICITADO],EJECUTADO[APLICACIÓN],REPORTE[[#This Row],[CODIGO]],EJECUTADO[MES],9)</f>
        <v>0</v>
      </c>
      <c r="M43" s="2">
        <f>SUMIFS(EJECUTADO[MONTO SOLICITADO],EJECUTADO[APLICACIÓN],REPORTE[[#This Row],[CODIGO]],EJECUTADO[MES],10)</f>
        <v>0</v>
      </c>
      <c r="N43" s="2">
        <f>SUMIFS(EJECUTADO[MONTO SOLICITADO],EJECUTADO[APLICACIÓN],REPORTE[[#This Row],[CODIGO]],EJECUTADO[MES],11)</f>
        <v>0</v>
      </c>
      <c r="O43" s="2">
        <f>SUMIFS(EJECUTADO[MONTO SOLICITADO],EJECUTADO[APLICACIÓN],REPORTE[[#This Row],[CODIGO]],EJECUTADO[MES],12)</f>
        <v>0</v>
      </c>
      <c r="P43" s="2">
        <f>SUM(REPORTE[[#This Row],[ENERO]:[DICIEMBRE]])</f>
        <v>8499.2000000000007</v>
      </c>
    </row>
    <row r="44" spans="1:16" x14ac:dyDescent="0.25">
      <c r="A44" s="3" t="s">
        <v>3171</v>
      </c>
      <c r="B44" s="1" t="s">
        <v>936</v>
      </c>
      <c r="C44" s="2">
        <f>SUMIFS(PRESUPUESTO[MONTO],PRESUPUESTO[APLICACIÓN],REPORTE[[#This Row],[CODIGO]])</f>
        <v>40000</v>
      </c>
      <c r="D44" s="2">
        <f>SUMIFS(EJECUTADO[MONTO SOLICITADO],EJECUTADO[APLICACIÓN],REPORTE[[#This Row],[CODIGO]],EJECUTADO[MES],1)</f>
        <v>1240.71</v>
      </c>
      <c r="E44" s="2">
        <f>SUMIFS(EJECUTADO[MONTO SOLICITADO],EJECUTADO[APLICACIÓN],REPORTE[[#This Row],[CODIGO]],EJECUTADO[MES],2)</f>
        <v>265.97000000000003</v>
      </c>
      <c r="F44" s="2">
        <f>SUMIFS(EJECUTADO[MONTO SOLICITADO],EJECUTADO[APLICACIÓN],REPORTE[[#This Row],[CODIGO]],EJECUTADO[MES],3)</f>
        <v>2338.4700000000003</v>
      </c>
      <c r="G44" s="2">
        <f>SUMIFS(EJECUTADO[MONTO SOLICITADO],EJECUTADO[APLICACIÓN],REPORTE[[#This Row],[CODIGO]],EJECUTADO[MES],4)</f>
        <v>3750</v>
      </c>
      <c r="H44" s="2">
        <f>SUMIFS(EJECUTADO[MONTO SOLICITADO],EJECUTADO[APLICACIÓN],REPORTE[[#This Row],[CODIGO]],EJECUTADO[MES],5)</f>
        <v>0</v>
      </c>
      <c r="I44" s="2">
        <f>SUMIFS(EJECUTADO[MONTO SOLICITADO],EJECUTADO[APLICACIÓN],REPORTE[[#This Row],[CODIGO]],EJECUTADO[MES],6)</f>
        <v>0</v>
      </c>
      <c r="J44" s="2">
        <f>SUMIFS(EJECUTADO[MONTO SOLICITADO],EJECUTADO[APLICACIÓN],REPORTE[[#This Row],[CODIGO]],EJECUTADO[MES],7)</f>
        <v>0</v>
      </c>
      <c r="K44" s="2">
        <f>SUMIFS(EJECUTADO[MONTO SOLICITADO],EJECUTADO[APLICACIÓN],REPORTE[[#This Row],[CODIGO]],EJECUTADO[MES],8)</f>
        <v>0</v>
      </c>
      <c r="L44" s="2">
        <f>SUMIFS(EJECUTADO[MONTO SOLICITADO],EJECUTADO[APLICACIÓN],REPORTE[[#This Row],[CODIGO]],EJECUTADO[MES],9)</f>
        <v>0</v>
      </c>
      <c r="M44" s="2">
        <f>SUMIFS(EJECUTADO[MONTO SOLICITADO],EJECUTADO[APLICACIÓN],REPORTE[[#This Row],[CODIGO]],EJECUTADO[MES],10)</f>
        <v>0</v>
      </c>
      <c r="N44" s="2">
        <f>SUMIFS(EJECUTADO[MONTO SOLICITADO],EJECUTADO[APLICACIÓN],REPORTE[[#This Row],[CODIGO]],EJECUTADO[MES],11)</f>
        <v>0</v>
      </c>
      <c r="O44" s="2">
        <f>SUMIFS(EJECUTADO[MONTO SOLICITADO],EJECUTADO[APLICACIÓN],REPORTE[[#This Row],[CODIGO]],EJECUTADO[MES],12)</f>
        <v>0</v>
      </c>
      <c r="P44" s="2">
        <f>SUM(REPORTE[[#This Row],[ENERO]:[DICIEMBRE]])</f>
        <v>7595.1500000000005</v>
      </c>
    </row>
    <row r="45" spans="1:16" x14ac:dyDescent="0.25">
      <c r="A45" s="3" t="s">
        <v>3154</v>
      </c>
      <c r="B45" s="1" t="s">
        <v>461</v>
      </c>
      <c r="C45" s="2">
        <f>SUMIFS(PRESUPUESTO[MONTO],PRESUPUESTO[APLICACIÓN],REPORTE[[#This Row],[CODIGO]])</f>
        <v>40000</v>
      </c>
      <c r="D45" s="2">
        <f>SUMIFS(EJECUTADO[MONTO SOLICITADO],EJECUTADO[APLICACIÓN],REPORTE[[#This Row],[CODIGO]],EJECUTADO[MES],1)</f>
        <v>400</v>
      </c>
      <c r="E45" s="2">
        <f>SUMIFS(EJECUTADO[MONTO SOLICITADO],EJECUTADO[APLICACIÓN],REPORTE[[#This Row],[CODIGO]],EJECUTADO[MES],2)</f>
        <v>1959.1499999999999</v>
      </c>
      <c r="F45" s="2">
        <f>SUMIFS(EJECUTADO[MONTO SOLICITADO],EJECUTADO[APLICACIÓN],REPORTE[[#This Row],[CODIGO]],EJECUTADO[MES],3)</f>
        <v>2015.99</v>
      </c>
      <c r="G45" s="2">
        <f>SUMIFS(EJECUTADO[MONTO SOLICITADO],EJECUTADO[APLICACIÓN],REPORTE[[#This Row],[CODIGO]],EJECUTADO[MES],4)</f>
        <v>0</v>
      </c>
      <c r="H45" s="2">
        <f>SUMIFS(EJECUTADO[MONTO SOLICITADO],EJECUTADO[APLICACIÓN],REPORTE[[#This Row],[CODIGO]],EJECUTADO[MES],5)</f>
        <v>0</v>
      </c>
      <c r="I45" s="2">
        <f>SUMIFS(EJECUTADO[MONTO SOLICITADO],EJECUTADO[APLICACIÓN],REPORTE[[#This Row],[CODIGO]],EJECUTADO[MES],6)</f>
        <v>0</v>
      </c>
      <c r="J45" s="2">
        <f>SUMIFS(EJECUTADO[MONTO SOLICITADO],EJECUTADO[APLICACIÓN],REPORTE[[#This Row],[CODIGO]],EJECUTADO[MES],7)</f>
        <v>0</v>
      </c>
      <c r="K45" s="2">
        <f>SUMIFS(EJECUTADO[MONTO SOLICITADO],EJECUTADO[APLICACIÓN],REPORTE[[#This Row],[CODIGO]],EJECUTADO[MES],8)</f>
        <v>0</v>
      </c>
      <c r="L45" s="2">
        <f>SUMIFS(EJECUTADO[MONTO SOLICITADO],EJECUTADO[APLICACIÓN],REPORTE[[#This Row],[CODIGO]],EJECUTADO[MES],9)</f>
        <v>0</v>
      </c>
      <c r="M45" s="2">
        <f>SUMIFS(EJECUTADO[MONTO SOLICITADO],EJECUTADO[APLICACIÓN],REPORTE[[#This Row],[CODIGO]],EJECUTADO[MES],10)</f>
        <v>0</v>
      </c>
      <c r="N45" s="2">
        <f>SUMIFS(EJECUTADO[MONTO SOLICITADO],EJECUTADO[APLICACIÓN],REPORTE[[#This Row],[CODIGO]],EJECUTADO[MES],11)</f>
        <v>0</v>
      </c>
      <c r="O45" s="2">
        <f>SUMIFS(EJECUTADO[MONTO SOLICITADO],EJECUTADO[APLICACIÓN],REPORTE[[#This Row],[CODIGO]],EJECUTADO[MES],12)</f>
        <v>0</v>
      </c>
      <c r="P45" s="2">
        <f>SUM(REPORTE[[#This Row],[ENERO]:[DICIEMBRE]])</f>
        <v>4375.1399999999994</v>
      </c>
    </row>
    <row r="46" spans="1:16" x14ac:dyDescent="0.25">
      <c r="A46" s="3" t="s">
        <v>3169</v>
      </c>
      <c r="B46" s="1" t="s">
        <v>910</v>
      </c>
      <c r="C46" s="2">
        <f>SUMIFS(PRESUPUESTO[MONTO],PRESUPUESTO[APLICACIÓN],REPORTE[[#This Row],[CODIGO]])</f>
        <v>10000</v>
      </c>
      <c r="D46" s="2">
        <f>SUMIFS(EJECUTADO[MONTO SOLICITADO],EJECUTADO[APLICACIÓN],REPORTE[[#This Row],[CODIGO]],EJECUTADO[MES],1)</f>
        <v>67.8</v>
      </c>
      <c r="E46" s="2">
        <f>SUMIFS(EJECUTADO[MONTO SOLICITADO],EJECUTADO[APLICACIÓN],REPORTE[[#This Row],[CODIGO]],EJECUTADO[MES],2)</f>
        <v>123.2</v>
      </c>
      <c r="F46" s="2">
        <f>SUMIFS(EJECUTADO[MONTO SOLICITADO],EJECUTADO[APLICACIÓN],REPORTE[[#This Row],[CODIGO]],EJECUTADO[MES],3)</f>
        <v>2154</v>
      </c>
      <c r="G46" s="2">
        <f>SUMIFS(EJECUTADO[MONTO SOLICITADO],EJECUTADO[APLICACIÓN],REPORTE[[#This Row],[CODIGO]],EJECUTADO[MES],4)</f>
        <v>0</v>
      </c>
      <c r="H46" s="2">
        <f>SUMIFS(EJECUTADO[MONTO SOLICITADO],EJECUTADO[APLICACIÓN],REPORTE[[#This Row],[CODIGO]],EJECUTADO[MES],5)</f>
        <v>0</v>
      </c>
      <c r="I46" s="2">
        <f>SUMIFS(EJECUTADO[MONTO SOLICITADO],EJECUTADO[APLICACIÓN],REPORTE[[#This Row],[CODIGO]],EJECUTADO[MES],6)</f>
        <v>0</v>
      </c>
      <c r="J46" s="2">
        <f>SUMIFS(EJECUTADO[MONTO SOLICITADO],EJECUTADO[APLICACIÓN],REPORTE[[#This Row],[CODIGO]],EJECUTADO[MES],7)</f>
        <v>0</v>
      </c>
      <c r="K46" s="2">
        <f>SUMIFS(EJECUTADO[MONTO SOLICITADO],EJECUTADO[APLICACIÓN],REPORTE[[#This Row],[CODIGO]],EJECUTADO[MES],8)</f>
        <v>0</v>
      </c>
      <c r="L46" s="2">
        <f>SUMIFS(EJECUTADO[MONTO SOLICITADO],EJECUTADO[APLICACIÓN],REPORTE[[#This Row],[CODIGO]],EJECUTADO[MES],9)</f>
        <v>0</v>
      </c>
      <c r="M46" s="2">
        <f>SUMIFS(EJECUTADO[MONTO SOLICITADO],EJECUTADO[APLICACIÓN],REPORTE[[#This Row],[CODIGO]],EJECUTADO[MES],10)</f>
        <v>0</v>
      </c>
      <c r="N46" s="2">
        <f>SUMIFS(EJECUTADO[MONTO SOLICITADO],EJECUTADO[APLICACIÓN],REPORTE[[#This Row],[CODIGO]],EJECUTADO[MES],11)</f>
        <v>0</v>
      </c>
      <c r="O46" s="2">
        <f>SUMIFS(EJECUTADO[MONTO SOLICITADO],EJECUTADO[APLICACIÓN],REPORTE[[#This Row],[CODIGO]],EJECUTADO[MES],12)</f>
        <v>0</v>
      </c>
      <c r="P46" s="2">
        <f>SUM(REPORTE[[#This Row],[ENERO]:[DICIEMBRE]])</f>
        <v>2345</v>
      </c>
    </row>
    <row r="47" spans="1:16" x14ac:dyDescent="0.25">
      <c r="A47" s="3"/>
      <c r="B47" s="4"/>
      <c r="C47" s="10">
        <f>SUBTOTAL(109,REPORTE[PRESUPUESTADO])</f>
        <v>24239235</v>
      </c>
      <c r="D47" s="10">
        <f>SUBTOTAL(109,REPORTE[ENERO])</f>
        <v>1577509.1300000006</v>
      </c>
      <c r="E47" s="10">
        <f>SUBTOTAL(109,REPORTE[FEBRERO])</f>
        <v>2429131.9029999999</v>
      </c>
      <c r="F47" s="10">
        <f>SUBTOTAL(109,REPORTE[MARZO])</f>
        <v>1832064.3399999999</v>
      </c>
      <c r="G47" s="10">
        <f>SUBTOTAL(109,REPORTE[ABRIL])</f>
        <v>552512.10000000009</v>
      </c>
      <c r="H47" s="10">
        <f>SUBTOTAL(109,REPORTE[MAYO])</f>
        <v>0</v>
      </c>
      <c r="I47" s="10">
        <f>SUBTOTAL(109,REPORTE[JUNIO])</f>
        <v>0</v>
      </c>
      <c r="J47" s="10">
        <f>SUBTOTAL(109,REPORTE[JULIO])</f>
        <v>0</v>
      </c>
      <c r="K47" s="10">
        <f>SUBTOTAL(109,REPORTE[AGOSTO])</f>
        <v>0</v>
      </c>
      <c r="L47" s="10">
        <f>SUBTOTAL(109,REPORTE[SEPTIEMBRE])</f>
        <v>0</v>
      </c>
      <c r="M47" s="10">
        <f>SUBTOTAL(109,REPORTE[OCTUBRE])</f>
        <v>0</v>
      </c>
      <c r="N47" s="10">
        <f>SUBTOTAL(109,REPORTE[NOVIEMBRE])</f>
        <v>0</v>
      </c>
      <c r="O47" s="10">
        <f>SUBTOTAL(109,REPORTE[DICIEMBRE])</f>
        <v>0</v>
      </c>
      <c r="P47" s="10">
        <f>SUBTOTAL(109,REPORTE[EJECUTADO])</f>
        <v>6391217.4730000002</v>
      </c>
    </row>
    <row r="49" spans="3:16" x14ac:dyDescent="0.25">
      <c r="C49" s="10">
        <f>+REPING[[#Totals],[PRESUPUESTADO]]-REPORTE[[#Totals],[PRESUPUESTADO]]</f>
        <v>-559235.00000000373</v>
      </c>
      <c r="P49" s="2"/>
    </row>
    <row r="50" spans="3:16" x14ac:dyDescent="0.25">
      <c r="C50" s="2"/>
    </row>
    <row r="53" spans="3:16" x14ac:dyDescent="0.25">
      <c r="D53" s="18"/>
    </row>
  </sheetData>
  <conditionalFormatting sqref="A14:A46">
    <cfRule type="duplicateValues" dxfId="10" priority="112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T782"/>
  <sheetViews>
    <sheetView topLeftCell="A110" zoomScale="85" zoomScaleNormal="85" workbookViewId="0">
      <selection activeCell="E163" sqref="E163"/>
    </sheetView>
  </sheetViews>
  <sheetFormatPr baseColWidth="10" defaultColWidth="11.42578125" defaultRowHeight="15" x14ac:dyDescent="0.25"/>
  <cols>
    <col min="1" max="1" width="13.140625" customWidth="1"/>
    <col min="3" max="3" width="32.140625" customWidth="1"/>
    <col min="4" max="4" width="42.28515625" customWidth="1"/>
    <col min="5" max="5" width="52.140625" customWidth="1"/>
    <col min="6" max="6" width="19.85546875" style="78" customWidth="1"/>
    <col min="7" max="18" width="19.85546875" style="2" customWidth="1"/>
    <col min="19" max="19" width="20" customWidth="1"/>
  </cols>
  <sheetData>
    <row r="1" spans="1:20" x14ac:dyDescent="0.25">
      <c r="A1" t="s">
        <v>982</v>
      </c>
      <c r="B1" t="s">
        <v>984</v>
      </c>
      <c r="C1" t="s">
        <v>985</v>
      </c>
      <c r="D1" t="s">
        <v>986</v>
      </c>
      <c r="E1" t="s">
        <v>980</v>
      </c>
      <c r="F1" s="78" t="s">
        <v>3173</v>
      </c>
      <c r="G1" s="2" t="s">
        <v>3174</v>
      </c>
      <c r="H1" s="2" t="s">
        <v>3175</v>
      </c>
      <c r="I1" s="2" t="s">
        <v>3176</v>
      </c>
      <c r="J1" s="2" t="s">
        <v>3177</v>
      </c>
      <c r="K1" s="2" t="s">
        <v>3178</v>
      </c>
      <c r="L1" s="2" t="s">
        <v>3179</v>
      </c>
      <c r="M1" s="2" t="s">
        <v>3180</v>
      </c>
      <c r="N1" s="2" t="s">
        <v>3181</v>
      </c>
      <c r="O1" s="2" t="s">
        <v>3182</v>
      </c>
      <c r="P1" s="2" t="s">
        <v>3183</v>
      </c>
      <c r="Q1" s="2" t="s">
        <v>3184</v>
      </c>
      <c r="R1" s="2" t="s">
        <v>3185</v>
      </c>
      <c r="S1" t="s">
        <v>3186</v>
      </c>
    </row>
    <row r="2" spans="1:20" x14ac:dyDescent="0.25">
      <c r="A2" t="s">
        <v>3218</v>
      </c>
      <c r="B2" s="68" t="str">
        <f>MID(PRESUPUESTO[[#This Row],[CUENTA]],1,4)</f>
        <v>I-04</v>
      </c>
      <c r="C2" s="68" t="str">
        <f>INDEX(CATALOGO[Descripción],MATCH(PRESUPUESTO[[#This Row],[APLICACIÓN]]&amp;"-00-00-00",CATALOGO[Código],0))</f>
        <v>CENTRO DE FORMACION PROFESIONAL</v>
      </c>
      <c r="D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SEMINARIOS FACULTAD  INFORMATICA Y CC APLIC</v>
      </c>
      <c r="E2" t="s">
        <v>3187</v>
      </c>
      <c r="F2" s="78">
        <v>247629</v>
      </c>
      <c r="S2" t="s">
        <v>3187</v>
      </c>
    </row>
    <row r="3" spans="1:20" x14ac:dyDescent="0.25">
      <c r="A3" t="s">
        <v>3217</v>
      </c>
      <c r="B3" s="68" t="str">
        <f>MID(PRESUPUESTO[[#This Row],[CUENTA]],1,4)</f>
        <v>I-04</v>
      </c>
      <c r="C3" s="68" t="str">
        <f>INDEX(CATALOGO[Descripción],MATCH(PRESUPUESTO[[#This Row],[APLICACIÓN]]&amp;"-00-00-00",CATALOGO[Código],0))</f>
        <v>CENTRO DE FORMACION PROFESIONAL</v>
      </c>
      <c r="D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SEMINARIOS FACULTAD CC EMPRESARIALES</v>
      </c>
      <c r="E3" t="s">
        <v>3187</v>
      </c>
      <c r="F3" s="78">
        <v>221240</v>
      </c>
      <c r="S3" t="s">
        <v>3187</v>
      </c>
    </row>
    <row r="4" spans="1:20" x14ac:dyDescent="0.25">
      <c r="A4" t="s">
        <v>3219</v>
      </c>
      <c r="B4" s="68" t="str">
        <f>MID(PRESUPUESTO[[#This Row],[CUENTA]],1,4)</f>
        <v>I-04</v>
      </c>
      <c r="C4" s="68" t="str">
        <f>INDEX(CATALOGO[Descripción],MATCH(PRESUPUESTO[[#This Row],[APLICACIÓN]]&amp;"-00-00-00",CATALOGO[Código],0))</f>
        <v>CENTRO DE FORMACION PROFESIONAL</v>
      </c>
      <c r="D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SEMINARIOS FACULTAD CC SOCIALES</v>
      </c>
      <c r="E4" t="s">
        <v>3187</v>
      </c>
      <c r="F4" s="78">
        <v>161816</v>
      </c>
      <c r="S4" t="s">
        <v>3187</v>
      </c>
    </row>
    <row r="5" spans="1:20" x14ac:dyDescent="0.25">
      <c r="A5" t="s">
        <v>3220</v>
      </c>
      <c r="B5" s="68" t="str">
        <f>MID(PRESUPUESTO[[#This Row],[CUENTA]],1,4)</f>
        <v>I-04</v>
      </c>
      <c r="C5" s="68" t="str">
        <f>INDEX(CATALOGO[Descripción],MATCH(PRESUPUESTO[[#This Row],[APLICACIÓN]]&amp;"-00-00-00",CATALOGO[Código],0))</f>
        <v>CENTRO DE FORMACION PROFESIONAL</v>
      </c>
      <c r="D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SEMINARIOS FACULTAD CC JURIDICAS</v>
      </c>
      <c r="E5" t="s">
        <v>3187</v>
      </c>
      <c r="F5" s="78">
        <v>68346</v>
      </c>
      <c r="S5" t="s">
        <v>3187</v>
      </c>
    </row>
    <row r="6" spans="1:20" x14ac:dyDescent="0.25">
      <c r="A6" t="s">
        <v>1024</v>
      </c>
      <c r="B6" s="68" t="str">
        <f>MID(PRESUPUESTO[[#This Row],[CUENTA]],1,4)</f>
        <v>I-04</v>
      </c>
      <c r="C6" s="68" t="str">
        <f>INDEX(CATALOGO[Descripción],MATCH(PRESUPUESTO[[#This Row],[APLICACIÓN]]&amp;"-00-00-00",CATALOGO[Código],0))</f>
        <v>CENTRO DE FORMACION PROFESIONAL</v>
      </c>
      <c r="D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FACULTAD CC SOCIALES</v>
      </c>
      <c r="E6" t="s">
        <v>3187</v>
      </c>
      <c r="F6" s="78">
        <v>41862</v>
      </c>
      <c r="S6" t="s">
        <v>3187</v>
      </c>
      <c r="T6">
        <v>11843.78</v>
      </c>
    </row>
    <row r="7" spans="1:20" hidden="1" x14ac:dyDescent="0.25">
      <c r="A7" t="s">
        <v>1198</v>
      </c>
      <c r="B7" s="68" t="str">
        <f>MID(PRESUPUESTO[[#This Row],[CUENTA]],1,4)</f>
        <v>E-01</v>
      </c>
      <c r="C7" s="68" t="str">
        <f>INDEX(CATALOGO[Descripción],MATCH(PRESUPUESTO[[#This Row],[APLICACIÓN]]&amp;"-00-00-00",CATALOGO[Código],0))</f>
        <v>SERVICIOS PROFESIONALES</v>
      </c>
      <c r="D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DE LIMPIEZA</v>
      </c>
      <c r="E7" t="s">
        <v>3286</v>
      </c>
      <c r="F7" s="78">
        <v>1331000</v>
      </c>
      <c r="S7" t="s">
        <v>3187</v>
      </c>
    </row>
    <row r="8" spans="1:20" hidden="1" x14ac:dyDescent="0.25">
      <c r="A8" t="s">
        <v>1090</v>
      </c>
      <c r="B8" s="68" t="str">
        <f>MID(PRESUPUESTO[[#This Row],[CUENTA]],1,4)</f>
        <v>E-07</v>
      </c>
      <c r="C8" s="68" t="str">
        <f>INDEX(CATALOGO[Descripción],MATCH(PRESUPUESTO[[#This Row],[APLICACIÓN]]&amp;"-00-00-00",CATALOGO[Código],0))</f>
        <v>SERVICIOS TECNOLOGICOS</v>
      </c>
      <c r="D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PC  $ 90,040.33</v>
      </c>
      <c r="E8" t="s">
        <v>197</v>
      </c>
      <c r="F8" s="78">
        <v>1080484</v>
      </c>
      <c r="S8" t="s">
        <v>3187</v>
      </c>
    </row>
    <row r="9" spans="1:20" hidden="1" x14ac:dyDescent="0.25">
      <c r="A9" t="s">
        <v>1206</v>
      </c>
      <c r="B9" s="68" t="str">
        <f>MID(PRESUPUESTO[[#This Row],[CUENTA]],1,4)</f>
        <v>E-11</v>
      </c>
      <c r="C9" s="68" t="str">
        <f>INDEX(CATALOGO[Descripción],MATCH(PRESUPUESTO[[#This Row],[APLICACIÓN]]&amp;"-00-00-00",CATALOGO[Código],0))</f>
        <v>INVESTIGACIONES</v>
      </c>
      <c r="D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Asesoria Montealban $ 84, 750.x12</v>
      </c>
      <c r="E9" t="s">
        <v>257</v>
      </c>
      <c r="F9" s="78">
        <v>1017000</v>
      </c>
    </row>
    <row r="10" spans="1:20" x14ac:dyDescent="0.25">
      <c r="A10" t="s">
        <v>1023</v>
      </c>
      <c r="B10" s="68" t="str">
        <f>MID(PRESUPUESTO[[#This Row],[CUENTA]],1,4)</f>
        <v>I-04</v>
      </c>
      <c r="C10" s="68" t="str">
        <f>INDEX(CATALOGO[Descripción],MATCH(PRESUPUESTO[[#This Row],[APLICACIÓN]]&amp;"-00-00-00",CATALOGO[Código],0))</f>
        <v>CENTRO DE FORMACION PROFESIONAL</v>
      </c>
      <c r="D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FACULTAD CC EMPRESARIALES</v>
      </c>
      <c r="E10" t="s">
        <v>3187</v>
      </c>
      <c r="F10" s="78">
        <v>31642</v>
      </c>
      <c r="S10" t="s">
        <v>3187</v>
      </c>
    </row>
    <row r="11" spans="1:20" hidden="1" x14ac:dyDescent="0.25">
      <c r="A11" t="s">
        <v>1420</v>
      </c>
      <c r="B11" s="68" t="str">
        <f>MID(PRESUPUESTO[[#This Row],[CUENTA]],1,4)</f>
        <v>E-03</v>
      </c>
      <c r="C11" s="68" t="str">
        <f>INDEX(CATALOGO[Descripción],MATCH(PRESUPUESTO[[#This Row],[APLICACIÓN]]&amp;"-00-00-00",CATALOGO[Código],0))</f>
        <v>SUELDOS ADMINISTRATIVOS</v>
      </c>
      <c r="D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PRESIDENCIA JUNTA GU</v>
      </c>
      <c r="E11" t="s">
        <v>3298</v>
      </c>
      <c r="F11" s="78">
        <v>985000</v>
      </c>
      <c r="S11" t="s">
        <v>3187</v>
      </c>
    </row>
    <row r="12" spans="1:20" x14ac:dyDescent="0.25">
      <c r="A12" t="s">
        <v>3215</v>
      </c>
      <c r="B12" s="68" t="str">
        <f>MID(PRESUPUESTO[[#This Row],[CUENTA]],1,4)</f>
        <v>I-04</v>
      </c>
      <c r="C12" s="68" t="str">
        <f>INDEX(CATALOGO[Descripción],MATCH(PRESUPUESTO[[#This Row],[APLICACIÓN]]&amp;"-00-00-00",CATALOGO[Código],0))</f>
        <v>CENTRO DE FORMACION PROFESIONAL</v>
      </c>
      <c r="D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FACULTAD  INFORMATICA Y CC APLIC</v>
      </c>
      <c r="E12" t="s">
        <v>3187</v>
      </c>
      <c r="F12" s="78">
        <v>27465</v>
      </c>
      <c r="S12" t="s">
        <v>3187</v>
      </c>
    </row>
    <row r="13" spans="1:20" hidden="1" x14ac:dyDescent="0.25">
      <c r="A13" t="s">
        <v>2662</v>
      </c>
      <c r="B13" s="68" t="str">
        <f>MID(PRESUPUESTO[[#This Row],[CUENTA]],1,4)</f>
        <v>E-02</v>
      </c>
      <c r="C13" s="68" t="str">
        <f>INDEX(CATALOGO[Descripción],MATCH(PRESUPUESTO[[#This Row],[APLICACIÓN]]&amp;"-00-00-00",CATALOGO[Código],0))</f>
        <v>PRESTAMOS BANCARIOS</v>
      </c>
      <c r="D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BANCO CUSCATLÁN REF :  5278444 </v>
      </c>
      <c r="E13" t="s">
        <v>3293</v>
      </c>
      <c r="F13" s="78">
        <v>871200</v>
      </c>
      <c r="S13" t="s">
        <v>3187</v>
      </c>
    </row>
    <row r="14" spans="1:20" x14ac:dyDescent="0.25">
      <c r="A14" t="s">
        <v>3216</v>
      </c>
      <c r="B14" s="68" t="str">
        <f>MID(PRESUPUESTO[[#This Row],[CUENTA]],1,4)</f>
        <v>I-04</v>
      </c>
      <c r="C14" s="68" t="str">
        <f>INDEX(CATALOGO[Descripción],MATCH(PRESUPUESTO[[#This Row],[APLICACIÓN]]&amp;"-00-00-00",CATALOGO[Código],0))</f>
        <v>CENTRO DE FORMACION PROFESIONAL</v>
      </c>
      <c r="D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FACULTAD CC JURIDICAS</v>
      </c>
      <c r="E14" t="s">
        <v>3187</v>
      </c>
      <c r="F14" s="78">
        <v>0</v>
      </c>
      <c r="S14" t="s">
        <v>3187</v>
      </c>
    </row>
    <row r="15" spans="1:20" x14ac:dyDescent="0.25">
      <c r="A15" t="s">
        <v>1924</v>
      </c>
      <c r="B15" s="68" t="str">
        <f>MID(PRESUPUESTO[[#This Row],[CUENTA]],1,4)</f>
        <v>I-01</v>
      </c>
      <c r="C15" s="68" t="str">
        <f>INDEX(CATALOGO[Descripción],MATCH(PRESUPUESTO[[#This Row],[APLICACIÓN]]&amp;"-00-00-00",CATALOGO[Código],0))</f>
        <v>CUOTAS DE ENSEÑANZA</v>
      </c>
      <c r="D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FCCE PREGRADO</v>
      </c>
      <c r="E15" t="s">
        <v>3187</v>
      </c>
      <c r="F15" s="78">
        <v>4404471.99</v>
      </c>
      <c r="S15" t="s">
        <v>3187</v>
      </c>
    </row>
    <row r="16" spans="1:20" hidden="1" x14ac:dyDescent="0.25">
      <c r="A16" t="s">
        <v>1202</v>
      </c>
      <c r="B16" s="68" t="str">
        <f>MID(PRESUPUESTO[[#This Row],[CUENTA]],1,4)</f>
        <v>E-01</v>
      </c>
      <c r="C16" s="68" t="str">
        <f>INDEX(CATALOGO[Descripción],MATCH(PRESUPUESTO[[#This Row],[APLICACIÓN]]&amp;"-00-00-00",CATALOGO[Código],0))</f>
        <v>SERVICIOS PROFESIONALES</v>
      </c>
      <c r="D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DE VIGILANCIA</v>
      </c>
      <c r="E16" t="s">
        <v>3288</v>
      </c>
      <c r="F16" s="78">
        <v>770520</v>
      </c>
      <c r="S16" t="s">
        <v>3187</v>
      </c>
    </row>
    <row r="17" spans="1:19" hidden="1" x14ac:dyDescent="0.25">
      <c r="A17" t="s">
        <v>1496</v>
      </c>
      <c r="B17" s="68" t="str">
        <f>MID(PRESUPUESTO[[#This Row],[CUENTA]],1,4)</f>
        <v>E-09</v>
      </c>
      <c r="C17" s="68" t="str">
        <f>INDEX(CATALOGO[Descripción],MATCH(PRESUPUESTO[[#This Row],[APLICACIÓN]]&amp;"-00-00-00",CATALOGO[Código],0))</f>
        <v>PRESTACIONES AL PERSONAL</v>
      </c>
      <c r="D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patronales</v>
      </c>
      <c r="E17" t="s">
        <v>228</v>
      </c>
      <c r="F17" s="78">
        <v>700000</v>
      </c>
      <c r="S17" t="s">
        <v>3187</v>
      </c>
    </row>
    <row r="18" spans="1:19" x14ac:dyDescent="0.25">
      <c r="A18" t="s">
        <v>3193</v>
      </c>
      <c r="B18" s="68" t="str">
        <f>MID(PRESUPUESTO[[#This Row],[CUENTA]],1,4)</f>
        <v>I-01</v>
      </c>
      <c r="C18" s="68" t="str">
        <f>INDEX(CATALOGO[Descripción],MATCH(PRESUPUESTO[[#This Row],[APLICACIÓN]]&amp;"-00-00-00",CATALOGO[Código],0))</f>
        <v>CUOTAS DE ENSEÑANZA</v>
      </c>
      <c r="D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FICA PREGRADO</v>
      </c>
      <c r="E18" t="s">
        <v>3187</v>
      </c>
      <c r="F18" s="78">
        <v>4070088.21</v>
      </c>
      <c r="S18" t="s">
        <v>3187</v>
      </c>
    </row>
    <row r="19" spans="1:19" hidden="1" x14ac:dyDescent="0.25">
      <c r="A19" t="s">
        <v>1855</v>
      </c>
      <c r="B19" s="68" t="str">
        <f>MID(PRESUPUESTO[[#This Row],[CUENTA]],1,4)</f>
        <v>E-06</v>
      </c>
      <c r="C19" s="68" t="str">
        <f>INDEX(CATALOGO[Descripción],MATCH(PRESUPUESTO[[#This Row],[APLICACIÓN]]&amp;"-00-00-00",CATALOGO[Código],0))</f>
        <v>HORAS CLASES</v>
      </c>
      <c r="D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FACULTAD DE INFORMATICA Y CC APLICADAS</v>
      </c>
      <c r="E19" t="s">
        <v>3310</v>
      </c>
      <c r="F19" s="78">
        <v>578525</v>
      </c>
      <c r="S19" t="s">
        <v>3187</v>
      </c>
    </row>
    <row r="20" spans="1:19" hidden="1" x14ac:dyDescent="0.25">
      <c r="A20" s="7" t="s">
        <v>2654</v>
      </c>
      <c r="B20" s="72" t="str">
        <f>MID(PRESUPUESTO[[#This Row],[CUENTA]],1,4)</f>
        <v>E-02</v>
      </c>
      <c r="C20" s="72" t="str">
        <f>INDEX(CATALOGO[Descripción],MATCH(PRESUPUESTO[[#This Row],[APLICACIÓN]]&amp;"-00-00-00",CATALOGO[Código],0))</f>
        <v>PRESTAMOS BANCARIOS</v>
      </c>
      <c r="D20" s="72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 DAVIVIENDA REF: 000704399016 </v>
      </c>
      <c r="E20" s="7" t="s">
        <v>3294</v>
      </c>
      <c r="F20" s="81">
        <v>559100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7" t="s">
        <v>3187</v>
      </c>
    </row>
    <row r="21" spans="1:19" hidden="1" x14ac:dyDescent="0.25">
      <c r="A21" t="s">
        <v>1439</v>
      </c>
      <c r="B21" s="68" t="str">
        <f>MID(PRESUPUESTO[[#This Row],[CUENTA]],1,4)</f>
        <v>E-03</v>
      </c>
      <c r="C21" s="68" t="str">
        <f>INDEX(CATALOGO[Descripción],MATCH(PRESUPUESTO[[#This Row],[APLICACIÓN]]&amp;"-00-00-00",CATALOGO[Código],0))</f>
        <v>SUELDOS ADMINISTRATIVOS</v>
      </c>
      <c r="D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SUELDOS Y SALARIOS VICEPRESIDENCIA </v>
      </c>
      <c r="E21" t="s">
        <v>3300</v>
      </c>
      <c r="F21" s="78">
        <v>518000</v>
      </c>
      <c r="S21" t="s">
        <v>3187</v>
      </c>
    </row>
    <row r="22" spans="1:19" hidden="1" x14ac:dyDescent="0.25">
      <c r="A22" t="s">
        <v>1864</v>
      </c>
      <c r="B22" s="68" t="str">
        <f>MID(PRESUPUESTO[[#This Row],[CUENTA]],1,4)</f>
        <v>E-06</v>
      </c>
      <c r="C22" s="68" t="str">
        <f>INDEX(CATALOGO[Descripción],MATCH(PRESUPUESTO[[#This Row],[APLICACIÓN]]&amp;"-00-00-00",CATALOGO[Código],0))</f>
        <v>HORAS CLASES</v>
      </c>
      <c r="D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FACULTAD DE CIENCIAS SOCIALES</v>
      </c>
      <c r="E22" t="s">
        <v>3311</v>
      </c>
      <c r="F22" s="78">
        <v>489325</v>
      </c>
      <c r="S22" t="s">
        <v>3187</v>
      </c>
    </row>
    <row r="23" spans="1:19" hidden="1" x14ac:dyDescent="0.25">
      <c r="A23" t="s">
        <v>1643</v>
      </c>
      <c r="B23" s="68" t="str">
        <f>MID(PRESUPUESTO[[#This Row],[CUENTA]],1,4)</f>
        <v>E-02</v>
      </c>
      <c r="C23" s="68" t="str">
        <f>INDEX(CATALOGO[Descripción],MATCH(PRESUPUESTO[[#This Row],[APLICACIÓN]]&amp;"-00-00-00",CATALOGO[Código],0))</f>
        <v>PRESTAMOS BANCARIOS</v>
      </c>
      <c r="D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BANCO PROMERICA REF 784005</v>
      </c>
      <c r="E23" t="s">
        <v>3295</v>
      </c>
      <c r="F23" s="78">
        <v>482400</v>
      </c>
      <c r="S23" t="s">
        <v>3187</v>
      </c>
    </row>
    <row r="24" spans="1:19" hidden="1" x14ac:dyDescent="0.25">
      <c r="A24" t="s">
        <v>1462</v>
      </c>
      <c r="B24" s="68" t="str">
        <f>MID(PRESUPUESTO[[#This Row],[CUENTA]],1,4)</f>
        <v>E-05</v>
      </c>
      <c r="C24" s="68" t="str">
        <f>INDEX(CATALOGO[Descripción],MATCH(PRESUPUESTO[[#This Row],[APLICACIÓN]]&amp;"-00-00-00",CATALOGO[Código],0))</f>
        <v>SUELDOS DTC</v>
      </c>
      <c r="D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INFORMATICA Y CIENCIAS APLICADAS</v>
      </c>
      <c r="E24" t="s">
        <v>3310</v>
      </c>
      <c r="F24" s="78">
        <v>460700</v>
      </c>
      <c r="S24" t="s">
        <v>3187</v>
      </c>
    </row>
    <row r="25" spans="1:19" hidden="1" x14ac:dyDescent="0.25">
      <c r="A25" t="s">
        <v>1456</v>
      </c>
      <c r="B25" s="68" t="str">
        <f>MID(PRESUPUESTO[[#This Row],[CUENTA]],1,4)</f>
        <v>E-05</v>
      </c>
      <c r="C25" s="68" t="str">
        <f>INDEX(CATALOGO[Descripción],MATCH(PRESUPUESTO[[#This Row],[APLICACIÓN]]&amp;"-00-00-00",CATALOGO[Código],0))</f>
        <v>SUELDOS DTC</v>
      </c>
      <c r="D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SOCIALES</v>
      </c>
      <c r="E25" t="s">
        <v>3311</v>
      </c>
      <c r="F25" s="78">
        <v>425000</v>
      </c>
      <c r="S25" t="s">
        <v>3187</v>
      </c>
    </row>
    <row r="26" spans="1:19" hidden="1" x14ac:dyDescent="0.25">
      <c r="A26" t="s">
        <v>1852</v>
      </c>
      <c r="B26" s="68" t="str">
        <f>MID(PRESUPUESTO[[#This Row],[CUENTA]],1,4)</f>
        <v>E-06</v>
      </c>
      <c r="C26" s="68" t="str">
        <f>INDEX(CATALOGO[Descripción],MATCH(PRESUPUESTO[[#This Row],[APLICACIÓN]]&amp;"-00-00-00",CATALOGO[Código],0))</f>
        <v>HORAS CLASES</v>
      </c>
      <c r="D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FACULTAD DE CIENCIAS EMPRESARIALES</v>
      </c>
      <c r="E26" t="s">
        <v>3309</v>
      </c>
      <c r="F26" s="78">
        <v>385000</v>
      </c>
      <c r="S26" t="s">
        <v>3187</v>
      </c>
    </row>
    <row r="27" spans="1:19" hidden="1" x14ac:dyDescent="0.25">
      <c r="A27" t="s">
        <v>1208</v>
      </c>
      <c r="B27" s="68" t="str">
        <f>MID(PRESUPUESTO[[#This Row],[CUENTA]],1,4)</f>
        <v>E-15</v>
      </c>
      <c r="C27" s="68" t="str">
        <f>INDEX(CATALOGO[Descripción],MATCH(PRESUPUESTO[[#This Row],[APLICACIÓN]]&amp;"-00-00-00",CATALOGO[Código],0))</f>
        <v>ALQUILERES</v>
      </c>
      <c r="D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Alquiler de Casa Adolfo Araujo Montealban $ 30,045.00 x 12  </v>
      </c>
      <c r="E27" t="s">
        <v>3556</v>
      </c>
      <c r="F27" s="78">
        <v>360550</v>
      </c>
      <c r="S27" t="s">
        <v>3187</v>
      </c>
    </row>
    <row r="28" spans="1:19" hidden="1" x14ac:dyDescent="0.25">
      <c r="A28" t="s">
        <v>1081</v>
      </c>
      <c r="B28" s="68" t="str">
        <f>MID(PRESUPUESTO[[#This Row],[CUENTA]],1,4)</f>
        <v>E-10</v>
      </c>
      <c r="C28" s="68" t="str">
        <f>INDEX(CATALOGO[Descripción],MATCH(PRESUPUESTO[[#This Row],[APLICACIÓN]]&amp;"-00-00-00",CATALOGO[Código],0))</f>
        <v>SERVICIOS PUBLICOS</v>
      </c>
      <c r="D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ENERGÍA ELÉCTRICA</v>
      </c>
      <c r="E28" t="s">
        <v>3376</v>
      </c>
      <c r="F28" s="78">
        <v>360000</v>
      </c>
      <c r="S28" t="s">
        <v>3187</v>
      </c>
    </row>
    <row r="29" spans="1:19" x14ac:dyDescent="0.25">
      <c r="A29" t="s">
        <v>3199</v>
      </c>
      <c r="B29" s="68" t="str">
        <f>MID(PRESUPUESTO[[#This Row],[CUENTA]],1,4)</f>
        <v>I-01</v>
      </c>
      <c r="C29" s="68" t="str">
        <f>INDEX(CATALOGO[Descripción],MATCH(PRESUPUESTO[[#This Row],[APLICACIÓN]]&amp;"-00-00-00",CATALOGO[Código],0))</f>
        <v>CUOTAS DE ENSEÑANZA</v>
      </c>
      <c r="D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FCCS PREGRADO</v>
      </c>
      <c r="E29" t="s">
        <v>3187</v>
      </c>
      <c r="F29" s="78">
        <v>3524532.43</v>
      </c>
      <c r="S29" t="s">
        <v>3187</v>
      </c>
    </row>
    <row r="30" spans="1:19" x14ac:dyDescent="0.25">
      <c r="A30" t="s">
        <v>3205</v>
      </c>
      <c r="B30" s="68" t="str">
        <f>MID(PRESUPUESTO[[#This Row],[CUENTA]],1,4)</f>
        <v>I-01</v>
      </c>
      <c r="C30" s="68" t="str">
        <f>INDEX(CATALOGO[Descripción],MATCH(PRESUPUESTO[[#This Row],[APLICACIÓN]]&amp;"-00-00-00",CATALOGO[Código],0))</f>
        <v>CUOTAS DE ENSEÑANZA</v>
      </c>
      <c r="D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FCCJ PREGRADO</v>
      </c>
      <c r="E30" t="s">
        <v>3187</v>
      </c>
      <c r="F30" s="78">
        <v>1551224.42</v>
      </c>
      <c r="S30" t="s">
        <v>3187</v>
      </c>
    </row>
    <row r="31" spans="1:19" hidden="1" x14ac:dyDescent="0.25">
      <c r="A31" t="s">
        <v>2156</v>
      </c>
      <c r="B31" s="68" t="str">
        <f>MID(PRESUPUESTO[[#This Row],[CUENTA]],1,4)</f>
        <v>E-15</v>
      </c>
      <c r="C31" s="68" t="str">
        <f>INDEX(CATALOGO[Descripción],MATCH(PRESUPUESTO[[#This Row],[APLICACIÓN]]&amp;"-00-00-00",CATALOGO[Código],0))</f>
        <v>ALQUILERES</v>
      </c>
      <c r="D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Montealban Casa 119 Ex Hotel $ 28,250.00 X 12</v>
      </c>
      <c r="E31" t="s">
        <v>437</v>
      </c>
      <c r="F31" s="78">
        <v>339000</v>
      </c>
      <c r="S31" t="s">
        <v>3187</v>
      </c>
    </row>
    <row r="32" spans="1:19" hidden="1" x14ac:dyDescent="0.25">
      <c r="A32" t="s">
        <v>1756</v>
      </c>
      <c r="B32" s="68" t="str">
        <f>MID(PRESUPUESTO[[#This Row],[CUENTA]],1,4)</f>
        <v>E-16</v>
      </c>
      <c r="C32" s="68" t="str">
        <f>INDEX(CATALOGO[Descripción],MATCH(PRESUPUESTO[[#This Row],[APLICACIÓN]]&amp;"-00-00-00",CATALOGO[Código],0))</f>
        <v xml:space="preserve">PRE-ESPECIALIDAD </v>
      </c>
      <c r="D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 Clase - Modulos</v>
      </c>
      <c r="E32" t="s">
        <v>3562</v>
      </c>
      <c r="F32" s="78">
        <v>326700</v>
      </c>
      <c r="S32" t="s">
        <v>3187</v>
      </c>
    </row>
    <row r="33" spans="1:19" hidden="1" x14ac:dyDescent="0.25">
      <c r="A33" t="s">
        <v>1281</v>
      </c>
      <c r="B33" s="68" t="str">
        <f>MID(PRESUPUESTO[[#This Row],[CUENTA]],1,4)</f>
        <v>E-03</v>
      </c>
      <c r="C33" s="68" t="str">
        <f>INDEX(CATALOGO[Descripción],MATCH(PRESUPUESTO[[#This Row],[APLICACIÓN]]&amp;"-00-00-00",CATALOGO[Código],0))</f>
        <v>SUELDOS ADMINISTRATIVOS</v>
      </c>
      <c r="D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SUELDOS Y SALARIOS VICERRECTORÍA FINANCIERA </v>
      </c>
      <c r="E33" t="s">
        <v>3302</v>
      </c>
      <c r="F33" s="78">
        <v>320000</v>
      </c>
      <c r="S33" t="s">
        <v>3187</v>
      </c>
    </row>
    <row r="34" spans="1:19" x14ac:dyDescent="0.25">
      <c r="A34" t="s">
        <v>3188</v>
      </c>
      <c r="B34" s="68" t="str">
        <f>MID(PRESUPUESTO[[#This Row],[CUENTA]],1,4)</f>
        <v>I-01</v>
      </c>
      <c r="C34" s="68" t="str">
        <f>INDEX(CATALOGO[Descripción],MATCH(PRESUPUESTO[[#This Row],[APLICACIÓN]]&amp;"-00-00-00",CATALOGO[Código],0))</f>
        <v>CUOTAS DE ENSEÑANZA</v>
      </c>
      <c r="D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FCCE TÉCNICOS</v>
      </c>
      <c r="E34" t="s">
        <v>3187</v>
      </c>
      <c r="F34" s="78">
        <v>280373.14</v>
      </c>
      <c r="S34" t="s">
        <v>3187</v>
      </c>
    </row>
    <row r="35" spans="1:19" hidden="1" x14ac:dyDescent="0.25">
      <c r="A35" t="s">
        <v>1097</v>
      </c>
      <c r="B35" s="68" t="str">
        <f>MID(PRESUPUESTO[[#This Row],[CUENTA]],1,4)</f>
        <v>E-33</v>
      </c>
      <c r="C35" s="68" t="str">
        <f>INDEX(CATALOGO[Descripción],MATCH(PRESUPUESTO[[#This Row],[APLICACIÓN]]&amp;"-00-00-00",CATALOGO[Código],0))</f>
        <v xml:space="preserve">PROVEEDORES </v>
      </c>
      <c r="D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INVERSIONES DIDACTICAS</v>
      </c>
      <c r="E35" t="s">
        <v>972</v>
      </c>
      <c r="F35" s="78">
        <v>300000</v>
      </c>
      <c r="S35" t="s">
        <v>3187</v>
      </c>
    </row>
    <row r="36" spans="1:19" x14ac:dyDescent="0.25">
      <c r="A36" t="s">
        <v>3194</v>
      </c>
      <c r="B36" s="68" t="str">
        <f>MID(PRESUPUESTO[[#This Row],[CUENTA]],1,4)</f>
        <v>I-01</v>
      </c>
      <c r="C36" s="68" t="str">
        <f>INDEX(CATALOGO[Descripción],MATCH(PRESUPUESTO[[#This Row],[APLICACIÓN]]&amp;"-00-00-00",CATALOGO[Código],0))</f>
        <v>CUOTAS DE ENSEÑANZA</v>
      </c>
      <c r="D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FICA TÉCNICOS</v>
      </c>
      <c r="E36" t="s">
        <v>3187</v>
      </c>
      <c r="F36" s="78">
        <v>238997.12</v>
      </c>
      <c r="S36" t="s">
        <v>3187</v>
      </c>
    </row>
    <row r="37" spans="1:19" hidden="1" x14ac:dyDescent="0.25">
      <c r="A37" t="s">
        <v>1453</v>
      </c>
      <c r="B37" s="68" t="str">
        <f>MID(PRESUPUESTO[[#This Row],[CUENTA]],1,4)</f>
        <v>E-05</v>
      </c>
      <c r="C37" s="68" t="str">
        <f>INDEX(CATALOGO[Descripción],MATCH(PRESUPUESTO[[#This Row],[APLICACIÓN]]&amp;"-00-00-00",CATALOGO[Código],0))</f>
        <v>SUELDOS DTC</v>
      </c>
      <c r="D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EMPRESARIALES</v>
      </c>
      <c r="E37" t="s">
        <v>3309</v>
      </c>
      <c r="F37" s="78">
        <v>280000</v>
      </c>
      <c r="S37" t="s">
        <v>3187</v>
      </c>
    </row>
    <row r="38" spans="1:19" hidden="1" x14ac:dyDescent="0.25">
      <c r="A38" t="s">
        <v>1481</v>
      </c>
      <c r="B38" s="68" t="str">
        <f>MID(PRESUPUESTO[[#This Row],[CUENTA]],1,4)</f>
        <v>E-11</v>
      </c>
      <c r="C38" s="68" t="str">
        <f>INDEX(CATALOGO[Descripción],MATCH(PRESUPUESTO[[#This Row],[APLICACIÓN]]&amp;"-00-00-00",CATALOGO[Código],0))</f>
        <v>INVESTIGACIONES</v>
      </c>
      <c r="D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</v>
      </c>
      <c r="E38" t="s">
        <v>3386</v>
      </c>
      <c r="F38" s="78">
        <v>270257</v>
      </c>
      <c r="S38" t="s">
        <v>3187</v>
      </c>
    </row>
    <row r="39" spans="1:19" hidden="1" x14ac:dyDescent="0.25">
      <c r="A39" t="s">
        <v>2971</v>
      </c>
      <c r="B39" s="68" t="str">
        <f>MID(PRESUPUESTO[[#This Row],[CUENTA]],1,4)</f>
        <v>E-08</v>
      </c>
      <c r="C39" s="68" t="str">
        <f>INDEX(CATALOGO[Descripción],MATCH(PRESUPUESTO[[#This Row],[APLICACIÓN]]&amp;"-00-00-00",CATALOGO[Código],0))</f>
        <v>INVERSIONES Y PROYECTOS ESPECIALES</v>
      </c>
      <c r="D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de Digitalización de documentos físicos de registro académico, contabilidad y secretaria general (Un solo pago)</v>
      </c>
      <c r="E39" t="s">
        <v>221</v>
      </c>
      <c r="F39" s="78">
        <v>262000</v>
      </c>
    </row>
    <row r="40" spans="1:19" hidden="1" x14ac:dyDescent="0.25">
      <c r="A40" t="s">
        <v>3331</v>
      </c>
      <c r="B40" s="68" t="str">
        <f>MID(PRESUPUESTO[[#This Row],[CUENTA]],1,4)</f>
        <v>E-07</v>
      </c>
      <c r="C40" s="68" t="str">
        <f>INDEX(CATALOGO[Descripción],MATCH(PRESUPUESTO[[#This Row],[APLICACIÓN]]&amp;"-00-00-00",CATALOGO[Código],0))</f>
        <v>SERVICIOS TECNOLOGICOS</v>
      </c>
      <c r="D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CAÑON  $ 21,051.05</v>
      </c>
      <c r="E40" t="s">
        <v>199</v>
      </c>
      <c r="F40" s="78">
        <v>252613</v>
      </c>
    </row>
    <row r="41" spans="1:19" hidden="1" x14ac:dyDescent="0.25">
      <c r="A41" t="s">
        <v>1876</v>
      </c>
      <c r="B41" s="68" t="str">
        <f>MID(PRESUPUESTO[[#This Row],[CUENTA]],1,4)</f>
        <v>E-16</v>
      </c>
      <c r="C41" s="68" t="str">
        <f>INDEX(CATALOGO[Descripción],MATCH(PRESUPUESTO[[#This Row],[APLICACIÓN]]&amp;"-00-00-00",CATALOGO[Código],0))</f>
        <v xml:space="preserve">PRE-ESPECIALIDAD </v>
      </c>
      <c r="D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Gastos Graduacion Pre Grado</v>
      </c>
      <c r="E41" t="s">
        <v>455</v>
      </c>
      <c r="F41" s="78">
        <v>250000</v>
      </c>
      <c r="S41" t="s">
        <v>3187</v>
      </c>
    </row>
    <row r="42" spans="1:19" x14ac:dyDescent="0.25">
      <c r="A42" t="s">
        <v>3200</v>
      </c>
      <c r="B42" s="68" t="str">
        <f>MID(PRESUPUESTO[[#This Row],[CUENTA]],1,4)</f>
        <v>I-01</v>
      </c>
      <c r="C42" s="68" t="str">
        <f>INDEX(CATALOGO[Descripción],MATCH(PRESUPUESTO[[#This Row],[APLICACIÓN]]&amp;"-00-00-00",CATALOGO[Código],0))</f>
        <v>CUOTAS DE ENSEÑANZA</v>
      </c>
      <c r="D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FCCSTÉCNICOS</v>
      </c>
      <c r="E42" t="s">
        <v>3187</v>
      </c>
      <c r="F42" s="78">
        <v>55312.69</v>
      </c>
      <c r="S42" t="s">
        <v>3187</v>
      </c>
    </row>
    <row r="43" spans="1:19" x14ac:dyDescent="0.25">
      <c r="A43" t="s">
        <v>3272</v>
      </c>
      <c r="B43" s="68" t="str">
        <f>MID(PRESUPUESTO[[#This Row],[CUENTA]],1,4)</f>
        <v>I-05</v>
      </c>
      <c r="C43" s="68" t="str">
        <f>INDEX(CATALOGO[Descripción],MATCH(PRESUPUESTO[[#This Row],[APLICACIÓN]]&amp;"-00-00-00",CATALOGO[Código],0))</f>
        <v xml:space="preserve">MAESTRIAS, POSTGRADOS </v>
      </c>
      <c r="D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43" t="s">
        <v>3187</v>
      </c>
      <c r="F43" s="78">
        <v>236000</v>
      </c>
      <c r="S43" t="s">
        <v>3187</v>
      </c>
    </row>
    <row r="44" spans="1:19" x14ac:dyDescent="0.25">
      <c r="A44" t="s">
        <v>3252</v>
      </c>
      <c r="B44" s="68" t="str">
        <f>MID(PRESUPUESTO[[#This Row],[CUENTA]],1,4)</f>
        <v>I-05</v>
      </c>
      <c r="C44" s="68" t="str">
        <f>INDEX(CATALOGO[Descripción],MATCH(PRESUPUESTO[[#This Row],[APLICACIÓN]]&amp;"-00-00-00",CATALOGO[Código],0))</f>
        <v xml:space="preserve">MAESTRIAS, POSTGRADOS </v>
      </c>
      <c r="D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44" t="s">
        <v>3187</v>
      </c>
      <c r="F44" s="78">
        <v>162965</v>
      </c>
      <c r="S44" t="s">
        <v>3187</v>
      </c>
    </row>
    <row r="45" spans="1:19" hidden="1" x14ac:dyDescent="0.25">
      <c r="A45" t="s">
        <v>3332</v>
      </c>
      <c r="B45" s="68" t="str">
        <f>MID(PRESUPUESTO[[#This Row],[CUENTA]],1,4)</f>
        <v>E-07</v>
      </c>
      <c r="C45" s="68" t="str">
        <f>INDEX(CATALOGO[Descripción],MATCH(PRESUPUESTO[[#This Row],[APLICACIÓN]]&amp;"-00-00-00",CATALOGO[Código],0))</f>
        <v>SERVICIOS TECNOLOGICOS</v>
      </c>
      <c r="D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CONECTIVIDAD PERIFERICOS $ 19,237.5</v>
      </c>
      <c r="E45" t="s">
        <v>200</v>
      </c>
      <c r="F45" s="78">
        <v>230850</v>
      </c>
    </row>
    <row r="46" spans="1:19" hidden="1" x14ac:dyDescent="0.25">
      <c r="A46" t="s">
        <v>1422</v>
      </c>
      <c r="B46" s="68" t="str">
        <f>MID(PRESUPUESTO[[#This Row],[CUENTA]],1,4)</f>
        <v>E-03</v>
      </c>
      <c r="C46" s="68" t="str">
        <f>INDEX(CATALOGO[Descripción],MATCH(PRESUPUESTO[[#This Row],[APLICACIÓN]]&amp;"-00-00-00",CATALOGO[Código],0))</f>
        <v>SUELDOS ADMINISTRATIVOS</v>
      </c>
      <c r="D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PRESIDENCIA</v>
      </c>
      <c r="E46" t="s">
        <v>3299</v>
      </c>
      <c r="F46" s="78">
        <v>226000</v>
      </c>
      <c r="S46" t="s">
        <v>3187</v>
      </c>
    </row>
    <row r="47" spans="1:19" x14ac:dyDescent="0.25">
      <c r="A47" t="s">
        <v>3257</v>
      </c>
      <c r="B47" s="68" t="str">
        <f>MID(PRESUPUESTO[[#This Row],[CUENTA]],1,4)</f>
        <v>I-05</v>
      </c>
      <c r="C47" s="68" t="str">
        <f>INDEX(CATALOGO[Descripción],MATCH(PRESUPUESTO[[#This Row],[APLICACIÓN]]&amp;"-00-00-00",CATALOGO[Código],0))</f>
        <v xml:space="preserve">MAESTRIAS, POSTGRADOS </v>
      </c>
      <c r="D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47" t="s">
        <v>3187</v>
      </c>
      <c r="F47" s="78">
        <v>137525</v>
      </c>
      <c r="S47" t="s">
        <v>3187</v>
      </c>
    </row>
    <row r="48" spans="1:19" hidden="1" x14ac:dyDescent="0.25">
      <c r="A48" t="s">
        <v>1151</v>
      </c>
      <c r="B48" s="68" t="str">
        <f>MID(PRESUPUESTO[[#This Row],[CUENTA]],1,4)</f>
        <v>E-20</v>
      </c>
      <c r="C48" s="68" t="str">
        <f>INDEX(CATALOGO[Descripción],MATCH(PRESUPUESTO[[#This Row],[APLICACIÓN]]&amp;"-00-00-00",CATALOGO[Código],0))</f>
        <v>SEGUROS</v>
      </c>
      <c r="D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 de Incendio- ACSA Aseguradora Agri 8 cuo</v>
      </c>
      <c r="E48" t="s">
        <v>583</v>
      </c>
      <c r="F48" s="78">
        <v>207229</v>
      </c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</row>
    <row r="49" spans="1:19" hidden="1" x14ac:dyDescent="0.25">
      <c r="A49" t="s">
        <v>1446</v>
      </c>
      <c r="B49" s="68" t="str">
        <f>MID(PRESUPUESTO[[#This Row],[CUENTA]],1,4)</f>
        <v>E-04</v>
      </c>
      <c r="C49" s="68" t="str">
        <f>INDEX(CATALOGO[Descripción],MATCH(PRESUPUESTO[[#This Row],[APLICACIÓN]]&amp;"-00-00-00",CATALOGO[Código],0))</f>
        <v>SUELDOS ACADÉMICOS</v>
      </c>
      <c r="D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RECTORÍA</v>
      </c>
      <c r="E49" t="s">
        <v>3313</v>
      </c>
      <c r="F49" s="78">
        <v>202800</v>
      </c>
      <c r="S49" t="s">
        <v>3187</v>
      </c>
    </row>
    <row r="50" spans="1:19" hidden="1" x14ac:dyDescent="0.25">
      <c r="A50" t="s">
        <v>1154</v>
      </c>
      <c r="B50" s="68" t="str">
        <f>MID(PRESUPUESTO[[#This Row],[CUENTA]],1,4)</f>
        <v>E-09</v>
      </c>
      <c r="C50" s="68" t="str">
        <f>INDEX(CATALOGO[Descripción],MATCH(PRESUPUESTO[[#This Row],[APLICACIÓN]]&amp;"-00-00-00",CATALOGO[Código],0))</f>
        <v>PRESTACIONES AL PERSONAL</v>
      </c>
      <c r="D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GASTOS MÉDICOS </v>
      </c>
      <c r="E50" t="s">
        <v>3374</v>
      </c>
      <c r="F50" s="78">
        <v>200000</v>
      </c>
    </row>
    <row r="51" spans="1:19" hidden="1" x14ac:dyDescent="0.25">
      <c r="A51" t="s">
        <v>1262</v>
      </c>
      <c r="B51" s="68" t="str">
        <f>MID(PRESUPUESTO[[#This Row],[CUENTA]],1,4)</f>
        <v>E-08</v>
      </c>
      <c r="C51" s="68" t="str">
        <f>INDEX(CATALOGO[Descripción],MATCH(PRESUPUESTO[[#This Row],[APLICACIÓN]]&amp;"-00-00-00",CATALOGO[Código],0))</f>
        <v>INVERSIONES Y PROYECTOS ESPECIALES</v>
      </c>
      <c r="D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DOCENTE CONECTADO 2024</v>
      </c>
      <c r="E51" t="s">
        <v>219</v>
      </c>
      <c r="F51" s="78">
        <v>199250</v>
      </c>
    </row>
    <row r="52" spans="1:19" hidden="1" x14ac:dyDescent="0.25">
      <c r="A52" t="s">
        <v>1444</v>
      </c>
      <c r="B52" s="68" t="str">
        <f>MID(PRESUPUESTO[[#This Row],[CUENTA]],1,4)</f>
        <v>E-03</v>
      </c>
      <c r="C52" s="68" t="str">
        <f>INDEX(CATALOGO[Descripción],MATCH(PRESUPUESTO[[#This Row],[APLICACIÓN]]&amp;"-00-00-00",CATALOGO[Código],0))</f>
        <v>SUELDOS ADMINISTRATIVOS</v>
      </c>
      <c r="D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MANTENIMIENTO</v>
      </c>
      <c r="E52" t="s">
        <v>3308</v>
      </c>
      <c r="F52" s="78">
        <v>192000</v>
      </c>
      <c r="S52" t="s">
        <v>3187</v>
      </c>
    </row>
    <row r="53" spans="1:19" hidden="1" x14ac:dyDescent="0.25">
      <c r="A53" t="s">
        <v>1467</v>
      </c>
      <c r="B53" s="68" t="str">
        <f>MID(PRESUPUESTO[[#This Row],[CUENTA]],1,4)</f>
        <v>E-05</v>
      </c>
      <c r="C53" s="68" t="str">
        <f>INDEX(CATALOGO[Descripción],MATCH(PRESUPUESTO[[#This Row],[APLICACIÓN]]&amp;"-00-00-00",CATALOGO[Código],0))</f>
        <v>SUELDOS DTC</v>
      </c>
      <c r="D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JURIDICAS</v>
      </c>
      <c r="E53" t="s">
        <v>3312</v>
      </c>
      <c r="F53" s="78">
        <v>184300</v>
      </c>
      <c r="S53" t="s">
        <v>3187</v>
      </c>
    </row>
    <row r="54" spans="1:19" hidden="1" x14ac:dyDescent="0.25">
      <c r="A54" t="s">
        <v>1454</v>
      </c>
      <c r="B54" s="68" t="str">
        <f>MID(PRESUPUESTO[[#This Row],[CUENTA]],1,4)</f>
        <v>E-04</v>
      </c>
      <c r="C54" s="68" t="str">
        <f>INDEX(CATALOGO[Descripción],MATCH(PRESUPUESTO[[#This Row],[APLICACIÓN]]&amp;"-00-00-00",CATALOGO[Código],0))</f>
        <v>SUELDOS ACADÉMICOS</v>
      </c>
      <c r="D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SOCIALES</v>
      </c>
      <c r="E54" t="s">
        <v>3311</v>
      </c>
      <c r="F54" s="78">
        <v>181350</v>
      </c>
      <c r="S54" t="s">
        <v>3187</v>
      </c>
    </row>
    <row r="55" spans="1:19" hidden="1" x14ac:dyDescent="0.25">
      <c r="A55" t="s">
        <v>2777</v>
      </c>
      <c r="B55" s="68" t="str">
        <f>MID(PRESUPUESTO[[#This Row],[CUENTA]],1,4)</f>
        <v>E-20</v>
      </c>
      <c r="C55" s="68" t="str">
        <f>INDEX(CATALOGO[Descripción],MATCH(PRESUPUESTO[[#This Row],[APLICACIÓN]]&amp;"-00-00-00",CATALOGO[Código],0))</f>
        <v>SEGUROS</v>
      </c>
      <c r="D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 Médico Hospitalario SISA 6 cuotas</v>
      </c>
      <c r="E55" t="s">
        <v>588</v>
      </c>
      <c r="F55" s="78">
        <v>178665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9" hidden="1" x14ac:dyDescent="0.25">
      <c r="A56" t="s">
        <v>1884</v>
      </c>
      <c r="B56" s="68" t="str">
        <f>MID(PRESUPUESTO[[#This Row],[CUENTA]],1,4)</f>
        <v>E-13</v>
      </c>
      <c r="C56" s="68" t="str">
        <f>INDEX(CATALOGO[Descripción],MATCH(PRESUPUESTO[[#This Row],[APLICACIÓN]]&amp;"-00-00-00",CATALOGO[Código],0))</f>
        <v>MAESTRIAS Y POSTGRADOS</v>
      </c>
      <c r="D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 módulos</v>
      </c>
      <c r="E56" t="s">
        <v>343</v>
      </c>
      <c r="F56" s="78">
        <v>176840</v>
      </c>
      <c r="S56" t="s">
        <v>3187</v>
      </c>
    </row>
    <row r="57" spans="1:19" x14ac:dyDescent="0.25">
      <c r="A57" t="s">
        <v>3271</v>
      </c>
      <c r="B57" s="68" t="str">
        <f>MID(PRESUPUESTO[[#This Row],[CUENTA]],1,4)</f>
        <v>I-05</v>
      </c>
      <c r="C57" s="68" t="str">
        <f>INDEX(CATALOGO[Descripción],MATCH(PRESUPUESTO[[#This Row],[APLICACIÓN]]&amp;"-00-00-00",CATALOGO[Código],0))</f>
        <v xml:space="preserve">MAESTRIAS, POSTGRADOS </v>
      </c>
      <c r="D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57" t="s">
        <v>3187</v>
      </c>
      <c r="F57" s="78">
        <v>80040</v>
      </c>
      <c r="S57" t="s">
        <v>3187</v>
      </c>
    </row>
    <row r="58" spans="1:19" hidden="1" x14ac:dyDescent="0.25">
      <c r="A58" t="s">
        <v>1487</v>
      </c>
      <c r="B58" s="68" t="str">
        <f>MID(PRESUPUESTO[[#This Row],[CUENTA]],1,4)</f>
        <v>E-04</v>
      </c>
      <c r="C58" s="68" t="str">
        <f>INDEX(CATALOGO[Descripción],MATCH(PRESUPUESTO[[#This Row],[APLICACIÓN]]&amp;"-00-00-00",CATALOGO[Código],0))</f>
        <v>SUELDOS ACADÉMICOS</v>
      </c>
      <c r="D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DIRECCIÓN DE INFORMÁTICA</v>
      </c>
      <c r="E58" t="s">
        <v>3316</v>
      </c>
      <c r="F58" s="78">
        <v>170950</v>
      </c>
      <c r="S58" t="s">
        <v>3187</v>
      </c>
    </row>
    <row r="59" spans="1:19" x14ac:dyDescent="0.25">
      <c r="A59" t="s">
        <v>3237</v>
      </c>
      <c r="B59" s="68" t="str">
        <f>MID(PRESUPUESTO[[#This Row],[CUENTA]],1,4)</f>
        <v>I-05</v>
      </c>
      <c r="C59" s="68" t="str">
        <f>INDEX(CATALOGO[Descripción],MATCH(PRESUPUESTO[[#This Row],[APLICACIÓN]]&amp;"-00-00-00",CATALOGO[Código],0))</f>
        <v xml:space="preserve">MAESTRIAS, POSTGRADOS </v>
      </c>
      <c r="D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59" t="s">
        <v>3187</v>
      </c>
      <c r="F59" s="78">
        <v>76065</v>
      </c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</row>
    <row r="60" spans="1:19" x14ac:dyDescent="0.25">
      <c r="A60" t="s">
        <v>3253</v>
      </c>
      <c r="B60" s="68" t="str">
        <f>MID(PRESUPUESTO[[#This Row],[CUENTA]],1,4)</f>
        <v>I-05</v>
      </c>
      <c r="C60" s="68" t="str">
        <f>INDEX(CATALOGO[Descripción],MATCH(PRESUPUESTO[[#This Row],[APLICACIÓN]]&amp;"-00-00-00",CATALOGO[Código],0))</f>
        <v xml:space="preserve">MAESTRIAS, POSTGRADOS </v>
      </c>
      <c r="D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60" t="s">
        <v>3187</v>
      </c>
      <c r="F60" s="78">
        <v>60621</v>
      </c>
      <c r="S60" t="s">
        <v>3187</v>
      </c>
    </row>
    <row r="61" spans="1:19" hidden="1" x14ac:dyDescent="0.25">
      <c r="A61" t="s">
        <v>1038</v>
      </c>
      <c r="B61" s="68" t="str">
        <f>MID(PRESUPUESTO[[#This Row],[CUENTA]],1,4)</f>
        <v>E-18</v>
      </c>
      <c r="C61" s="68" t="str">
        <f>INDEX(CATALOGO[Descripción],MATCH(PRESUPUESTO[[#This Row],[APLICACIÓN]]&amp;"-00-00-00",CATALOGO[Código],0))</f>
        <v>COMUNICACIÓN INSTITUCIONAL</v>
      </c>
      <c r="D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PROMOCIONAL</v>
      </c>
      <c r="E61" t="s">
        <v>3634</v>
      </c>
      <c r="F61" s="78">
        <v>160000</v>
      </c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9" hidden="1" x14ac:dyDescent="0.25">
      <c r="A62" t="s">
        <v>1082</v>
      </c>
      <c r="B62" s="68" t="str">
        <f>MID(PRESUPUESTO[[#This Row],[CUENTA]],1,4)</f>
        <v>E-10</v>
      </c>
      <c r="C62" s="68" t="str">
        <f>INDEX(CATALOGO[Descripción],MATCH(PRESUPUESTO[[#This Row],[APLICACIÓN]]&amp;"-00-00-00",CATALOGO[Código],0))</f>
        <v>SERVICIOS PUBLICOS</v>
      </c>
      <c r="D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IMPUESTOS FISCALES </v>
      </c>
      <c r="E62" t="s">
        <v>3377</v>
      </c>
      <c r="F62" s="78">
        <v>150000</v>
      </c>
      <c r="S62" t="s">
        <v>3187</v>
      </c>
    </row>
    <row r="63" spans="1:19" hidden="1" x14ac:dyDescent="0.25">
      <c r="A63" t="s">
        <v>1873</v>
      </c>
      <c r="B63" s="68" t="str">
        <f>MID(PRESUPUESTO[[#This Row],[CUENTA]],1,4)</f>
        <v>E-06</v>
      </c>
      <c r="C63" s="68" t="str">
        <f>INDEX(CATALOGO[Descripción],MATCH(PRESUPUESTO[[#This Row],[APLICACIÓN]]&amp;"-00-00-00",CATALOGO[Código],0))</f>
        <v>HORAS CLASES</v>
      </c>
      <c r="D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FACULTAD DE CIENCIAS JURIDICAS</v>
      </c>
      <c r="E63" t="s">
        <v>3322</v>
      </c>
      <c r="F63" s="78">
        <v>147150</v>
      </c>
      <c r="S63" t="s">
        <v>3187</v>
      </c>
    </row>
    <row r="64" spans="1:19" hidden="1" x14ac:dyDescent="0.25">
      <c r="A64" t="s">
        <v>1591</v>
      </c>
      <c r="B64" s="68" t="str">
        <f>MID(PRESUPUESTO[[#This Row],[CUENTA]],1,4)</f>
        <v>E-07</v>
      </c>
      <c r="C64" s="68" t="str">
        <f>INDEX(CATALOGO[Descripción],MATCH(PRESUPUESTO[[#This Row],[APLICACIÓN]]&amp;"-00-00-00",CATALOGO[Código],0))</f>
        <v>SERVICIOS TECNOLOGICOS</v>
      </c>
      <c r="D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Enlace Comercial Columbus Network COLUMBUS NETWORKS  $ 11,967.00 x 12</v>
      </c>
      <c r="E64" t="s">
        <v>175</v>
      </c>
      <c r="F64" s="78">
        <v>143600</v>
      </c>
    </row>
    <row r="65" spans="1:19" x14ac:dyDescent="0.25">
      <c r="A65" t="s">
        <v>3227</v>
      </c>
      <c r="B65" s="68" t="str">
        <f>MID(PRESUPUESTO[[#This Row],[CUENTA]],1,4)</f>
        <v>I-05</v>
      </c>
      <c r="C65" s="68" t="str">
        <f>INDEX(CATALOGO[Descripción],MATCH(PRESUPUESTO[[#This Row],[APLICACIÓN]]&amp;"-00-00-00",CATALOGO[Código],0))</f>
        <v xml:space="preserve">MAESTRIAS, POSTGRADOS </v>
      </c>
      <c r="D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65" t="s">
        <v>3187</v>
      </c>
      <c r="F65" s="78">
        <v>48180</v>
      </c>
      <c r="S65" t="s">
        <v>3187</v>
      </c>
    </row>
    <row r="66" spans="1:19" hidden="1" x14ac:dyDescent="0.25">
      <c r="A66" t="s">
        <v>1434</v>
      </c>
      <c r="B66" s="68" t="str">
        <f>MID(PRESUPUESTO[[#This Row],[CUENTA]],1,4)</f>
        <v>E-03</v>
      </c>
      <c r="C66" s="68" t="str">
        <f>INDEX(CATALOGO[Descripción],MATCH(PRESUPUESTO[[#This Row],[APLICACIÓN]]&amp;"-00-00-00",CATALOGO[Código],0))</f>
        <v>SUELDOS ADMINISTRATIVOS</v>
      </c>
      <c r="D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DIRECCIÓN DE RECURSOS HUMANOS</v>
      </c>
      <c r="E66" t="s">
        <v>3305</v>
      </c>
      <c r="F66" s="78">
        <v>136500</v>
      </c>
      <c r="S66" t="s">
        <v>3187</v>
      </c>
    </row>
    <row r="67" spans="1:19" hidden="1" x14ac:dyDescent="0.25">
      <c r="A67" t="s">
        <v>1535</v>
      </c>
      <c r="B67" s="68" t="str">
        <f>MID(PRESUPUESTO[[#This Row],[CUENTA]],1,4)</f>
        <v>E-08</v>
      </c>
      <c r="C67" s="68" t="str">
        <f>INDEX(CATALOGO[Descripción],MATCH(PRESUPUESTO[[#This Row],[APLICACIÓN]]&amp;"-00-00-00",CATALOGO[Código],0))</f>
        <v>INVERSIONES Y PROYECTOS ESPECIALES</v>
      </c>
      <c r="D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Robot colaborativo y modulo didáctico  COMPRES, SA. DE C.V. Fct 2876, + instalaciones.</v>
      </c>
      <c r="F67" s="78">
        <v>135500</v>
      </c>
    </row>
    <row r="68" spans="1:19" hidden="1" x14ac:dyDescent="0.25">
      <c r="A68" t="s">
        <v>1229</v>
      </c>
      <c r="B68" s="68" t="str">
        <f>MID(PRESUPUESTO[[#This Row],[CUENTA]],1,4)</f>
        <v>E-03</v>
      </c>
      <c r="C68" s="68" t="str">
        <f>INDEX(CATALOGO[Descripción],MATCH(PRESUPUESTO[[#This Row],[APLICACIÓN]]&amp;"-00-00-00",CATALOGO[Código],0))</f>
        <v>SUELDOS ADMINISTRATIVOS</v>
      </c>
      <c r="D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DIRECCIÓN DE COMUNICACIONES</v>
      </c>
      <c r="E68" t="s">
        <v>3304</v>
      </c>
      <c r="F68" s="78">
        <v>135000</v>
      </c>
      <c r="S68" t="s">
        <v>3187</v>
      </c>
    </row>
    <row r="69" spans="1:19" hidden="1" x14ac:dyDescent="0.25">
      <c r="A69" t="s">
        <v>1074</v>
      </c>
      <c r="B69" s="68" t="str">
        <f>MID(PRESUPUESTO[[#This Row],[CUENTA]],1,4)</f>
        <v>E-15</v>
      </c>
      <c r="C69" s="68" t="str">
        <f>INDEX(CATALOGO[Descripción],MATCH(PRESUPUESTO[[#This Row],[APLICACIÓN]]&amp;"-00-00-00",CATALOGO[Código],0))</f>
        <v>ALQUILERES</v>
      </c>
      <c r="D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Parqueo de estudiantes Calleja 12   $ 11,136.33</v>
      </c>
      <c r="E69" t="s">
        <v>3557</v>
      </c>
      <c r="F69" s="78">
        <v>133630</v>
      </c>
      <c r="S69" t="s">
        <v>3187</v>
      </c>
    </row>
    <row r="70" spans="1:19" hidden="1" x14ac:dyDescent="0.25">
      <c r="A70" t="s">
        <v>1253</v>
      </c>
      <c r="B70" s="68" t="str">
        <f>MID(PRESUPUESTO[[#This Row],[CUENTA]],1,4)</f>
        <v>E-04</v>
      </c>
      <c r="C70" s="68" t="str">
        <f>INDEX(CATALOGO[Descripción],MATCH(PRESUPUESTO[[#This Row],[APLICACIÓN]]&amp;"-00-00-00",CATALOGO[Código],0))</f>
        <v>SUELDOS ACADÉMICOS</v>
      </c>
      <c r="D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VR ACADÉMICA</v>
      </c>
      <c r="E70" t="s">
        <v>3314</v>
      </c>
      <c r="F70" s="78">
        <v>131300</v>
      </c>
      <c r="S70" t="s">
        <v>3187</v>
      </c>
    </row>
    <row r="71" spans="1:19" hidden="1" x14ac:dyDescent="0.25">
      <c r="A71" t="s">
        <v>1032</v>
      </c>
      <c r="B71" s="68" t="str">
        <f>MID(PRESUPUESTO[[#This Row],[CUENTA]],1,4)</f>
        <v>E-09</v>
      </c>
      <c r="C71" s="68" t="str">
        <f>INDEX(CATALOGO[Descripción],MATCH(PRESUPUESTO[[#This Row],[APLICACIÓN]]&amp;"-00-00-00",CATALOGO[Código],0))</f>
        <v>PRESTACIONES AL PERSONAL</v>
      </c>
      <c r="D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Liquidaciones laborales y compensaciones</v>
      </c>
      <c r="E71" t="s">
        <v>231</v>
      </c>
      <c r="F71" s="78">
        <v>125000</v>
      </c>
    </row>
    <row r="72" spans="1:19" hidden="1" x14ac:dyDescent="0.25">
      <c r="A72" t="s">
        <v>1203</v>
      </c>
      <c r="B72" s="68" t="str">
        <f>MID(PRESUPUESTO[[#This Row],[CUENTA]],1,4)</f>
        <v>E-13</v>
      </c>
      <c r="C72" s="68" t="str">
        <f>INDEX(CATALOGO[Descripción],MATCH(PRESUPUESTO[[#This Row],[APLICACIÓN]]&amp;"-00-00-00",CATALOGO[Código],0))</f>
        <v>MAESTRIAS Y POSTGRADOS</v>
      </c>
      <c r="D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SERVICIOS DE SEGURIDAD </v>
      </c>
      <c r="E72" t="s">
        <v>3469</v>
      </c>
      <c r="F72" s="78">
        <v>121200</v>
      </c>
      <c r="S72" t="s">
        <v>3187</v>
      </c>
    </row>
    <row r="73" spans="1:19" hidden="1" x14ac:dyDescent="0.25">
      <c r="A73" t="s">
        <v>1099</v>
      </c>
      <c r="B73" s="68" t="str">
        <f>MID(PRESUPUESTO[[#This Row],[CUENTA]],1,4)</f>
        <v>E-01</v>
      </c>
      <c r="C73" s="68" t="str">
        <f>INDEX(CATALOGO[Descripción],MATCH(PRESUPUESTO[[#This Row],[APLICACIÓN]]&amp;"-00-00-00",CATALOGO[Código],0))</f>
        <v>SERVICIOS PROFESIONALES</v>
      </c>
      <c r="D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Honorarios Soporte  equipo Didáctica $ 10,000.00</v>
      </c>
      <c r="E73" t="s">
        <v>121</v>
      </c>
      <c r="F73" s="78">
        <v>120000</v>
      </c>
      <c r="S73" t="s">
        <v>3187</v>
      </c>
    </row>
    <row r="74" spans="1:19" hidden="1" x14ac:dyDescent="0.25">
      <c r="A74" t="s">
        <v>1752</v>
      </c>
      <c r="B74" s="68" t="str">
        <f>MID(PRESUPUESTO[[#This Row],[CUENTA]],1,4)</f>
        <v>E-02</v>
      </c>
      <c r="C74" s="68" t="str">
        <f>INDEX(CATALOGO[Descripción],MATCH(PRESUPUESTO[[#This Row],[APLICACIÓN]]&amp;"-00-00-00",CATALOGO[Código],0))</f>
        <v>PRESTAMOS BANCARIOS</v>
      </c>
      <c r="D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COMISIONES BANCARIOS</v>
      </c>
      <c r="E74" t="s">
        <v>3297</v>
      </c>
      <c r="F74" s="78">
        <v>120000</v>
      </c>
      <c r="S74" t="s">
        <v>3187</v>
      </c>
    </row>
    <row r="75" spans="1:19" hidden="1" x14ac:dyDescent="0.25">
      <c r="A75" t="s">
        <v>1061</v>
      </c>
      <c r="B75" s="68" t="str">
        <f>MID(PRESUPUESTO[[#This Row],[CUENTA]],1,4)</f>
        <v>E-04</v>
      </c>
      <c r="C75" s="68" t="str">
        <f>INDEX(CATALOGO[Descripción],MATCH(PRESUPUESTO[[#This Row],[APLICACIÓN]]&amp;"-00-00-00",CATALOGO[Código],0))</f>
        <v>SUELDOS ACADÉMICOS</v>
      </c>
      <c r="D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INFORMATICA Y CIENCIAS APLICADAS</v>
      </c>
      <c r="E75" t="s">
        <v>3310</v>
      </c>
      <c r="F75" s="78">
        <v>115050</v>
      </c>
      <c r="S75" t="s">
        <v>3187</v>
      </c>
    </row>
    <row r="76" spans="1:19" hidden="1" x14ac:dyDescent="0.25">
      <c r="A76" t="s">
        <v>1504</v>
      </c>
      <c r="B76" s="68" t="str">
        <f>MID(PRESUPUESTO[[#This Row],[CUENTA]],1,4)</f>
        <v>E-07</v>
      </c>
      <c r="C76" s="68" t="str">
        <f>INDEX(CATALOGO[Descripción],MATCH(PRESUPUESTO[[#This Row],[APLICACIÓN]]&amp;"-00-00-00",CATALOGO[Código],0))</f>
        <v>SERVICIOS TECNOLOGICOS</v>
      </c>
      <c r="D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Plataforma BlackBoard  7,500 licencias</v>
      </c>
      <c r="E76" t="s">
        <v>179</v>
      </c>
      <c r="F76" s="78">
        <v>113400</v>
      </c>
    </row>
    <row r="77" spans="1:19" hidden="1" x14ac:dyDescent="0.25">
      <c r="A77" t="s">
        <v>1484</v>
      </c>
      <c r="B77" s="68" t="str">
        <f>MID(PRESUPUESTO[[#This Row],[CUENTA]],1,4)</f>
        <v>E-04</v>
      </c>
      <c r="C77" s="68" t="str">
        <f>INDEX(CATALOGO[Descripción],MATCH(PRESUPUESTO[[#This Row],[APLICACIÓN]]&amp;"-00-00-00",CATALOGO[Código],0))</f>
        <v>SUELDOS ACADÉMICOS</v>
      </c>
      <c r="D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ADMÓN ACADÉMICA</v>
      </c>
      <c r="E77" t="s">
        <v>3317</v>
      </c>
      <c r="F77" s="78">
        <v>111250</v>
      </c>
      <c r="S77" t="s">
        <v>3187</v>
      </c>
    </row>
    <row r="78" spans="1:19" hidden="1" x14ac:dyDescent="0.25">
      <c r="A78" t="s">
        <v>1468</v>
      </c>
      <c r="B78" s="68" t="str">
        <f>MID(PRESUPUESTO[[#This Row],[CUENTA]],1,4)</f>
        <v>E-13</v>
      </c>
      <c r="C78" s="68" t="str">
        <f>INDEX(CATALOGO[Descripción],MATCH(PRESUPUESTO[[#This Row],[APLICACIÓN]]&amp;"-00-00-00",CATALOGO[Código],0))</f>
        <v>MAESTRIAS Y POSTGRADOS</v>
      </c>
      <c r="D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</v>
      </c>
      <c r="E78" t="s">
        <v>3457</v>
      </c>
      <c r="F78" s="78">
        <v>110211</v>
      </c>
      <c r="S78" t="s">
        <v>3187</v>
      </c>
    </row>
    <row r="79" spans="1:19" hidden="1" x14ac:dyDescent="0.25">
      <c r="A79" t="s">
        <v>1078</v>
      </c>
      <c r="B79" s="68" t="str">
        <f>MID(PRESUPUESTO[[#This Row],[CUENTA]],1,4)</f>
        <v>E-26</v>
      </c>
      <c r="C79" s="68" t="str">
        <f>INDEX(CATALOGO[Descripción],MATCH(PRESUPUESTO[[#This Row],[APLICACIÓN]]&amp;"-00-00-00",CATALOGO[Código],0))</f>
        <v>EVENTOS ACADEMICOS, CULTURALES  E INSTITUCIONALES</v>
      </c>
      <c r="D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GASTOS DE REPRESENTACION </v>
      </c>
      <c r="E79" t="s">
        <v>3902</v>
      </c>
      <c r="F79" s="78">
        <v>110100</v>
      </c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9" x14ac:dyDescent="0.25">
      <c r="A80" t="s">
        <v>3247</v>
      </c>
      <c r="B80" s="68" t="str">
        <f>MID(PRESUPUESTO[[#This Row],[CUENTA]],1,4)</f>
        <v>I-05</v>
      </c>
      <c r="C80" s="68" t="str">
        <f>INDEX(CATALOGO[Descripción],MATCH(PRESUPUESTO[[#This Row],[APLICACIÓN]]&amp;"-00-00-00",CATALOGO[Código],0))</f>
        <v xml:space="preserve">MAESTRIAS, POSTGRADOS </v>
      </c>
      <c r="D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80" t="s">
        <v>3187</v>
      </c>
      <c r="F80" s="78">
        <v>47588</v>
      </c>
      <c r="S80" t="s">
        <v>3187</v>
      </c>
    </row>
    <row r="81" spans="1:19" hidden="1" x14ac:dyDescent="0.25">
      <c r="A81" t="s">
        <v>1827</v>
      </c>
      <c r="B81" s="68" t="str">
        <f>MID(PRESUPUESTO[[#This Row],[CUENTA]],1,4)</f>
        <v>E-07</v>
      </c>
      <c r="C81" s="68" t="str">
        <f>INDEX(CATALOGO[Descripción],MATCH(PRESUPUESTO[[#This Row],[APLICACIÓN]]&amp;"-00-00-00",CATALOGO[Código],0))</f>
        <v>SERVICIOS TECNOLOGICOS</v>
      </c>
      <c r="D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Campus Agreement - Microsoft- Open Value- incluye IT Academy, Microsoft - 1 PACK mos Microsof y MTA FICA- Autodesk FICA- GBM Ampliación A-3E-3 e inteligencia de negocios. Licencia Active Directory premium nube de Azure</v>
      </c>
      <c r="F81" s="78">
        <v>106000</v>
      </c>
      <c r="S81" t="s">
        <v>3187</v>
      </c>
    </row>
    <row r="82" spans="1:19" hidden="1" x14ac:dyDescent="0.25">
      <c r="A82" t="s">
        <v>1101</v>
      </c>
      <c r="B82" s="68" t="str">
        <f>MID(PRESUPUESTO[[#This Row],[CUENTA]],1,4)</f>
        <v>E-07</v>
      </c>
      <c r="C82" s="68" t="str">
        <f>INDEX(CATALOGO[Descripción],MATCH(PRESUPUESTO[[#This Row],[APLICACIÓN]]&amp;"-00-00-00",CATALOGO[Código],0))</f>
        <v>SERVICIOS TECNOLOGICOS</v>
      </c>
      <c r="D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Proyecto de AZURE BACKUP Y AZURE SITERECOVERY </v>
      </c>
      <c r="E82" t="s">
        <v>195</v>
      </c>
      <c r="F82" s="78">
        <v>103140</v>
      </c>
    </row>
    <row r="83" spans="1:19" hidden="1" x14ac:dyDescent="0.25">
      <c r="A83" t="s">
        <v>1219</v>
      </c>
      <c r="B83" s="68" t="str">
        <f>MID(PRESUPUESTO[[#This Row],[CUENTA]],1,4)</f>
        <v>E-33</v>
      </c>
      <c r="C83" s="68" t="str">
        <f>INDEX(CATALOGO[Descripción],MATCH(PRESUPUESTO[[#This Row],[APLICACIÓN]]&amp;"-00-00-00",CATALOGO[Código],0))</f>
        <v xml:space="preserve">PROVEEDORES </v>
      </c>
      <c r="D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</v>
      </c>
      <c r="E83" t="s">
        <v>970</v>
      </c>
      <c r="F83" s="78">
        <v>100000</v>
      </c>
      <c r="S83" t="s">
        <v>3187</v>
      </c>
    </row>
    <row r="84" spans="1:19" hidden="1" x14ac:dyDescent="0.25">
      <c r="A84" t="s">
        <v>1137</v>
      </c>
      <c r="B84" s="68" t="str">
        <f>MID(PRESUPUESTO[[#This Row],[CUENTA]],1,4)</f>
        <v>E-01</v>
      </c>
      <c r="C84" s="68" t="str">
        <f>INDEX(CATALOGO[Descripción],MATCH(PRESUPUESTO[[#This Row],[APLICACIÓN]]&amp;"-00-00-00",CATALOGO[Código],0))</f>
        <v>SERVICIOS PROFESIONALES</v>
      </c>
      <c r="D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DE MANTENIMIENTO</v>
      </c>
      <c r="E84" t="s">
        <v>3287</v>
      </c>
      <c r="F84" s="78">
        <v>96000</v>
      </c>
      <c r="S84" t="s">
        <v>3187</v>
      </c>
    </row>
    <row r="85" spans="1:19" hidden="1" x14ac:dyDescent="0.25">
      <c r="A85" t="s">
        <v>1443</v>
      </c>
      <c r="B85" s="68" t="str">
        <f>MID(PRESUPUESTO[[#This Row],[CUENTA]],1,4)</f>
        <v>E-04</v>
      </c>
      <c r="C85" s="68" t="str">
        <f>INDEX(CATALOGO[Descripción],MATCH(PRESUPUESTO[[#This Row],[APLICACIÓN]]&amp;"-00-00-00",CATALOGO[Código],0))</f>
        <v>SUELDOS ACADÉMICOS</v>
      </c>
      <c r="D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SISTEMA BIBLIOTECARIO</v>
      </c>
      <c r="E85" t="s">
        <v>3320</v>
      </c>
      <c r="F85" s="78">
        <v>93000</v>
      </c>
      <c r="S85" t="s">
        <v>3187</v>
      </c>
    </row>
    <row r="86" spans="1:19" hidden="1" x14ac:dyDescent="0.25">
      <c r="A86" t="s">
        <v>1084</v>
      </c>
      <c r="B86" s="68" t="str">
        <f>MID(PRESUPUESTO[[#This Row],[CUENTA]],1,4)</f>
        <v>E-10</v>
      </c>
      <c r="C86" s="68" t="str">
        <f>INDEX(CATALOGO[Descripción],MATCH(PRESUPUESTO[[#This Row],[APLICACIÓN]]&amp;"-00-00-00",CATALOGO[Código],0))</f>
        <v>SERVICIOS PUBLICOS</v>
      </c>
      <c r="D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DE AGUA</v>
      </c>
      <c r="E86" t="s">
        <v>3378</v>
      </c>
      <c r="F86" s="78">
        <v>90000</v>
      </c>
      <c r="S86" t="s">
        <v>3187</v>
      </c>
    </row>
    <row r="87" spans="1:19" hidden="1" x14ac:dyDescent="0.25">
      <c r="A87" t="s">
        <v>1490</v>
      </c>
      <c r="B87" s="68" t="str">
        <f>MID(PRESUPUESTO[[#This Row],[CUENTA]],1,4)</f>
        <v>E-04</v>
      </c>
      <c r="C87" s="68" t="str">
        <f>INDEX(CATALOGO[Descripción],MATCH(PRESUPUESTO[[#This Row],[APLICACIÓN]]&amp;"-00-00-00",CATALOGO[Código],0))</f>
        <v>SUELDOS ACADÉMICOS</v>
      </c>
      <c r="D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DIRECCIÓN EDUCACIÓN VIRTUAL</v>
      </c>
      <c r="E87" t="s">
        <v>3315</v>
      </c>
      <c r="F87" s="78">
        <v>87750</v>
      </c>
      <c r="S87" t="s">
        <v>3187</v>
      </c>
    </row>
    <row r="88" spans="1:19" hidden="1" x14ac:dyDescent="0.25">
      <c r="A88" t="s">
        <v>1236</v>
      </c>
      <c r="B88" s="68" t="str">
        <f>MID(PRESUPUESTO[[#This Row],[CUENTA]],1,4)</f>
        <v>E-14</v>
      </c>
      <c r="C88" s="68" t="str">
        <f>INDEX(CATALOGO[Descripción],MATCH(PRESUPUESTO[[#This Row],[APLICACIÓN]]&amp;"-00-00-00",CATALOGO[Código],0))</f>
        <v>MATERIAL DIDÁCTICO</v>
      </c>
      <c r="D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INFORMATICA Y CC APLICADAS</v>
      </c>
      <c r="E88" t="s">
        <v>3551</v>
      </c>
      <c r="F88" s="78">
        <v>87600</v>
      </c>
      <c r="S88" t="s">
        <v>3187</v>
      </c>
    </row>
    <row r="89" spans="1:19" hidden="1" x14ac:dyDescent="0.25">
      <c r="A89" t="s">
        <v>1442</v>
      </c>
      <c r="B89" s="68" t="str">
        <f>MID(PRESUPUESTO[[#This Row],[CUENTA]],1,4)</f>
        <v>E-03</v>
      </c>
      <c r="C89" s="68" t="str">
        <f>INDEX(CATALOGO[Descripción],MATCH(PRESUPUESTO[[#This Row],[APLICACIÓN]]&amp;"-00-00-00",CATALOGO[Código],0))</f>
        <v>SUELDOS ADMINISTRATIVOS</v>
      </c>
      <c r="D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SUELDOS Y SALARIOS SERVICIOS GENERALES </v>
      </c>
      <c r="E89" t="s">
        <v>3307</v>
      </c>
      <c r="F89" s="78">
        <v>87000</v>
      </c>
      <c r="S89" t="s">
        <v>3187</v>
      </c>
    </row>
    <row r="90" spans="1:19" hidden="1" x14ac:dyDescent="0.25">
      <c r="A90" t="s">
        <v>1440</v>
      </c>
      <c r="B90" s="68" t="str">
        <f>MID(PRESUPUESTO[[#This Row],[CUENTA]],1,4)</f>
        <v>E-04</v>
      </c>
      <c r="C90" s="68" t="str">
        <f>INDEX(CATALOGO[Descripción],MATCH(PRESUPUESTO[[#This Row],[APLICACIÓN]]&amp;"-00-00-00",CATALOGO[Código],0))</f>
        <v>SUELDOS ACADÉMICOS</v>
      </c>
      <c r="D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DIRECCIÓN DE CULTURA</v>
      </c>
      <c r="E90" t="s">
        <v>3321</v>
      </c>
      <c r="F90" s="78">
        <v>87000</v>
      </c>
      <c r="S90" t="s">
        <v>3187</v>
      </c>
    </row>
    <row r="91" spans="1:19" hidden="1" x14ac:dyDescent="0.25">
      <c r="A91" t="s">
        <v>1239</v>
      </c>
      <c r="B91" s="68" t="str">
        <f>MID(PRESUPUESTO[[#This Row],[CUENTA]],1,4)</f>
        <v>E-14</v>
      </c>
      <c r="C91" s="68" t="str">
        <f>INDEX(CATALOGO[Descripción],MATCH(PRESUPUESTO[[#This Row],[APLICACIÓN]]&amp;"-00-00-00",CATALOGO[Código],0))</f>
        <v>MATERIAL DIDÁCTICO</v>
      </c>
      <c r="D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OTRAS UNIDADES ACADEMICAS</v>
      </c>
      <c r="E91" t="s">
        <v>431</v>
      </c>
      <c r="F91" s="78">
        <v>86400</v>
      </c>
      <c r="S91" t="s">
        <v>3187</v>
      </c>
    </row>
    <row r="92" spans="1:19" hidden="1" x14ac:dyDescent="0.25">
      <c r="A92" t="s">
        <v>1493</v>
      </c>
      <c r="B92" s="68" t="str">
        <f>MID(PRESUPUESTO[[#This Row],[CUENTA]],1,4)</f>
        <v>E-03</v>
      </c>
      <c r="C92" s="68" t="str">
        <f>INDEX(CATALOGO[Descripción],MATCH(PRESUPUESTO[[#This Row],[APLICACIÓN]]&amp;"-00-00-00",CATALOGO[Código],0))</f>
        <v>SUELDOS ADMINISTRATIVOS</v>
      </c>
      <c r="D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VICERRECTORÍA DE OPERACIONES</v>
      </c>
      <c r="E92" t="s">
        <v>3303</v>
      </c>
      <c r="F92" s="78">
        <v>85000</v>
      </c>
      <c r="S92" t="s">
        <v>3187</v>
      </c>
    </row>
    <row r="93" spans="1:19" hidden="1" x14ac:dyDescent="0.25">
      <c r="A93" t="s">
        <v>1424</v>
      </c>
      <c r="B93" s="68" t="str">
        <f>MID(PRESUPUESTO[[#This Row],[CUENTA]],1,4)</f>
        <v>E-03</v>
      </c>
      <c r="C93" s="68" t="str">
        <f>INDEX(CATALOGO[Descripción],MATCH(PRESUPUESTO[[#This Row],[APLICACIÓN]]&amp;"-00-00-00",CATALOGO[Código],0))</f>
        <v>SUELDOS ADMINISTRATIVOS</v>
      </c>
      <c r="D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SECRETARIA GENERAL</v>
      </c>
      <c r="E93" t="s">
        <v>3301</v>
      </c>
      <c r="F93" s="78">
        <v>84000</v>
      </c>
      <c r="S93" t="s">
        <v>3187</v>
      </c>
    </row>
    <row r="94" spans="1:19" hidden="1" x14ac:dyDescent="0.25">
      <c r="A94" t="s">
        <v>1451</v>
      </c>
      <c r="B94" s="68" t="str">
        <f>MID(PRESUPUESTO[[#This Row],[CUENTA]],1,4)</f>
        <v>E-04</v>
      </c>
      <c r="C94" s="68" t="str">
        <f>INDEX(CATALOGO[Descripción],MATCH(PRESUPUESTO[[#This Row],[APLICACIÓN]]&amp;"-00-00-00",CATALOGO[Código],0))</f>
        <v>SUELDOS ACADÉMICOS</v>
      </c>
      <c r="D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EMPRESARIALES</v>
      </c>
      <c r="E94" t="s">
        <v>3309</v>
      </c>
      <c r="F94" s="78">
        <v>83850</v>
      </c>
      <c r="S94" t="s">
        <v>3187</v>
      </c>
    </row>
    <row r="95" spans="1:19" x14ac:dyDescent="0.25">
      <c r="A95" t="s">
        <v>3251</v>
      </c>
      <c r="B95" s="68" t="str">
        <f>MID(PRESUPUESTO[[#This Row],[CUENTA]],1,4)</f>
        <v>I-05</v>
      </c>
      <c r="C95" s="68" t="str">
        <f>INDEX(CATALOGO[Descripción],MATCH(PRESUPUESTO[[#This Row],[APLICACIÓN]]&amp;"-00-00-00",CATALOGO[Código],0))</f>
        <v xml:space="preserve">MAESTRIAS, POSTGRADOS </v>
      </c>
      <c r="D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95" t="s">
        <v>3187</v>
      </c>
      <c r="F95" s="78">
        <v>46314</v>
      </c>
      <c r="S95" t="s">
        <v>3187</v>
      </c>
    </row>
    <row r="96" spans="1:19" x14ac:dyDescent="0.25">
      <c r="A96" t="s">
        <v>3262</v>
      </c>
      <c r="B96" s="68" t="str">
        <f>MID(PRESUPUESTO[[#This Row],[CUENTA]],1,4)</f>
        <v>I-05</v>
      </c>
      <c r="C96" s="68" t="str">
        <f>INDEX(CATALOGO[Descripción],MATCH(PRESUPUESTO[[#This Row],[APLICACIÓN]]&amp;"-00-00-00",CATALOGO[Código],0))</f>
        <v xml:space="preserve">MAESTRIAS, POSTGRADOS </v>
      </c>
      <c r="D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96" t="s">
        <v>3187</v>
      </c>
      <c r="F96" s="78">
        <v>38280</v>
      </c>
      <c r="S96" t="s">
        <v>3187</v>
      </c>
    </row>
    <row r="97" spans="1:19" hidden="1" x14ac:dyDescent="0.25">
      <c r="A97" t="s">
        <v>1396</v>
      </c>
      <c r="B97" s="68" t="str">
        <f>MID(PRESUPUESTO[[#This Row],[CUENTA]],1,4)</f>
        <v>E-04</v>
      </c>
      <c r="C97" s="68" t="str">
        <f>INDEX(CATALOGO[Descripción],MATCH(PRESUPUESTO[[#This Row],[APLICACIÓN]]&amp;"-00-00-00",CATALOGO[Código],0))</f>
        <v>SUELDOS ACADÉMICOS</v>
      </c>
      <c r="D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NUEVO INGRESO</v>
      </c>
      <c r="E97" t="s">
        <v>3319</v>
      </c>
      <c r="F97" s="78">
        <v>79400</v>
      </c>
      <c r="S97" t="s">
        <v>3187</v>
      </c>
    </row>
    <row r="98" spans="1:19" x14ac:dyDescent="0.25">
      <c r="A98" t="s">
        <v>3256</v>
      </c>
      <c r="B98" s="68" t="str">
        <f>MID(PRESUPUESTO[[#This Row],[CUENTA]],1,4)</f>
        <v>I-05</v>
      </c>
      <c r="C98" s="68" t="str">
        <f>INDEX(CATALOGO[Descripción],MATCH(PRESUPUESTO[[#This Row],[APLICACIÓN]]&amp;"-00-00-00",CATALOGO[Código],0))</f>
        <v xml:space="preserve">MAESTRIAS, POSTGRADOS </v>
      </c>
      <c r="D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98" t="s">
        <v>3187</v>
      </c>
      <c r="F98" s="78">
        <v>37820</v>
      </c>
      <c r="S98" t="s">
        <v>3187</v>
      </c>
    </row>
    <row r="99" spans="1:19" hidden="1" x14ac:dyDescent="0.25">
      <c r="A99" t="s">
        <v>1245</v>
      </c>
      <c r="B99" s="68" t="str">
        <f>MID(PRESUPUESTO[[#This Row],[CUENTA]],1,4)</f>
        <v>E-27</v>
      </c>
      <c r="C99" s="68" t="str">
        <f>INDEX(CATALOGO[Descripción],MATCH(PRESUPUESTO[[#This Row],[APLICACIÓN]]&amp;"-00-00-00",CATALOGO[Código],0))</f>
        <v>INSUMOS DE OFICINA</v>
      </c>
      <c r="D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 ADMINISTRATIVAS</v>
      </c>
      <c r="E99" t="s">
        <v>3975</v>
      </c>
      <c r="F99" s="78">
        <v>70800</v>
      </c>
      <c r="S99" t="s">
        <v>3187</v>
      </c>
    </row>
    <row r="100" spans="1:19" hidden="1" x14ac:dyDescent="0.25">
      <c r="A100" t="s">
        <v>1237</v>
      </c>
      <c r="B100" s="68" t="str">
        <f>MID(PRESUPUESTO[[#This Row],[CUENTA]],1,4)</f>
        <v>E-14</v>
      </c>
      <c r="C100" s="68" t="str">
        <f>INDEX(CATALOGO[Descripción],MATCH(PRESUPUESTO[[#This Row],[APLICACIÓN]]&amp;"-00-00-00",CATALOGO[Código],0))</f>
        <v>MATERIAL DIDÁCTICO</v>
      </c>
      <c r="D1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CIENCIAS SOCIALES</v>
      </c>
      <c r="E100" t="s">
        <v>3552</v>
      </c>
      <c r="F100" s="78">
        <v>69600</v>
      </c>
      <c r="S100" t="s">
        <v>3187</v>
      </c>
    </row>
    <row r="101" spans="1:19" x14ac:dyDescent="0.25">
      <c r="A101" t="s">
        <v>3267</v>
      </c>
      <c r="B101" s="68" t="str">
        <f>MID(PRESUPUESTO[[#This Row],[CUENTA]],1,4)</f>
        <v>I-05</v>
      </c>
      <c r="C101" s="68" t="str">
        <f>INDEX(CATALOGO[Descripción],MATCH(PRESUPUESTO[[#This Row],[APLICACIÓN]]&amp;"-00-00-00",CATALOGO[Código],0))</f>
        <v xml:space="preserve">MAESTRIAS, POSTGRADOS </v>
      </c>
      <c r="D1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101" t="s">
        <v>3187</v>
      </c>
      <c r="F101" s="78">
        <v>32967</v>
      </c>
      <c r="S101" t="s">
        <v>3187</v>
      </c>
    </row>
    <row r="102" spans="1:19" ht="15.75" thickBot="1" x14ac:dyDescent="0.3">
      <c r="A102" s="66" t="s">
        <v>3242</v>
      </c>
      <c r="B102" s="71" t="str">
        <f>MID(PRESUPUESTO[[#This Row],[CUENTA]],1,4)</f>
        <v>I-05</v>
      </c>
      <c r="C102" s="71" t="str">
        <f>INDEX(CATALOGO[Descripción],MATCH(PRESUPUESTO[[#This Row],[APLICACIÓN]]&amp;"-00-00-00",CATALOGO[Código],0))</f>
        <v xml:space="preserve">MAESTRIAS, POSTGRADOS </v>
      </c>
      <c r="D102" s="71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102" s="66" t="s">
        <v>3187</v>
      </c>
      <c r="F102" s="79">
        <v>31740</v>
      </c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6" t="s">
        <v>3187</v>
      </c>
    </row>
    <row r="103" spans="1:19" x14ac:dyDescent="0.25">
      <c r="A103" t="s">
        <v>3243</v>
      </c>
      <c r="B103" s="68" t="str">
        <f>MID(PRESUPUESTO[[#This Row],[CUENTA]],1,4)</f>
        <v>I-05</v>
      </c>
      <c r="C103" s="68" t="str">
        <f>INDEX(CATALOGO[Descripción],MATCH(PRESUPUESTO[[#This Row],[APLICACIÓN]]&amp;"-00-00-00",CATALOGO[Código],0))</f>
        <v xml:space="preserve">MAESTRIAS, POSTGRADOS </v>
      </c>
      <c r="D1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103" t="s">
        <v>3187</v>
      </c>
      <c r="F103" s="78">
        <v>28589</v>
      </c>
      <c r="S103" t="s">
        <v>3187</v>
      </c>
    </row>
    <row r="104" spans="1:19" hidden="1" x14ac:dyDescent="0.25">
      <c r="A104" t="s">
        <v>3368</v>
      </c>
      <c r="B104" s="68" t="str">
        <f>MID(PRESUPUESTO[[#This Row],[CUENTA]],1,4)</f>
        <v>E-08</v>
      </c>
      <c r="C104" s="68" t="str">
        <f>INDEX(CATALOGO[Descripción],MATCH(PRESUPUESTO[[#This Row],[APLICACIÓN]]&amp;"-00-00-00",CATALOGO[Código],0))</f>
        <v>INVERSIONES Y PROYECTOS ESPECIALES</v>
      </c>
      <c r="D1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Beca Personal Ejecutivo Luciana L.  York U </v>
      </c>
      <c r="E104" t="s">
        <v>217</v>
      </c>
      <c r="F104" s="78">
        <v>59600</v>
      </c>
      <c r="S104" t="s">
        <v>3187</v>
      </c>
    </row>
    <row r="105" spans="1:19" hidden="1" x14ac:dyDescent="0.25">
      <c r="A105" t="s">
        <v>1470</v>
      </c>
      <c r="B105" s="68" t="str">
        <f>MID(PRESUPUESTO[[#This Row],[CUENTA]],1,4)</f>
        <v>E-25</v>
      </c>
      <c r="C105" s="68" t="str">
        <f>INDEX(CATALOGO[Descripción],MATCH(PRESUPUESTO[[#This Row],[APLICACIÓN]]&amp;"-00-00-00",CATALOGO[Código],0))</f>
        <v>DECANATO DE ESTUDIANTES</v>
      </c>
      <c r="D1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</v>
      </c>
      <c r="E105" t="s">
        <v>3868</v>
      </c>
      <c r="F105" s="78">
        <v>57200</v>
      </c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9" x14ac:dyDescent="0.25">
      <c r="A106" t="s">
        <v>3222</v>
      </c>
      <c r="B106" s="68" t="str">
        <f>MID(PRESUPUESTO[[#This Row],[CUENTA]],1,4)</f>
        <v>I-05</v>
      </c>
      <c r="C106" s="68" t="str">
        <f>INDEX(CATALOGO[Descripción],MATCH(PRESUPUESTO[[#This Row],[APLICACIÓN]]&amp;"-00-00-00",CATALOGO[Código],0))</f>
        <v xml:space="preserve">MAESTRIAS, POSTGRADOS </v>
      </c>
      <c r="D1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106" t="s">
        <v>3187</v>
      </c>
      <c r="F106" s="78">
        <v>27588</v>
      </c>
      <c r="S106" t="s">
        <v>3187</v>
      </c>
    </row>
    <row r="107" spans="1:19" hidden="1" x14ac:dyDescent="0.25">
      <c r="A107" t="s">
        <v>1122</v>
      </c>
      <c r="B107" s="68" t="str">
        <f>MID(PRESUPUESTO[[#This Row],[CUENTA]],1,4)</f>
        <v>E-08</v>
      </c>
      <c r="C107" s="68" t="str">
        <f>INDEX(CATALOGO[Descripción],MATCH(PRESUPUESTO[[#This Row],[APLICACIÓN]]&amp;"-00-00-00",CATALOGO[Código],0))</f>
        <v>INVERSIONES Y PROYECTOS ESPECIALES</v>
      </c>
      <c r="D1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Beca Personal Ejecutivo Gabriela Duque FIU</v>
      </c>
      <c r="E107" t="s">
        <v>218</v>
      </c>
      <c r="F107" s="78">
        <v>56500</v>
      </c>
    </row>
    <row r="108" spans="1:19" hidden="1" x14ac:dyDescent="0.25">
      <c r="A108" t="s">
        <v>1126</v>
      </c>
      <c r="B108" s="68" t="str">
        <f>MID(PRESUPUESTO[[#This Row],[CUENTA]],1,4)</f>
        <v>E-15</v>
      </c>
      <c r="C108" s="68" t="str">
        <f>INDEX(CATALOGO[Descripción],MATCH(PRESUPUESTO[[#This Row],[APLICACIÓN]]&amp;"-00-00-00",CATALOGO[Código],0))</f>
        <v>ALQUILERES</v>
      </c>
      <c r="D1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Alquiler de edificio Thomas Jefferson</v>
      </c>
      <c r="E108" t="s">
        <v>3558</v>
      </c>
      <c r="F108" s="78">
        <v>56400</v>
      </c>
      <c r="S108" t="s">
        <v>3187</v>
      </c>
    </row>
    <row r="109" spans="1:19" x14ac:dyDescent="0.25">
      <c r="A109" t="s">
        <v>3232</v>
      </c>
      <c r="B109" s="68" t="str">
        <f>MID(PRESUPUESTO[[#This Row],[CUENTA]],1,4)</f>
        <v>I-05</v>
      </c>
      <c r="C109" s="68" t="str">
        <f>INDEX(CATALOGO[Descripción],MATCH(PRESUPUESTO[[#This Row],[APLICACIÓN]]&amp;"-00-00-00",CATALOGO[Código],0))</f>
        <v xml:space="preserve">MAESTRIAS, POSTGRADOS </v>
      </c>
      <c r="D1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DE ENSEÑANZA</v>
      </c>
      <c r="E109" t="s">
        <v>3187</v>
      </c>
      <c r="F109" s="78">
        <v>27588</v>
      </c>
      <c r="S109" t="s">
        <v>3187</v>
      </c>
    </row>
    <row r="110" spans="1:19" x14ac:dyDescent="0.25">
      <c r="A110" t="s">
        <v>3255</v>
      </c>
      <c r="B110" s="68" t="str">
        <f>MID(PRESUPUESTO[[#This Row],[CUENTA]],1,4)</f>
        <v>I-05</v>
      </c>
      <c r="C110" s="68" t="str">
        <f>INDEX(CATALOGO[Descripción],MATCH(PRESUPUESTO[[#This Row],[APLICACIÓN]]&amp;"-00-00-00",CATALOGO[Código],0))</f>
        <v xml:space="preserve">MAESTRIAS, POSTGRADOS </v>
      </c>
      <c r="D1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10" t="s">
        <v>3187</v>
      </c>
      <c r="F110" s="78">
        <v>24990</v>
      </c>
      <c r="S110" t="s">
        <v>3187</v>
      </c>
    </row>
    <row r="111" spans="1:19" hidden="1" x14ac:dyDescent="0.25">
      <c r="A111" t="s">
        <v>3685</v>
      </c>
      <c r="B111" s="68" t="str">
        <f>MID(PRESUPUESTO[[#This Row],[CUENTA]],1,4)</f>
        <v>E-19</v>
      </c>
      <c r="C111" s="68" t="str">
        <f>INDEX(CATALOGO[Descripción],MATCH(PRESUPUESTO[[#This Row],[APLICACIÓN]]&amp;"-00-00-00",CATALOGO[Código],0))</f>
        <v>MANTENIMIENTO</v>
      </c>
      <c r="D1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Escalera de emergencia Los Fundadores </v>
      </c>
      <c r="E111" t="s">
        <v>570</v>
      </c>
      <c r="F111" s="78">
        <v>55000</v>
      </c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9" hidden="1" x14ac:dyDescent="0.25">
      <c r="A112" t="s">
        <v>3693</v>
      </c>
      <c r="B112" s="68" t="str">
        <f>MID(PRESUPUESTO[[#This Row],[CUENTA]],1,4)</f>
        <v>E-19</v>
      </c>
      <c r="C112" s="68" t="str">
        <f>INDEX(CATALOGO[Descripción],MATCH(PRESUPUESTO[[#This Row],[APLICACIÓN]]&amp;"-00-00-00",CATALOGO[Código],0))</f>
        <v>MANTENIMIENTO</v>
      </c>
      <c r="D1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Cambio de elevador porterior Los Fundadores</v>
      </c>
      <c r="E112" t="s">
        <v>579</v>
      </c>
      <c r="F112" s="78">
        <v>55000</v>
      </c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</row>
    <row r="113" spans="1:19" hidden="1" x14ac:dyDescent="0.25">
      <c r="A113" t="s">
        <v>1400</v>
      </c>
      <c r="B113" s="68" t="str">
        <f>MID(PRESUPUESTO[[#This Row],[CUENTA]],1,4)</f>
        <v>E-20</v>
      </c>
      <c r="C113" s="68" t="str">
        <f>INDEX(CATALOGO[Descripción],MATCH(PRESUPUESTO[[#This Row],[APLICACIÓN]]&amp;"-00-00-00",CATALOGO[Código],0))</f>
        <v>SEGUROS</v>
      </c>
      <c r="D1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 Vida Colectivo-  SISA 6 cuotas</v>
      </c>
      <c r="E113" t="s">
        <v>587</v>
      </c>
      <c r="F113" s="78">
        <v>54883</v>
      </c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9" hidden="1" x14ac:dyDescent="0.25">
      <c r="A114" t="s">
        <v>3567</v>
      </c>
      <c r="B114" s="68" t="str">
        <f>MID(PRESUPUESTO[[#This Row],[CUENTA]],1,4)</f>
        <v>E-16</v>
      </c>
      <c r="C114" s="68" t="str">
        <f>INDEX(CATALOGO[Descripción],MATCH(PRESUPUESTO[[#This Row],[APLICACIÓN]]&amp;"-00-00-00",CATALOGO[Código],0))</f>
        <v xml:space="preserve">PRE-ESPECIALIDAD </v>
      </c>
      <c r="D1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 Clase - Investigaciones</v>
      </c>
      <c r="E114" t="s">
        <v>3568</v>
      </c>
      <c r="F114" s="78">
        <v>54470</v>
      </c>
      <c r="S114" t="s">
        <v>3187</v>
      </c>
    </row>
    <row r="115" spans="1:19" hidden="1" x14ac:dyDescent="0.25">
      <c r="A115" t="s">
        <v>1251</v>
      </c>
      <c r="B115" s="68" t="str">
        <f>MID(PRESUPUESTO[[#This Row],[CUENTA]],1,4)</f>
        <v>E-01</v>
      </c>
      <c r="C115" s="68" t="str">
        <f>INDEX(CATALOGO[Descripción],MATCH(PRESUPUESTO[[#This Row],[APLICACIÓN]]&amp;"-00-00-00",CATALOGO[Código],0))</f>
        <v>SERVICIOS PROFESIONALES</v>
      </c>
      <c r="D1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Honorarios Lic. Rita de Araujo $ 4,500.00 X12</v>
      </c>
      <c r="E115" t="s">
        <v>124</v>
      </c>
      <c r="F115" s="78">
        <v>54000</v>
      </c>
      <c r="S115" t="s">
        <v>3187</v>
      </c>
    </row>
    <row r="116" spans="1:19" hidden="1" x14ac:dyDescent="0.25">
      <c r="A116" t="s">
        <v>1249</v>
      </c>
      <c r="B116" s="68" t="str">
        <f>MID(PRESUPUESTO[[#This Row],[CUENTA]],1,4)</f>
        <v>E-01</v>
      </c>
      <c r="C116" s="68" t="str">
        <f>INDEX(CATALOGO[Descripción],MATCH(PRESUPUESTO[[#This Row],[APLICACIÓN]]&amp;"-00-00-00",CATALOGO[Código],0))</f>
        <v>SERVICIOS PROFESIONALES</v>
      </c>
      <c r="D1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Honorarios Sra. Lilian de Burgos $ 4500 x 12</v>
      </c>
      <c r="E116" t="s">
        <v>125</v>
      </c>
      <c r="F116" s="78">
        <v>54000</v>
      </c>
      <c r="S116" t="s">
        <v>3187</v>
      </c>
    </row>
    <row r="117" spans="1:19" hidden="1" x14ac:dyDescent="0.25">
      <c r="A117" t="s">
        <v>1483</v>
      </c>
      <c r="B117" s="68" t="str">
        <f>MID(PRESUPUESTO[[#This Row],[CUENTA]],1,4)</f>
        <v>E-12</v>
      </c>
      <c r="C117" s="68" t="str">
        <f>INDEX(CATALOGO[Descripción],MATCH(PRESUPUESTO[[#This Row],[APLICACIÓN]]&amp;"-00-00-00",CATALOGO[Código],0))</f>
        <v>PROYECCION SOCIAL</v>
      </c>
      <c r="D1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</v>
      </c>
      <c r="E117" t="s">
        <v>3394</v>
      </c>
      <c r="F117" s="78">
        <v>53950</v>
      </c>
      <c r="S117" t="s">
        <v>3187</v>
      </c>
    </row>
    <row r="118" spans="1:19" hidden="1" x14ac:dyDescent="0.25">
      <c r="A118" t="s">
        <v>1796</v>
      </c>
      <c r="B118" s="68" t="str">
        <f>MID(PRESUPUESTO[[#This Row],[CUENTA]],1,4)</f>
        <v>E-15</v>
      </c>
      <c r="C118" s="68" t="str">
        <f>INDEX(CATALOGO[Descripción],MATCH(PRESUPUESTO[[#This Row],[APLICACIÓN]]&amp;"-00-00-00",CATALOGO[Código],0))</f>
        <v>ALQUILERES</v>
      </c>
      <c r="D1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Despacho en Cumbres de Cuscatlán $ 4,294.00 x 12 (Armida Calderón)</v>
      </c>
      <c r="E118" t="s">
        <v>3559</v>
      </c>
      <c r="F118" s="78">
        <v>51540</v>
      </c>
      <c r="S118" t="s">
        <v>3187</v>
      </c>
    </row>
    <row r="119" spans="1:19" hidden="1" x14ac:dyDescent="0.25">
      <c r="A119" t="s">
        <v>1465</v>
      </c>
      <c r="B119" s="68" t="str">
        <f>MID(PRESUPUESTO[[#This Row],[CUENTA]],1,4)</f>
        <v>E-04</v>
      </c>
      <c r="C119" s="68" t="str">
        <f>INDEX(CATALOGO[Descripción],MATCH(PRESUPUESTO[[#This Row],[APLICACIÓN]]&amp;"-00-00-00",CATALOGO[Código],0))</f>
        <v>SUELDOS ACADÉMICOS</v>
      </c>
      <c r="D1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FACULTAD DE CIENCIAS JURIDICAS</v>
      </c>
      <c r="E119" t="s">
        <v>3312</v>
      </c>
      <c r="F119" s="78">
        <v>50700</v>
      </c>
      <c r="S119" t="s">
        <v>3187</v>
      </c>
    </row>
    <row r="120" spans="1:19" hidden="1" x14ac:dyDescent="0.25">
      <c r="A120" t="s">
        <v>1617</v>
      </c>
      <c r="B120" s="68" t="str">
        <f>MID(PRESUPUESTO[[#This Row],[CUENTA]],1,4)</f>
        <v>E-10</v>
      </c>
      <c r="C120" s="68" t="str">
        <f>INDEX(CATALOGO[Descripción],MATCH(PRESUPUESTO[[#This Row],[APLICACIÓN]]&amp;"-00-00-00",CATALOGO[Código],0))</f>
        <v>SERVICIOS PUBLICOS</v>
      </c>
      <c r="D1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TELEFÓNICO</v>
      </c>
      <c r="E120" t="s">
        <v>3379</v>
      </c>
      <c r="F120" s="78">
        <v>50000</v>
      </c>
      <c r="S120" t="s">
        <v>3187</v>
      </c>
    </row>
    <row r="121" spans="1:19" hidden="1" x14ac:dyDescent="0.25">
      <c r="A121" t="s">
        <v>1275</v>
      </c>
      <c r="B121" s="68" t="str">
        <f>MID(PRESUPUESTO[[#This Row],[CUENTA]],1,4)</f>
        <v>E-27</v>
      </c>
      <c r="C121" s="68" t="str">
        <f>INDEX(CATALOGO[Descripción],MATCH(PRESUPUESTO[[#This Row],[APLICACIÓN]]&amp;"-00-00-00",CATALOGO[Código],0))</f>
        <v>INSUMOS DE OFICINA</v>
      </c>
      <c r="D1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</v>
      </c>
      <c r="E121" t="s">
        <v>3976</v>
      </c>
      <c r="F121" s="78">
        <v>49200</v>
      </c>
      <c r="S121" t="s">
        <v>3187</v>
      </c>
    </row>
    <row r="122" spans="1:19" x14ac:dyDescent="0.25">
      <c r="A122" t="s">
        <v>3238</v>
      </c>
      <c r="B122" s="68" t="str">
        <f>MID(PRESUPUESTO[[#This Row],[CUENTA]],1,4)</f>
        <v>I-05</v>
      </c>
      <c r="C122" s="68" t="str">
        <f>INDEX(CATALOGO[Descripción],MATCH(PRESUPUESTO[[#This Row],[APLICACIÓN]]&amp;"-00-00-00",CATALOGO[Código],0))</f>
        <v xml:space="preserve">MAESTRIAS, POSTGRADOS </v>
      </c>
      <c r="D1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122" t="s">
        <v>3187</v>
      </c>
      <c r="F122" s="78">
        <v>24479</v>
      </c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</row>
    <row r="123" spans="1:19" hidden="1" x14ac:dyDescent="0.25">
      <c r="A123" t="s">
        <v>1488</v>
      </c>
      <c r="B123" s="68" t="str">
        <f>MID(PRESUPUESTO[[#This Row],[CUENTA]],1,4)</f>
        <v>E-04</v>
      </c>
      <c r="C123" s="68" t="str">
        <f>INDEX(CATALOGO[Descripción],MATCH(PRESUPUESTO[[#This Row],[APLICACIÓN]]&amp;"-00-00-00",CATALOGO[Código],0))</f>
        <v>SUELDOS ACADÉMICOS</v>
      </c>
      <c r="D1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RELACIONES INTERNACIONALES</v>
      </c>
      <c r="E123" t="s">
        <v>3318</v>
      </c>
      <c r="F123" s="78">
        <v>48100</v>
      </c>
      <c r="S123" t="s">
        <v>3187</v>
      </c>
    </row>
    <row r="124" spans="1:19" x14ac:dyDescent="0.25">
      <c r="A124" t="s">
        <v>3245</v>
      </c>
      <c r="B124" s="68" t="str">
        <f>MID(PRESUPUESTO[[#This Row],[CUENTA]],1,4)</f>
        <v>I-05</v>
      </c>
      <c r="C124" s="68" t="str">
        <f>INDEX(CATALOGO[Descripción],MATCH(PRESUPUESTO[[#This Row],[APLICACIÓN]]&amp;"-00-00-00",CATALOGO[Código],0))</f>
        <v xml:space="preserve">MAESTRIAS, POSTGRADOS </v>
      </c>
      <c r="D1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24" t="s">
        <v>3187</v>
      </c>
      <c r="F124" s="78">
        <v>21420</v>
      </c>
      <c r="S124" t="s">
        <v>3187</v>
      </c>
    </row>
    <row r="125" spans="1:19" x14ac:dyDescent="0.25">
      <c r="A125" t="s">
        <v>3236</v>
      </c>
      <c r="B125" s="68" t="str">
        <f>MID(PRESUPUESTO[[#This Row],[CUENTA]],1,4)</f>
        <v>I-05</v>
      </c>
      <c r="C125" s="68" t="str">
        <f>INDEX(CATALOGO[Descripción],MATCH(PRESUPUESTO[[#This Row],[APLICACIÓN]]&amp;"-00-00-00",CATALOGO[Código],0))</f>
        <v xml:space="preserve">MAESTRIAS, POSTGRADOS </v>
      </c>
      <c r="D1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25" t="s">
        <v>3187</v>
      </c>
      <c r="F125" s="78">
        <v>16896</v>
      </c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</row>
    <row r="126" spans="1:19" x14ac:dyDescent="0.25">
      <c r="A126" t="s">
        <v>3260</v>
      </c>
      <c r="B126" s="68" t="str">
        <f>MID(PRESUPUESTO[[#This Row],[CUENTA]],1,4)</f>
        <v>I-05</v>
      </c>
      <c r="C126" s="68" t="str">
        <f>INDEX(CATALOGO[Descripción],MATCH(PRESUPUESTO[[#This Row],[APLICACIÓN]]&amp;"-00-00-00",CATALOGO[Código],0))</f>
        <v xml:space="preserve">MAESTRIAS, POSTGRADOS </v>
      </c>
      <c r="D1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26" t="s">
        <v>3187</v>
      </c>
      <c r="F126" s="78">
        <v>14280</v>
      </c>
      <c r="S126" t="s">
        <v>3187</v>
      </c>
    </row>
    <row r="127" spans="1:19" hidden="1" x14ac:dyDescent="0.25">
      <c r="A127" t="s">
        <v>1436</v>
      </c>
      <c r="B127" s="68" t="str">
        <f>MID(PRESUPUESTO[[#This Row],[CUENTA]],1,4)</f>
        <v>E-28</v>
      </c>
      <c r="C127" s="68" t="str">
        <f>INDEX(CATALOGO[Descripción],MATCH(PRESUPUESTO[[#This Row],[APLICACIÓN]]&amp;"-00-00-00",CATALOGO[Código],0))</f>
        <v>INSTITUTO DE GRADUADOS</v>
      </c>
      <c r="D1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</v>
      </c>
      <c r="E127" t="s">
        <v>3977</v>
      </c>
      <c r="F127" s="78">
        <v>46150</v>
      </c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</row>
    <row r="128" spans="1:19" hidden="1" x14ac:dyDescent="0.25">
      <c r="A128" t="s">
        <v>1199</v>
      </c>
      <c r="B128" s="68" t="str">
        <f>MID(PRESUPUESTO[[#This Row],[CUENTA]],1,4)</f>
        <v>E-13</v>
      </c>
      <c r="C128" s="68" t="str">
        <f>INDEX(CATALOGO[Descripción],MATCH(PRESUPUESTO[[#This Row],[APLICACIÓN]]&amp;"-00-00-00",CATALOGO[Código],0))</f>
        <v>MAESTRIAS Y POSTGRADOS</v>
      </c>
      <c r="D1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DE LIMPIEZA Y JARDINERIA</v>
      </c>
      <c r="E128" t="s">
        <v>3470</v>
      </c>
      <c r="F128" s="78">
        <v>44616</v>
      </c>
      <c r="S128" t="s">
        <v>3187</v>
      </c>
    </row>
    <row r="129" spans="1:19" hidden="1" x14ac:dyDescent="0.25">
      <c r="A129" t="s">
        <v>1055</v>
      </c>
      <c r="B129" s="68" t="str">
        <f>MID(PRESUPUESTO[[#This Row],[CUENTA]],1,4)</f>
        <v>E-07</v>
      </c>
      <c r="C129" s="68" t="str">
        <f>INDEX(CATALOGO[Descripción],MATCH(PRESUPUESTO[[#This Row],[APLICACIÓN]]&amp;"-00-00-00",CATALOGO[Código],0))</f>
        <v>SERVICIOS TECNOLOGICOS</v>
      </c>
      <c r="D1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Enlace ComercialDigicel   Internet Alumnos $ 3,560.00 x 12 </v>
      </c>
      <c r="E129" t="s">
        <v>176</v>
      </c>
      <c r="F129" s="78">
        <v>42700</v>
      </c>
    </row>
    <row r="130" spans="1:19" x14ac:dyDescent="0.25">
      <c r="A130" t="s">
        <v>3240</v>
      </c>
      <c r="B130" s="68" t="str">
        <f>MID(PRESUPUESTO[[#This Row],[CUENTA]],1,4)</f>
        <v>I-05</v>
      </c>
      <c r="C130" s="68" t="str">
        <f>INDEX(CATALOGO[Descripción],MATCH(PRESUPUESTO[[#This Row],[APLICACIÓN]]&amp;"-00-00-00",CATALOGO[Código],0))</f>
        <v xml:space="preserve">MAESTRIAS, POSTGRADOS </v>
      </c>
      <c r="D1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30" t="s">
        <v>3187</v>
      </c>
      <c r="F130" s="78">
        <v>10710</v>
      </c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</row>
    <row r="131" spans="1:19" hidden="1" x14ac:dyDescent="0.25">
      <c r="A131" t="s">
        <v>3329</v>
      </c>
      <c r="B131" s="68" t="str">
        <f>MID(PRESUPUESTO[[#This Row],[CUENTA]],1,4)</f>
        <v>E-07</v>
      </c>
      <c r="C131" s="68" t="str">
        <f>INDEX(CATALOGO[Descripción],MATCH(PRESUPUESTO[[#This Row],[APLICACIÓN]]&amp;"-00-00-00",CATALOGO[Código],0))</f>
        <v>SERVICIOS TECNOLOGICOS</v>
      </c>
      <c r="D1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Suscripcion Adobe STB  y laboratorio sala de redaccion, incluye tambien CCEE Turismo. CCSS Idiomas y Lab Radio , Dirección Comunicaciones- certificaciones Microsoft FICA GBM- Licencias Nvivo pro Investigaciones. Se incluye lab. Sala de redacción 65 PC,  MICROSOFT AZURE OFFICE 365 </v>
      </c>
      <c r="F131" s="78">
        <v>40000</v>
      </c>
    </row>
    <row r="132" spans="1:19" hidden="1" x14ac:dyDescent="0.25">
      <c r="A132" t="s">
        <v>1327</v>
      </c>
      <c r="B132" s="68" t="str">
        <f>MID(PRESUPUESTO[[#This Row],[CUENTA]],1,4)</f>
        <v>E-10</v>
      </c>
      <c r="C132" s="68" t="str">
        <f>INDEX(CATALOGO[Descripción],MATCH(PRESUPUESTO[[#This Row],[APLICACIÓN]]&amp;"-00-00-00",CATALOGO[Código],0))</f>
        <v>SERVICIOS PUBLICOS</v>
      </c>
      <c r="D1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 PLANTA TELEFÓNICA </v>
      </c>
      <c r="E132" t="s">
        <v>3382</v>
      </c>
      <c r="F132" s="78">
        <v>40000</v>
      </c>
      <c r="S132" t="s">
        <v>3187</v>
      </c>
    </row>
    <row r="133" spans="1:19" hidden="1" x14ac:dyDescent="0.25">
      <c r="A133" t="s">
        <v>1047</v>
      </c>
      <c r="B133" s="68" t="str">
        <f>MID(PRESUPUESTO[[#This Row],[CUENTA]],1,4)</f>
        <v>E-19</v>
      </c>
      <c r="C133" s="68" t="str">
        <f>INDEX(CATALOGO[Descripción],MATCH(PRESUPUESTO[[#This Row],[APLICACIÓN]]&amp;"-00-00-00",CATALOGO[Código],0))</f>
        <v>MANTENIMIENTO</v>
      </c>
      <c r="D1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Casos eventuales- mantenimiento imprevistos</v>
      </c>
      <c r="E133" t="s">
        <v>3677</v>
      </c>
      <c r="F133" s="78">
        <v>40000</v>
      </c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9" hidden="1" x14ac:dyDescent="0.25">
      <c r="A134" t="s">
        <v>1235</v>
      </c>
      <c r="B134" s="68" t="str">
        <f>MID(PRESUPUESTO[[#This Row],[CUENTA]],1,4)</f>
        <v>E-14</v>
      </c>
      <c r="C134" s="68" t="str">
        <f>INDEX(CATALOGO[Descripción],MATCH(PRESUPUESTO[[#This Row],[APLICACIÓN]]&amp;"-00-00-00",CATALOGO[Código],0))</f>
        <v>MATERIAL DIDÁCTICO</v>
      </c>
      <c r="D1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PAPELERIA Y UTILES - FACULTAD DE CIENCIAS EMPRESARIALES  </v>
      </c>
      <c r="E134" t="s">
        <v>3550</v>
      </c>
      <c r="F134" s="78">
        <v>39600</v>
      </c>
      <c r="S134" t="s">
        <v>3187</v>
      </c>
    </row>
    <row r="135" spans="1:19" hidden="1" x14ac:dyDescent="0.25">
      <c r="A135" t="s">
        <v>3369</v>
      </c>
      <c r="B135" s="68" t="str">
        <f>MID(PRESUPUESTO[[#This Row],[CUENTA]],1,4)</f>
        <v>E-08</v>
      </c>
      <c r="C135" s="68" t="str">
        <f>INDEX(CATALOGO[Descripción],MATCH(PRESUPUESTO[[#This Row],[APLICACIÓN]]&amp;"-00-00-00",CATALOGO[Código],0))</f>
        <v>INVERSIONES Y PROYECTOS ESPECIALES</v>
      </c>
      <c r="D1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Renovación del aire acondicionado y equipo anti incendio del Data Center</v>
      </c>
      <c r="E135" t="s">
        <v>222</v>
      </c>
      <c r="F135" s="78">
        <v>39300</v>
      </c>
    </row>
    <row r="136" spans="1:19" hidden="1" x14ac:dyDescent="0.25">
      <c r="A136" t="s">
        <v>3847</v>
      </c>
      <c r="B136" s="68" t="str">
        <f>MID(PRESUPUESTO[[#This Row],[CUENTA]],1,4)</f>
        <v>E-24</v>
      </c>
      <c r="C136" s="68" t="str">
        <f>INDEX(CATALOGO[Descripción],MATCH(PRESUPUESTO[[#This Row],[APLICACIÓN]]&amp;"-00-00-00",CATALOGO[Código],0))</f>
        <v>NUEVO INGRESO</v>
      </c>
      <c r="D1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Centro de soluciones - Sueldos del personal fijo y eventuales</v>
      </c>
      <c r="E136" t="s">
        <v>3848</v>
      </c>
      <c r="F136" s="78">
        <v>39000</v>
      </c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9" x14ac:dyDescent="0.25">
      <c r="A137" t="s">
        <v>3226</v>
      </c>
      <c r="B137" s="68" t="str">
        <f>MID(PRESUPUESTO[[#This Row],[CUENTA]],1,4)</f>
        <v>I-05</v>
      </c>
      <c r="C137" s="68" t="str">
        <f>INDEX(CATALOGO[Descripción],MATCH(PRESUPUESTO[[#This Row],[APLICACIÓN]]&amp;"-00-00-00",CATALOGO[Código],0))</f>
        <v xml:space="preserve">MAESTRIAS, POSTGRADOS </v>
      </c>
      <c r="D1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37" t="s">
        <v>3187</v>
      </c>
      <c r="F137" s="78">
        <v>9120</v>
      </c>
      <c r="S137" t="s">
        <v>3187</v>
      </c>
    </row>
    <row r="138" spans="1:19" hidden="1" x14ac:dyDescent="0.25">
      <c r="A138" t="s">
        <v>1214</v>
      </c>
      <c r="B138" s="68" t="str">
        <f>MID(PRESUPUESTO[[#This Row],[CUENTA]],1,4)</f>
        <v>E-19</v>
      </c>
      <c r="C138" s="68" t="str">
        <f>INDEX(CATALOGO[Descripción],MATCH(PRESUPUESTO[[#This Row],[APLICACIÓN]]&amp;"-00-00-00",CATALOGO[Código],0))</f>
        <v>MANTENIMIENTO</v>
      </c>
      <c r="D1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en talleres (Vehiculos)</v>
      </c>
      <c r="E138" t="s">
        <v>3682</v>
      </c>
      <c r="F138" s="78">
        <v>38000</v>
      </c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9" x14ac:dyDescent="0.25">
      <c r="A139" t="s">
        <v>3261</v>
      </c>
      <c r="B139" s="68" t="str">
        <f>MID(PRESUPUESTO[[#This Row],[CUENTA]],1,4)</f>
        <v>I-05</v>
      </c>
      <c r="C139" s="68" t="str">
        <f>INDEX(CATALOGO[Descripción],MATCH(PRESUPUESTO[[#This Row],[APLICACIÓN]]&amp;"-00-00-00",CATALOGO[Código],0))</f>
        <v xml:space="preserve">MAESTRIAS, POSTGRADOS </v>
      </c>
      <c r="D1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39" t="s">
        <v>3187</v>
      </c>
      <c r="F139" s="78">
        <v>9120</v>
      </c>
      <c r="S139" t="s">
        <v>3187</v>
      </c>
    </row>
    <row r="140" spans="1:19" hidden="1" x14ac:dyDescent="0.25">
      <c r="A140" t="s">
        <v>1171</v>
      </c>
      <c r="B140" s="68" t="str">
        <f>MID(PRESUPUESTO[[#This Row],[CUENTA]],1,4)</f>
        <v>E-24</v>
      </c>
      <c r="C140" s="68" t="str">
        <f>INDEX(CATALOGO[Descripción],MATCH(PRESUPUESTO[[#This Row],[APLICACIÓN]]&amp;"-00-00-00",CATALOGO[Código],0))</f>
        <v>NUEVO INGRESO</v>
      </c>
      <c r="D1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Metrocentro - Alquiler de Local $ 3108*12 </v>
      </c>
      <c r="E140" t="s">
        <v>3836</v>
      </c>
      <c r="F140" s="78">
        <v>37297</v>
      </c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9" hidden="1" x14ac:dyDescent="0.25">
      <c r="A141" t="s">
        <v>2374</v>
      </c>
      <c r="B141" s="68" t="str">
        <f>MID(PRESUPUESTO[[#This Row],[CUENTA]],1,4)</f>
        <v>E-01</v>
      </c>
      <c r="C141" s="68" t="str">
        <f>INDEX(CATALOGO[Descripción],MATCH(PRESUPUESTO[[#This Row],[APLICACIÓN]]&amp;"-00-00-00",CATALOGO[Código],0))</f>
        <v>SERVICIOS PROFESIONALES</v>
      </c>
      <c r="D1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profesionales Lic. G de Duque</v>
      </c>
      <c r="E141" t="s">
        <v>122</v>
      </c>
      <c r="F141" s="78">
        <v>36000</v>
      </c>
      <c r="S141" t="s">
        <v>3187</v>
      </c>
    </row>
    <row r="142" spans="1:19" hidden="1" x14ac:dyDescent="0.25">
      <c r="A142" t="s">
        <v>3826</v>
      </c>
      <c r="B142" s="68" t="str">
        <f>MID(PRESUPUESTO[[#This Row],[CUENTA]],1,4)</f>
        <v>E-24</v>
      </c>
      <c r="C142" s="68" t="str">
        <f>INDEX(CATALOGO[Descripción],MATCH(PRESUPUESTO[[#This Row],[APLICACIÓN]]&amp;"-00-00-00",CATALOGO[Código],0))</f>
        <v>NUEVO INGRESO</v>
      </c>
      <c r="D1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-Personal 3  Giovanni, Sergio, Elber</v>
      </c>
      <c r="E142" t="s">
        <v>3827</v>
      </c>
      <c r="F142" s="78">
        <v>35880</v>
      </c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9" hidden="1" x14ac:dyDescent="0.25">
      <c r="A143" t="s">
        <v>1595</v>
      </c>
      <c r="B143" s="68" t="str">
        <f>MID(PRESUPUESTO[[#This Row],[CUENTA]],1,4)</f>
        <v>E-07</v>
      </c>
      <c r="C143" s="68" t="str">
        <f>INDEX(CATALOGO[Descripción],MATCH(PRESUPUESTO[[#This Row],[APLICACIÓN]]&amp;"-00-00-00",CATALOGO[Código],0))</f>
        <v>SERVICIOS TECNOLOGICOS</v>
      </c>
      <c r="D1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Licencias Firewall Palo alto </v>
      </c>
      <c r="E143" t="s">
        <v>191</v>
      </c>
      <c r="F143" s="78">
        <v>35475</v>
      </c>
    </row>
    <row r="144" spans="1:19" hidden="1" x14ac:dyDescent="0.25">
      <c r="A144" t="s">
        <v>1159</v>
      </c>
      <c r="B144" s="68" t="str">
        <f>MID(PRESUPUESTO[[#This Row],[CUENTA]],1,4)</f>
        <v>E-24</v>
      </c>
      <c r="C144" s="68" t="str">
        <f>INDEX(CATALOGO[Descripción],MATCH(PRESUPUESTO[[#This Row],[APLICACIÓN]]&amp;"-00-00-00",CATALOGO[Código],0))</f>
        <v>NUEVO INGRESO</v>
      </c>
      <c r="D1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Renta de local $ 2,917.85 DEICE</v>
      </c>
      <c r="E144" t="s">
        <v>3855</v>
      </c>
      <c r="F144" s="78">
        <v>35014</v>
      </c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9" hidden="1" x14ac:dyDescent="0.25">
      <c r="A145" t="s">
        <v>1357</v>
      </c>
      <c r="B145" s="68" t="str">
        <f>MID(PRESUPUESTO[[#This Row],[CUENTA]],1,4)</f>
        <v>E-19</v>
      </c>
      <c r="C145" s="68" t="str">
        <f>INDEX(CATALOGO[Descripción],MATCH(PRESUPUESTO[[#This Row],[APLICACIÓN]]&amp;"-00-00-00",CATALOGO[Código],0))</f>
        <v>MANTENIMIENTO</v>
      </c>
      <c r="D1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Mantenimiento Pintura </v>
      </c>
      <c r="E145" t="s">
        <v>3674</v>
      </c>
      <c r="F145" s="78">
        <v>35000</v>
      </c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9" hidden="1" x14ac:dyDescent="0.25">
      <c r="A146" t="s">
        <v>1115</v>
      </c>
      <c r="B146" s="68" t="str">
        <f>MID(PRESUPUESTO[[#This Row],[CUENTA]],1,4)</f>
        <v>E-24</v>
      </c>
      <c r="C146" s="68" t="str">
        <f>INDEX(CATALOGO[Descripción],MATCH(PRESUPUESTO[[#This Row],[APLICACIÓN]]&amp;"-00-00-00",CATALOGO[Código],0))</f>
        <v>NUEVO INGRESO</v>
      </c>
      <c r="D1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Fotocopiadoras totales  $ 2,900.00 x 12</v>
      </c>
      <c r="E146" t="s">
        <v>709</v>
      </c>
      <c r="F146" s="78">
        <v>34800</v>
      </c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9" hidden="1" x14ac:dyDescent="0.25">
      <c r="A147" t="s">
        <v>1479</v>
      </c>
      <c r="B147" s="68" t="str">
        <f>MID(PRESUPUESTO[[#This Row],[CUENTA]],1,4)</f>
        <v>E-03</v>
      </c>
      <c r="C147" s="68" t="str">
        <f>INDEX(CATALOGO[Descripción],MATCH(PRESUPUESTO[[#This Row],[APLICACIÓN]]&amp;"-00-00-00",CATALOGO[Código],0))</f>
        <v>SUELDOS ADMINISTRATIVOS</v>
      </c>
      <c r="D1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SUELDOS Y SALARIOS CLINICA EMPRESARIAL</v>
      </c>
      <c r="E147" t="s">
        <v>3306</v>
      </c>
      <c r="F147" s="78">
        <v>34000</v>
      </c>
      <c r="S147" t="s">
        <v>3187</v>
      </c>
    </row>
    <row r="148" spans="1:19" hidden="1" x14ac:dyDescent="0.25">
      <c r="A148" t="s">
        <v>3289</v>
      </c>
      <c r="B148" s="68" t="str">
        <f>MID(PRESUPUESTO[[#This Row],[CUENTA]],1,4)</f>
        <v>E-01</v>
      </c>
      <c r="C148" s="68" t="str">
        <f>INDEX(CATALOGO[Descripción],MATCH(PRESUPUESTO[[#This Row],[APLICACIÓN]]&amp;"-00-00-00",CATALOGO[Código],0))</f>
        <v>SERVICIOS PROFESIONALES</v>
      </c>
      <c r="D1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Profesionales Great Place to Work</v>
      </c>
      <c r="E148" t="s">
        <v>120</v>
      </c>
      <c r="F148" s="78">
        <v>33280</v>
      </c>
      <c r="S148" t="s">
        <v>3187</v>
      </c>
    </row>
    <row r="149" spans="1:19" x14ac:dyDescent="0.25">
      <c r="A149" t="s">
        <v>3258</v>
      </c>
      <c r="B149" s="68" t="str">
        <f>MID(PRESUPUESTO[[#This Row],[CUENTA]],1,4)</f>
        <v>I-05</v>
      </c>
      <c r="C149" s="68" t="str">
        <f>INDEX(CATALOGO[Descripción],MATCH(PRESUPUESTO[[#This Row],[APLICACIÓN]]&amp;"-00-00-00",CATALOGO[Código],0))</f>
        <v xml:space="preserve">MAESTRIAS, POSTGRADOS </v>
      </c>
      <c r="D1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149" t="s">
        <v>3187</v>
      </c>
      <c r="F149" s="78">
        <v>8107</v>
      </c>
      <c r="S149" t="s">
        <v>3187</v>
      </c>
    </row>
    <row r="150" spans="1:19" hidden="1" x14ac:dyDescent="0.25">
      <c r="A150" t="s">
        <v>1559</v>
      </c>
      <c r="B150" s="68" t="str">
        <f>MID(PRESUPUESTO[[#This Row],[CUENTA]],1,4)</f>
        <v>E-19</v>
      </c>
      <c r="C150" s="68" t="str">
        <f>INDEX(CATALOGO[Descripción],MATCH(PRESUPUESTO[[#This Row],[APLICACIÓN]]&amp;"-00-00-00",CATALOGO[Código],0))</f>
        <v>MANTENIMIENTO</v>
      </c>
      <c r="D1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Contrato de Mantenimiento Aires Acondicionados </v>
      </c>
      <c r="E150" t="s">
        <v>3658</v>
      </c>
      <c r="F150" s="78">
        <v>32604</v>
      </c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9" x14ac:dyDescent="0.25">
      <c r="A151" t="s">
        <v>3276</v>
      </c>
      <c r="B151" s="68" t="str">
        <f>MID(PRESUPUESTO[[#This Row],[CUENTA]],1,4)</f>
        <v>I-05</v>
      </c>
      <c r="C151" s="68" t="str">
        <f>INDEX(CATALOGO[Descripción],MATCH(PRESUPUESTO[[#This Row],[APLICACIÓN]]&amp;"-00-00-00",CATALOGO[Código],0))</f>
        <v xml:space="preserve">MAESTRIAS, POSTGRADOS </v>
      </c>
      <c r="D1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PARQUEOS</v>
      </c>
      <c r="E151" t="s">
        <v>3187</v>
      </c>
      <c r="F151" s="78">
        <v>7000</v>
      </c>
      <c r="S151" t="s">
        <v>3187</v>
      </c>
    </row>
    <row r="152" spans="1:19" x14ac:dyDescent="0.25">
      <c r="A152" t="s">
        <v>3266</v>
      </c>
      <c r="B152" s="68" t="str">
        <f>MID(PRESUPUESTO[[#This Row],[CUENTA]],1,4)</f>
        <v>I-05</v>
      </c>
      <c r="C152" s="68" t="str">
        <f>INDEX(CATALOGO[Descripción],MATCH(PRESUPUESTO[[#This Row],[APLICACIÓN]]&amp;"-00-00-00",CATALOGO[Código],0))</f>
        <v xml:space="preserve">MAESTRIAS, POSTGRADOS </v>
      </c>
      <c r="D1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52" t="s">
        <v>3187</v>
      </c>
      <c r="F152" s="78">
        <v>6480</v>
      </c>
      <c r="S152" t="s">
        <v>3187</v>
      </c>
    </row>
    <row r="153" spans="1:19" x14ac:dyDescent="0.25">
      <c r="A153" t="s">
        <v>3241</v>
      </c>
      <c r="B153" s="68" t="str">
        <f>MID(PRESUPUESTO[[#This Row],[CUENTA]],1,4)</f>
        <v>I-05</v>
      </c>
      <c r="C153" s="68" t="str">
        <f>INDEX(CATALOGO[Descripción],MATCH(PRESUPUESTO[[#This Row],[APLICACIÓN]]&amp;"-00-00-00",CATALOGO[Código],0))</f>
        <v xml:space="preserve">MAESTRIAS, POSTGRADOS </v>
      </c>
      <c r="D1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53" t="s">
        <v>3187</v>
      </c>
      <c r="F153" s="78">
        <v>5520</v>
      </c>
      <c r="S153" t="s">
        <v>3187</v>
      </c>
    </row>
    <row r="154" spans="1:19" hidden="1" x14ac:dyDescent="0.25">
      <c r="A154" t="s">
        <v>1403</v>
      </c>
      <c r="B154" s="68" t="str">
        <f>MID(PRESUPUESTO[[#This Row],[CUENTA]],1,4)</f>
        <v>E-20</v>
      </c>
      <c r="C154" s="68" t="str">
        <f>INDEX(CATALOGO[Descripción],MATCH(PRESUPUESTO[[#This Row],[APLICACIÓN]]&amp;"-00-00-00",CATALOGO[Código],0))</f>
        <v>SEGUROS</v>
      </c>
      <c r="D1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 VehÍculos ACSA 8 cuotas</v>
      </c>
      <c r="E154" t="s">
        <v>585</v>
      </c>
      <c r="F154" s="78">
        <v>31368</v>
      </c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9" hidden="1" x14ac:dyDescent="0.25">
      <c r="A155" t="s">
        <v>1592</v>
      </c>
      <c r="B155" s="68" t="str">
        <f>MID(PRESUPUESTO[[#This Row],[CUENTA]],1,4)</f>
        <v>E-13</v>
      </c>
      <c r="C155" s="68" t="str">
        <f>INDEX(CATALOGO[Descripción],MATCH(PRESUPUESTO[[#This Row],[APLICACIÓN]]&amp;"-00-00-00",CATALOGO[Código],0))</f>
        <v>MAESTRIAS Y POSTGRADOS</v>
      </c>
      <c r="D1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DE INTERNET COLUMBUS</v>
      </c>
      <c r="E155" t="s">
        <v>3471</v>
      </c>
      <c r="F155" s="78">
        <v>30917</v>
      </c>
      <c r="S155" t="s">
        <v>3187</v>
      </c>
    </row>
    <row r="156" spans="1:19" hidden="1" x14ac:dyDescent="0.25">
      <c r="A156" t="s">
        <v>1485</v>
      </c>
      <c r="B156" s="68" t="str">
        <f>MID(PRESUPUESTO[[#This Row],[CUENTA]],1,4)</f>
        <v>E-16</v>
      </c>
      <c r="C156" s="68" t="str">
        <f>INDEX(CATALOGO[Descripción],MATCH(PRESUPUESTO[[#This Row],[APLICACIÓN]]&amp;"-00-00-00",CATALOGO[Código],0))</f>
        <v xml:space="preserve">PRE-ESPECIALIDAD </v>
      </c>
      <c r="D1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SUELDOS Y SALARIOS </v>
      </c>
      <c r="E156" t="s">
        <v>3561</v>
      </c>
      <c r="F156" s="78">
        <v>30550</v>
      </c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</row>
    <row r="157" spans="1:19" hidden="1" x14ac:dyDescent="0.25">
      <c r="A157" t="s">
        <v>3380</v>
      </c>
      <c r="B157" s="68" t="str">
        <f>MID(PRESUPUESTO[[#This Row],[CUENTA]],1,4)</f>
        <v>E-10</v>
      </c>
      <c r="C157" s="68" t="str">
        <f>INDEX(CATALOGO[Descripción],MATCH(PRESUPUESTO[[#This Row],[APLICACIÓN]]&amp;"-00-00-00",CATALOGO[Código],0))</f>
        <v>SERVICIOS PUBLICOS</v>
      </c>
      <c r="D1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IMPUESTO VALOR AGREGADO - IVA</v>
      </c>
      <c r="E157" t="s">
        <v>3381</v>
      </c>
      <c r="F157" s="78">
        <v>30000</v>
      </c>
      <c r="S157" t="s">
        <v>3187</v>
      </c>
    </row>
    <row r="158" spans="1:19" hidden="1" x14ac:dyDescent="0.25">
      <c r="A158" t="s">
        <v>1095</v>
      </c>
      <c r="B158" s="68" t="str">
        <f>MID(PRESUPUESTO[[#This Row],[CUENTA]],1,4)</f>
        <v>E-13</v>
      </c>
      <c r="C158" s="68" t="str">
        <f>INDEX(CATALOGO[Descripción],MATCH(PRESUPUESTO[[#This Row],[APLICACIÓN]]&amp;"-00-00-00",CATALOGO[Código],0))</f>
        <v>MAESTRIAS Y POSTGRADOS</v>
      </c>
      <c r="D1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158" t="s">
        <v>3479</v>
      </c>
      <c r="F158" s="78">
        <v>28896</v>
      </c>
      <c r="S158" t="s">
        <v>3187</v>
      </c>
    </row>
    <row r="159" spans="1:19" hidden="1" x14ac:dyDescent="0.25">
      <c r="A159" t="s">
        <v>1234</v>
      </c>
      <c r="B159" s="68" t="str">
        <f>MID(PRESUPUESTO[[#This Row],[CUENTA]],1,4)</f>
        <v>E-13</v>
      </c>
      <c r="C159" s="68" t="str">
        <f>INDEX(CATALOGO[Descripción],MATCH(PRESUPUESTO[[#This Row],[APLICACIÓN]]&amp;"-00-00-00",CATALOGO[Código],0))</f>
        <v>MAESTRIAS Y POSTGRADOS</v>
      </c>
      <c r="D1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Impresiones$ 2400.00 X 12</v>
      </c>
      <c r="E159" t="s">
        <v>349</v>
      </c>
      <c r="F159" s="78">
        <v>28800</v>
      </c>
      <c r="S159" t="s">
        <v>3187</v>
      </c>
    </row>
    <row r="160" spans="1:19" hidden="1" x14ac:dyDescent="0.25">
      <c r="A160" t="s">
        <v>1552</v>
      </c>
      <c r="B160" s="68" t="str">
        <f>MID(PRESUPUESTO[[#This Row],[CUENTA]],1,4)</f>
        <v>E-11</v>
      </c>
      <c r="C160" s="68" t="str">
        <f>INDEX(CATALOGO[Descripción],MATCH(PRESUPUESTO[[#This Row],[APLICACIÓN]]&amp;"-00-00-00",CATALOGO[Código],0))</f>
        <v>INVESTIGACIONES</v>
      </c>
      <c r="D1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de investigación</v>
      </c>
      <c r="E160" t="s">
        <v>3387</v>
      </c>
      <c r="F160" s="78">
        <v>28743</v>
      </c>
      <c r="S160" t="s">
        <v>3187</v>
      </c>
    </row>
    <row r="161" spans="1:19" x14ac:dyDescent="0.25">
      <c r="A161" t="s">
        <v>3221</v>
      </c>
      <c r="B161" s="68" t="str">
        <f>MID(PRESUPUESTO[[#This Row],[CUENTA]],1,4)</f>
        <v>I-05</v>
      </c>
      <c r="C161" s="68" t="str">
        <f>INDEX(CATALOGO[Descripción],MATCH(PRESUPUESTO[[#This Row],[APLICACIÓN]]&amp;"-00-00-00",CATALOGO[Código],0))</f>
        <v xml:space="preserve">MAESTRIAS, POSTGRADOS </v>
      </c>
      <c r="D1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61" t="s">
        <v>3187</v>
      </c>
      <c r="F161" s="78">
        <v>5016</v>
      </c>
      <c r="S161" t="s">
        <v>3187</v>
      </c>
    </row>
    <row r="162" spans="1:19" x14ac:dyDescent="0.25">
      <c r="A162" t="s">
        <v>3231</v>
      </c>
      <c r="B162" s="68" t="str">
        <f>MID(PRESUPUESTO[[#This Row],[CUENTA]],1,4)</f>
        <v>I-05</v>
      </c>
      <c r="C162" s="68" t="str">
        <f>INDEX(CATALOGO[Descripción],MATCH(PRESUPUESTO[[#This Row],[APLICACIÓN]]&amp;"-00-00-00",CATALOGO[Código],0))</f>
        <v xml:space="preserve">MAESTRIAS, POSTGRADOS </v>
      </c>
      <c r="D1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62" t="s">
        <v>3187</v>
      </c>
      <c r="F162" s="78">
        <v>5016</v>
      </c>
      <c r="S162" t="s">
        <v>3187</v>
      </c>
    </row>
    <row r="163" spans="1:19" x14ac:dyDescent="0.25">
      <c r="A163" t="s">
        <v>3246</v>
      </c>
      <c r="B163" s="68" t="str">
        <f>MID(PRESUPUESTO[[#This Row],[CUENTA]],1,4)</f>
        <v>I-05</v>
      </c>
      <c r="C163" s="68" t="str">
        <f>INDEX(CATALOGO[Descripción],MATCH(PRESUPUESTO[[#This Row],[APLICACIÓN]]&amp;"-00-00-00",CATALOGO[Código],0))</f>
        <v xml:space="preserve">MAESTRIAS, POSTGRADOS </v>
      </c>
      <c r="D1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MATRÍCULAS</v>
      </c>
      <c r="E163" t="s">
        <v>3187</v>
      </c>
      <c r="F163" s="78">
        <v>5016</v>
      </c>
      <c r="S163" t="s">
        <v>3187</v>
      </c>
    </row>
    <row r="164" spans="1:19" x14ac:dyDescent="0.25">
      <c r="A164" t="s">
        <v>3275</v>
      </c>
      <c r="B164" s="68" t="str">
        <f>MID(PRESUPUESTO[[#This Row],[CUENTA]],1,4)</f>
        <v>I-05</v>
      </c>
      <c r="C164" s="68" t="str">
        <f>INDEX(CATALOGO[Descripción],MATCH(PRESUPUESTO[[#This Row],[APLICACIÓN]]&amp;"-00-00-00",CATALOGO[Código],0))</f>
        <v xml:space="preserve">MAESTRIAS, POSTGRADOS </v>
      </c>
      <c r="D1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64" t="s">
        <v>3187</v>
      </c>
      <c r="F164" s="78">
        <v>4960</v>
      </c>
      <c r="S164" t="s">
        <v>3187</v>
      </c>
    </row>
    <row r="165" spans="1:19" hidden="1" x14ac:dyDescent="0.25">
      <c r="A165" t="s">
        <v>1472</v>
      </c>
      <c r="B165" s="68" t="str">
        <f>MID(PRESUPUESTO[[#This Row],[CUENTA]],1,4)</f>
        <v>E-25</v>
      </c>
      <c r="C165" s="68" t="str">
        <f>INDEX(CATALOGO[Descripción],MATCH(PRESUPUESTO[[#This Row],[APLICACIÓN]]&amp;"-00-00-00",CATALOGO[Código],0))</f>
        <v>DECANATO DE ESTUDIANTES</v>
      </c>
      <c r="D1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UNIDAD DE TUTORES- SUELDOS Y SALARIOS</v>
      </c>
      <c r="E165" s="2" t="s">
        <v>3872</v>
      </c>
      <c r="F165" s="78">
        <v>27300</v>
      </c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9" hidden="1" x14ac:dyDescent="0.25">
      <c r="A166" t="s">
        <v>2044</v>
      </c>
      <c r="B166" s="68" t="str">
        <f>MID(PRESUPUESTO[[#This Row],[CUENTA]],1,4)</f>
        <v>E-12</v>
      </c>
      <c r="C166" s="68" t="str">
        <f>INDEX(CATALOGO[Descripción],MATCH(PRESUPUESTO[[#This Row],[APLICACIÓN]]&amp;"-00-00-00",CATALOGO[Código],0))</f>
        <v>PROYECCION SOCIAL</v>
      </c>
      <c r="D1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Renta de equipo $ 2.260.00 x 12 Acelera</v>
      </c>
      <c r="E166" t="s">
        <v>3416</v>
      </c>
      <c r="F166" s="78">
        <v>27120</v>
      </c>
      <c r="S166" t="s">
        <v>3187</v>
      </c>
    </row>
    <row r="167" spans="1:19" hidden="1" x14ac:dyDescent="0.25">
      <c r="A167" t="s">
        <v>1363</v>
      </c>
      <c r="B167" s="68" t="str">
        <f>MID(PRESUPUESTO[[#This Row],[CUENTA]],1,4)</f>
        <v>E-15</v>
      </c>
      <c r="C167" s="68" t="str">
        <f>INDEX(CATALOGO[Descripción],MATCH(PRESUPUESTO[[#This Row],[APLICACIÓN]]&amp;"-00-00-00",CATALOGO[Código],0))</f>
        <v>ALQUILERES</v>
      </c>
      <c r="D1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Tecnoimpresos  Casa 116   $ 2,260.00 x 12</v>
      </c>
      <c r="E167" t="s">
        <v>438</v>
      </c>
      <c r="F167" s="78">
        <v>27120</v>
      </c>
      <c r="S167" t="s">
        <v>3187</v>
      </c>
    </row>
    <row r="168" spans="1:19" hidden="1" x14ac:dyDescent="0.25">
      <c r="A168" t="s">
        <v>1880</v>
      </c>
      <c r="B168" s="68" t="str">
        <f>MID(PRESUPUESTO[[#This Row],[CUENTA]],1,4)</f>
        <v>E-13</v>
      </c>
      <c r="C168" s="68" t="str">
        <f>INDEX(CATALOGO[Descripción],MATCH(PRESUPUESTO[[#This Row],[APLICACIÓN]]&amp;"-00-00-00",CATALOGO[Código],0))</f>
        <v>MAESTRIAS Y POSTGRADOS</v>
      </c>
      <c r="D1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Horas clase Procesos de Graduación</v>
      </c>
      <c r="E168" t="s">
        <v>344</v>
      </c>
      <c r="F168" s="78">
        <v>26520</v>
      </c>
      <c r="S168" t="s">
        <v>3187</v>
      </c>
    </row>
    <row r="169" spans="1:19" hidden="1" x14ac:dyDescent="0.25">
      <c r="A169" t="s">
        <v>1029</v>
      </c>
      <c r="B169" s="68" t="str">
        <f>MID(PRESUPUESTO[[#This Row],[CUENTA]],1,4)</f>
        <v>E-18</v>
      </c>
      <c r="C169" s="68" t="str">
        <f>INDEX(CATALOGO[Descripción],MATCH(PRESUPUESTO[[#This Row],[APLICACIÓN]]&amp;"-00-00-00",CATALOGO[Código],0))</f>
        <v>COMUNICACIÓN INSTITUCIONAL</v>
      </c>
      <c r="D1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Arrendamiento de 5 mupis digitales: SB, BJ, FM, GL Y GM ($2,200 mens)</v>
      </c>
      <c r="E169" t="s">
        <v>3657</v>
      </c>
      <c r="F169" s="78">
        <v>26400</v>
      </c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9" hidden="1" x14ac:dyDescent="0.25">
      <c r="A170" t="s">
        <v>3718</v>
      </c>
      <c r="B170" s="68" t="str">
        <f>MID(PRESUPUESTO[[#This Row],[CUENTA]],1,4)</f>
        <v>E-21</v>
      </c>
      <c r="C170" s="68" t="str">
        <f>INDEX(CATALOGO[Descripción],MATCH(PRESUPUESTO[[#This Row],[APLICACIÓN]]&amp;"-00-00-00",CATALOGO[Código],0))</f>
        <v>CENTRO DE FORMACION PROFESIONAL y EXT U</v>
      </c>
      <c r="D1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FICA - Insumos Seminarios y refrigerios</v>
      </c>
      <c r="E170" t="s">
        <v>3719</v>
      </c>
      <c r="F170" s="78">
        <v>26000</v>
      </c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9" hidden="1" x14ac:dyDescent="0.25">
      <c r="A171" t="s">
        <v>1286</v>
      </c>
      <c r="B171" s="68" t="str">
        <f>MID(PRESUPUESTO[[#This Row],[CUENTA]],1,4)</f>
        <v>E-09</v>
      </c>
      <c r="C171" s="68" t="str">
        <f>INDEX(CATALOGO[Descripción],MATCH(PRESUPUESTO[[#This Row],[APLICACIÓN]]&amp;"-00-00-00",CATALOGO[Código],0))</f>
        <v>PRESTACIONES AL PERSONAL</v>
      </c>
      <c r="D1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Cuotas Clubes Sociales</v>
      </c>
      <c r="E171" t="s">
        <v>229</v>
      </c>
      <c r="F171" s="78">
        <v>25000</v>
      </c>
    </row>
    <row r="172" spans="1:19" hidden="1" x14ac:dyDescent="0.25">
      <c r="A172" t="s">
        <v>1265</v>
      </c>
      <c r="B172" s="68" t="str">
        <f>MID(PRESUPUESTO[[#This Row],[CUENTA]],1,4)</f>
        <v>E-23</v>
      </c>
      <c r="C172" s="68" t="str">
        <f>INDEX(CATALOGO[Descripción],MATCH(PRESUPUESTO[[#This Row],[APLICACIÓN]]&amp;"-00-00-00",CATALOGO[Código],0))</f>
        <v>GASTOS DE VIAJE</v>
      </c>
      <c r="D1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combustible</v>
      </c>
      <c r="E172" t="s">
        <v>697</v>
      </c>
      <c r="F172" s="78">
        <v>25000</v>
      </c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9" hidden="1" x14ac:dyDescent="0.25">
      <c r="A173" t="s">
        <v>3829</v>
      </c>
      <c r="B173" s="68" t="str">
        <f>MID(PRESUPUESTO[[#This Row],[CUENTA]],1,4)</f>
        <v>E-24</v>
      </c>
      <c r="C173" s="68" t="str">
        <f>INDEX(CATALOGO[Descripción],MATCH(PRESUPUESTO[[#This Row],[APLICACIÓN]]&amp;"-00-00-00",CATALOGO[Código],0))</f>
        <v>NUEVO INGRESO</v>
      </c>
      <c r="D1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-Transportes</v>
      </c>
      <c r="E173" t="s">
        <v>3830</v>
      </c>
      <c r="F173" s="78">
        <v>25000</v>
      </c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9" x14ac:dyDescent="0.25">
      <c r="A174" t="s">
        <v>3277</v>
      </c>
      <c r="B174" s="68" t="str">
        <f>MID(PRESUPUESTO[[#This Row],[CUENTA]],1,4)</f>
        <v>I-05</v>
      </c>
      <c r="C174" s="68" t="str">
        <f>INDEX(CATALOGO[Descripción],MATCH(PRESUPUESTO[[#This Row],[APLICACIÓN]]&amp;"-00-00-00",CATALOGO[Código],0))</f>
        <v xml:space="preserve">MAESTRIAS, POSTGRADOS </v>
      </c>
      <c r="D1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ALQUILER LOCALES</v>
      </c>
      <c r="E174" t="s">
        <v>3187</v>
      </c>
      <c r="F174" s="78">
        <v>2000</v>
      </c>
      <c r="S174" t="s">
        <v>3187</v>
      </c>
    </row>
    <row r="175" spans="1:19" hidden="1" x14ac:dyDescent="0.25">
      <c r="A175" t="s">
        <v>2832</v>
      </c>
      <c r="B175" s="68" t="str">
        <f>MID(PRESUPUESTO[[#This Row],[CUENTA]],1,4)</f>
        <v>E-19</v>
      </c>
      <c r="C175" s="68" t="str">
        <f>INDEX(CATALOGO[Descripción],MATCH(PRESUPUESTO[[#This Row],[APLICACIÓN]]&amp;"-00-00-00",CATALOGO[Código],0))</f>
        <v>MANTENIMIENTO</v>
      </c>
      <c r="D1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Cambio de techos en Casa 116, 118 y Tecnoimpresos</v>
      </c>
      <c r="E175" t="s">
        <v>578</v>
      </c>
      <c r="F175" s="78">
        <v>24636</v>
      </c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1:19" x14ac:dyDescent="0.25">
      <c r="A176" t="s">
        <v>3223</v>
      </c>
      <c r="B176" s="68" t="str">
        <f>MID(PRESUPUESTO[[#This Row],[CUENTA]],1,4)</f>
        <v>I-05</v>
      </c>
      <c r="C176" s="68" t="str">
        <f>INDEX(CATALOGO[Descripción],MATCH(PRESUPUESTO[[#This Row],[APLICACIÓN]]&amp;"-00-00-00",CATALOGO[Código],0))</f>
        <v xml:space="preserve">MAESTRIAS, POSTGRADOS </v>
      </c>
      <c r="D1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176" t="s">
        <v>3187</v>
      </c>
      <c r="F176" s="78">
        <v>0</v>
      </c>
      <c r="S176" t="s">
        <v>3187</v>
      </c>
    </row>
    <row r="177" spans="1:19" x14ac:dyDescent="0.25">
      <c r="A177" t="s">
        <v>3224</v>
      </c>
      <c r="B177" s="68" t="str">
        <f>MID(PRESUPUESTO[[#This Row],[CUENTA]],1,4)</f>
        <v>I-05</v>
      </c>
      <c r="C177" s="68" t="str">
        <f>INDEX(CATALOGO[Descripción],MATCH(PRESUPUESTO[[#This Row],[APLICACIÓN]]&amp;"-00-00-00",CATALOGO[Código],0))</f>
        <v xml:space="preserve">MAESTRIAS, POSTGRADOS </v>
      </c>
      <c r="D1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177" t="s">
        <v>3187</v>
      </c>
      <c r="F177" s="78">
        <v>0</v>
      </c>
      <c r="S177" t="s">
        <v>3187</v>
      </c>
    </row>
    <row r="178" spans="1:19" hidden="1" x14ac:dyDescent="0.25">
      <c r="A178" s="37" t="s">
        <v>3635</v>
      </c>
      <c r="B178" s="68" t="str">
        <f>MID(PRESUPUESTO[[#This Row],[CUENTA]],1,4)</f>
        <v>E-18</v>
      </c>
      <c r="C178" s="68" t="str">
        <f>INDEX(CATALOGO[Descripción],MATCH(PRESUPUESTO[[#This Row],[APLICACIÓN]]&amp;"-00-00-00",CATALOGO[Código],0))</f>
        <v>COMUNICACIÓN INSTITUCIONAL</v>
      </c>
      <c r="D1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Prod. Material publicitario - Producción de materiales audiovisuales para campaña publicitaria</v>
      </c>
      <c r="E178" t="s">
        <v>3636</v>
      </c>
      <c r="F178" s="78">
        <v>24000</v>
      </c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</row>
    <row r="179" spans="1:19" hidden="1" x14ac:dyDescent="0.25">
      <c r="A179" t="s">
        <v>1839</v>
      </c>
      <c r="B179" s="68" t="str">
        <f>MID(PRESUPUESTO[[#This Row],[CUENTA]],1,4)</f>
        <v>E-24</v>
      </c>
      <c r="C179" s="68" t="str">
        <f>INDEX(CATALOGO[Descripción],MATCH(PRESUPUESTO[[#This Row],[APLICACIÓN]]&amp;"-00-00-00",CATALOGO[Código],0))</f>
        <v>NUEVO INGRESO</v>
      </c>
      <c r="D1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EN FACEBOOK</v>
      </c>
      <c r="E179" t="s">
        <v>3791</v>
      </c>
      <c r="F179" s="78">
        <v>23000</v>
      </c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1:19" hidden="1" x14ac:dyDescent="0.25">
      <c r="A180" t="s">
        <v>1238</v>
      </c>
      <c r="B180" s="68" t="str">
        <f>MID(PRESUPUESTO[[#This Row],[CUENTA]],1,4)</f>
        <v>E-14</v>
      </c>
      <c r="C180" s="68" t="str">
        <f>INDEX(CATALOGO[Descripción],MATCH(PRESUPUESTO[[#This Row],[APLICACIÓN]]&amp;"-00-00-00",CATALOGO[Código],0))</f>
        <v>MATERIAL DIDÁCTICO</v>
      </c>
      <c r="D1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CIENCIAS JURIDICAS</v>
      </c>
      <c r="E180" t="s">
        <v>3553</v>
      </c>
      <c r="F180" s="78">
        <v>22800</v>
      </c>
      <c r="S180" t="s">
        <v>3187</v>
      </c>
    </row>
    <row r="181" spans="1:19" hidden="1" x14ac:dyDescent="0.25">
      <c r="A181" t="s">
        <v>3834</v>
      </c>
      <c r="B181" s="68" t="str">
        <f>MID(PRESUPUESTO[[#This Row],[CUENTA]],1,4)</f>
        <v>E-24</v>
      </c>
      <c r="C181" s="68" t="str">
        <f>INDEX(CATALOGO[Descripción],MATCH(PRESUPUESTO[[#This Row],[APLICACIÓN]]&amp;"-00-00-00",CATALOGO[Código],0))</f>
        <v>NUEVO INGRESO</v>
      </c>
      <c r="D1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Sueldos personal permamente y eventual</v>
      </c>
      <c r="E181" t="s">
        <v>3835</v>
      </c>
      <c r="F181" s="78">
        <v>22100</v>
      </c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</row>
    <row r="182" spans="1:19" hidden="1" x14ac:dyDescent="0.25">
      <c r="A182" t="s">
        <v>1882</v>
      </c>
      <c r="B182" s="68" t="str">
        <f>MID(PRESUPUESTO[[#This Row],[CUENTA]],1,4)</f>
        <v>E-13</v>
      </c>
      <c r="C182" s="68" t="str">
        <f>INDEX(CATALOGO[Descripción],MATCH(PRESUPUESTO[[#This Row],[APLICACIÓN]]&amp;"-00-00-00",CATALOGO[Código],0))</f>
        <v>MAESTRIAS Y POSTGRADOS</v>
      </c>
      <c r="D1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POSTGRADOS - HORA CLASE</v>
      </c>
      <c r="E182" t="s">
        <v>3511</v>
      </c>
      <c r="F182" s="78">
        <v>21440</v>
      </c>
      <c r="S182" t="s">
        <v>3187</v>
      </c>
    </row>
    <row r="183" spans="1:19" x14ac:dyDescent="0.25">
      <c r="A183" t="s">
        <v>3225</v>
      </c>
      <c r="B183" s="68" t="str">
        <f>MID(PRESUPUESTO[[#This Row],[CUENTA]],1,4)</f>
        <v>I-05</v>
      </c>
      <c r="C183" s="68" t="str">
        <f>INDEX(CATALOGO[Descripción],MATCH(PRESUPUESTO[[#This Row],[APLICACIÓN]]&amp;"-00-00-00",CATALOGO[Código],0))</f>
        <v xml:space="preserve">MAESTRIAS, POSTGRADOS </v>
      </c>
      <c r="D1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183" t="s">
        <v>3187</v>
      </c>
      <c r="F183" s="78">
        <v>0</v>
      </c>
      <c r="S183" t="s">
        <v>3187</v>
      </c>
    </row>
    <row r="184" spans="1:19" hidden="1" x14ac:dyDescent="0.25">
      <c r="A184" t="s">
        <v>2063</v>
      </c>
      <c r="B184" s="68" t="str">
        <f>MID(PRESUPUESTO[[#This Row],[CUENTA]],1,4)</f>
        <v>E-21</v>
      </c>
      <c r="C184" s="68" t="str">
        <f>INDEX(CATALOGO[Descripción],MATCH(PRESUPUESTO[[#This Row],[APLICACIÓN]]&amp;"-00-00-00",CATALOGO[Código],0))</f>
        <v>CENTRO DE FORMACION PROFESIONAL y EXT U</v>
      </c>
      <c r="D1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FCCS - Insumos Seminarios y refrigerios</v>
      </c>
      <c r="E184" t="s">
        <v>3719</v>
      </c>
      <c r="F184" s="78">
        <v>21400</v>
      </c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1:19" hidden="1" x14ac:dyDescent="0.25">
      <c r="A185" t="s">
        <v>3717</v>
      </c>
      <c r="B185" s="68" t="str">
        <f>MID(PRESUPUESTO[[#This Row],[CUENTA]],1,4)</f>
        <v>E-21</v>
      </c>
      <c r="C185" s="68" t="str">
        <f>INDEX(CATALOGO[Descripción],MATCH(PRESUPUESTO[[#This Row],[APLICACIÓN]]&amp;"-00-00-00",CATALOGO[Código],0))</f>
        <v>CENTRO DE FORMACION PROFESIONAL y EXT U</v>
      </c>
      <c r="D1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FICA - Ponentes</v>
      </c>
      <c r="E185" t="s">
        <v>3709</v>
      </c>
      <c r="F185" s="78">
        <v>21100</v>
      </c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</row>
    <row r="186" spans="1:19" hidden="1" x14ac:dyDescent="0.25">
      <c r="A186" t="s">
        <v>1638</v>
      </c>
      <c r="B186" s="68" t="str">
        <f>MID(PRESUPUESTO[[#This Row],[CUENTA]],1,4)</f>
        <v>E-22</v>
      </c>
      <c r="C186" s="68" t="str">
        <f>INDEX(CATALOGO[Descripción],MATCH(PRESUPUESTO[[#This Row],[APLICACIÓN]]&amp;"-00-00-00",CATALOGO[Código],0))</f>
        <v>CAPACITACIÓN AL PERSONAL</v>
      </c>
      <c r="D1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Cohorte No. 2 (10 participantes) año 1</v>
      </c>
      <c r="E186" t="s">
        <v>664</v>
      </c>
      <c r="F186" s="78">
        <v>21010.55</v>
      </c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</row>
    <row r="187" spans="1:19" hidden="1" x14ac:dyDescent="0.25">
      <c r="A187" t="s">
        <v>2213</v>
      </c>
      <c r="B187" s="68" t="str">
        <f>MID(PRESUPUESTO[[#This Row],[CUENTA]],1,4)</f>
        <v>E-19</v>
      </c>
      <c r="C187" s="68" t="str">
        <f>INDEX(CATALOGO[Descripción],MATCH(PRESUPUESTO[[#This Row],[APLICACIÓN]]&amp;"-00-00-00",CATALOGO[Código],0))</f>
        <v>MANTENIMIENTO</v>
      </c>
      <c r="D1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Mantto Odorización  Baños Aulas </v>
      </c>
      <c r="E187" t="s">
        <v>563</v>
      </c>
      <c r="F187" s="78">
        <v>21000</v>
      </c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1:19" hidden="1" x14ac:dyDescent="0.25">
      <c r="A188" t="s">
        <v>1981</v>
      </c>
      <c r="B188" s="68" t="str">
        <f>MID(PRESUPUESTO[[#This Row],[CUENTA]],1,4)</f>
        <v>E-17</v>
      </c>
      <c r="C188" s="68" t="str">
        <f>INDEX(CATALOGO[Descripción],MATCH(PRESUPUESTO[[#This Row],[APLICACIÓN]]&amp;"-00-00-00",CATALOGO[Código],0))</f>
        <v>MEDIOS DE COMUNICACIÓN</v>
      </c>
      <c r="D1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Medios - Carteleras en periódicos de actividades (agendas)</v>
      </c>
      <c r="E188" t="s">
        <v>3632</v>
      </c>
      <c r="F188" s="78">
        <v>20212</v>
      </c>
      <c r="S188" t="s">
        <v>3187</v>
      </c>
    </row>
    <row r="189" spans="1:19" hidden="1" x14ac:dyDescent="0.25">
      <c r="A189" t="s">
        <v>1600</v>
      </c>
      <c r="B189" s="68" t="str">
        <f>MID(PRESUPUESTO[[#This Row],[CUENTA]],1,4)</f>
        <v>E-09</v>
      </c>
      <c r="C189" s="68" t="str">
        <f>INDEX(CATALOGO[Descripción],MATCH(PRESUPUESTO[[#This Row],[APLICACIÓN]]&amp;"-00-00-00",CATALOGO[Código],0))</f>
        <v>PRESTACIONES AL PERSONAL</v>
      </c>
      <c r="D1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Café, Agua, azucar y otros</v>
      </c>
      <c r="E189" t="s">
        <v>230</v>
      </c>
      <c r="F189" s="78">
        <v>20000</v>
      </c>
    </row>
    <row r="190" spans="1:19" hidden="1" x14ac:dyDescent="0.25">
      <c r="A190" t="s">
        <v>2772</v>
      </c>
      <c r="B190" s="68" t="str">
        <f>MID(PRESUPUESTO[[#This Row],[CUENTA]],1,4)</f>
        <v>E-11</v>
      </c>
      <c r="C190" s="68" t="str">
        <f>INDEX(CATALOGO[Descripción],MATCH(PRESUPUESTO[[#This Row],[APLICACIÓN]]&amp;"-00-00-00",CATALOGO[Código],0))</f>
        <v>INVESTIGACIONES</v>
      </c>
      <c r="D1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de investigación MINED-DNES y UTEC</v>
      </c>
      <c r="E190" t="s">
        <v>260</v>
      </c>
      <c r="F190" s="78">
        <v>20000</v>
      </c>
    </row>
    <row r="191" spans="1:19" hidden="1" x14ac:dyDescent="0.25">
      <c r="A191" t="s">
        <v>1384</v>
      </c>
      <c r="B191" s="68" t="str">
        <f>MID(PRESUPUESTO[[#This Row],[CUENTA]],1,4)</f>
        <v>E-19</v>
      </c>
      <c r="C191" s="68" t="str">
        <f>INDEX(CATALOGO[Descripción],MATCH(PRESUPUESTO[[#This Row],[APLICACIÓN]]&amp;"-00-00-00",CATALOGO[Código],0))</f>
        <v>MANTENIMIENTO</v>
      </c>
      <c r="D1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de Limpieza</v>
      </c>
      <c r="E191" t="s">
        <v>564</v>
      </c>
      <c r="F191" s="78">
        <v>20000</v>
      </c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1:19" hidden="1" x14ac:dyDescent="0.25">
      <c r="A192" t="s">
        <v>1476</v>
      </c>
      <c r="B192" s="68" t="str">
        <f>MID(PRESUPUESTO[[#This Row],[CUENTA]],1,4)</f>
        <v>E-25</v>
      </c>
      <c r="C192" s="68" t="str">
        <f>INDEX(CATALOGO[Descripción],MATCH(PRESUPUESTO[[#This Row],[APLICACIÓN]]&amp;"-00-00-00",CATALOGO[Código],0))</f>
        <v>DECANATO DE ESTUDIANTES</v>
      </c>
      <c r="D1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SERVICIO SOCIAL - SUELDOS Y SALARIOS</v>
      </c>
      <c r="E192" t="s">
        <v>3880</v>
      </c>
      <c r="F192" s="78">
        <v>19500</v>
      </c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1:19" x14ac:dyDescent="0.25">
      <c r="A193" t="s">
        <v>3228</v>
      </c>
      <c r="B193" s="68" t="str">
        <f>MID(PRESUPUESTO[[#This Row],[CUENTA]],1,4)</f>
        <v>I-05</v>
      </c>
      <c r="C193" s="68" t="str">
        <f>INDEX(CATALOGO[Descripción],MATCH(PRESUPUESTO[[#This Row],[APLICACIÓN]]&amp;"-00-00-00",CATALOGO[Código],0))</f>
        <v xml:space="preserve">MAESTRIAS, POSTGRADOS </v>
      </c>
      <c r="D1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193" t="s">
        <v>3187</v>
      </c>
      <c r="F193" s="78">
        <v>0</v>
      </c>
      <c r="S193" t="s">
        <v>3187</v>
      </c>
    </row>
    <row r="194" spans="1:19" hidden="1" x14ac:dyDescent="0.25">
      <c r="A194" t="s">
        <v>3805</v>
      </c>
      <c r="B194" s="68" t="str">
        <f>MID(PRESUPUESTO[[#This Row],[CUENTA]],1,4)</f>
        <v>E-24</v>
      </c>
      <c r="C194" s="68" t="str">
        <f>INDEX(CATALOGO[Descripción],MATCH(PRESUPUESTO[[#This Row],[APLICACIÓN]]&amp;"-00-00-00",CATALOGO[Código],0))</f>
        <v>NUEVO INGRESO</v>
      </c>
      <c r="D1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Pantallas digitales y en centros comerciales</v>
      </c>
      <c r="E194" t="s">
        <v>726</v>
      </c>
      <c r="F194" s="78">
        <v>18500</v>
      </c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9" hidden="1" x14ac:dyDescent="0.25">
      <c r="A195" t="s">
        <v>3712</v>
      </c>
      <c r="B195" s="68" t="str">
        <f>MID(PRESUPUESTO[[#This Row],[CUENTA]],1,4)</f>
        <v>E-21</v>
      </c>
      <c r="C195" s="68" t="str">
        <f>INDEX(CATALOGO[Descripción],MATCH(PRESUPUESTO[[#This Row],[APLICACIÓN]]&amp;"-00-00-00",CATALOGO[Código],0))</f>
        <v>CENTRO DE FORMACION PROFESIONAL y EXT U</v>
      </c>
      <c r="D1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FCCE - Pago licencias HBR </v>
      </c>
      <c r="E195" t="s">
        <v>3713</v>
      </c>
      <c r="F195" s="78">
        <v>18400</v>
      </c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1:19" hidden="1" x14ac:dyDescent="0.25">
      <c r="A196" t="s">
        <v>1014</v>
      </c>
      <c r="B196" s="68" t="str">
        <f>MID(PRESUPUESTO[[#This Row],[CUENTA]],1,4)</f>
        <v>E-01</v>
      </c>
      <c r="C196" s="68" t="str">
        <f>INDEX(CATALOGO[Descripción],MATCH(PRESUPUESTO[[#This Row],[APLICACIÓN]]&amp;"-00-00-00",CATALOGO[Código],0))</f>
        <v>SERVICIOS PROFESIONALES</v>
      </c>
      <c r="D1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Asesoria Corporativa Lic. Medrano   $ 1,509.00 X 12</v>
      </c>
      <c r="E196" t="s">
        <v>126</v>
      </c>
      <c r="F196" s="78">
        <v>18200</v>
      </c>
      <c r="S196" t="s">
        <v>3187</v>
      </c>
    </row>
    <row r="197" spans="1:19" hidden="1" x14ac:dyDescent="0.25">
      <c r="A197" t="s">
        <v>1632</v>
      </c>
      <c r="B197" s="68" t="str">
        <f>MID(PRESUPUESTO[[#This Row],[CUENTA]],1,4)</f>
        <v>E-07</v>
      </c>
      <c r="C197" s="68" t="str">
        <f>INDEX(CATALOGO[Descripción],MATCH(PRESUPUESTO[[#This Row],[APLICACIÓN]]&amp;"-00-00-00",CATALOGO[Código],0))</f>
        <v>SERVICIOS TECNOLOGICOS</v>
      </c>
      <c r="D1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Licenciamiento anual para 41 usuarios </v>
      </c>
      <c r="E197" t="s">
        <v>190</v>
      </c>
      <c r="F197" s="78">
        <v>18000</v>
      </c>
    </row>
    <row r="198" spans="1:19" hidden="1" x14ac:dyDescent="0.25">
      <c r="A198" t="s">
        <v>2224</v>
      </c>
      <c r="B198" s="68" t="str">
        <f>MID(PRESUPUESTO[[#This Row],[CUENTA]],1,4)</f>
        <v>E-15</v>
      </c>
      <c r="C198" s="68" t="str">
        <f>INDEX(CATALOGO[Descripción],MATCH(PRESUPUESTO[[#This Row],[APLICACIÓN]]&amp;"-00-00-00",CATALOGO[Código],0))</f>
        <v>ALQUILERES</v>
      </c>
      <c r="D1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Apartamento Marbella  (Noris de López)</v>
      </c>
      <c r="E198" t="s">
        <v>3560</v>
      </c>
      <c r="F198" s="78">
        <v>18000</v>
      </c>
      <c r="S198" t="s">
        <v>3187</v>
      </c>
    </row>
    <row r="199" spans="1:19" hidden="1" x14ac:dyDescent="0.25">
      <c r="A199" t="s">
        <v>1520</v>
      </c>
      <c r="B199" s="68" t="str">
        <f>MID(PRESUPUESTO[[#This Row],[CUENTA]],1,4)</f>
        <v>E-19</v>
      </c>
      <c r="C199" s="68" t="str">
        <f>INDEX(CATALOGO[Descripción],MATCH(PRESUPUESTO[[#This Row],[APLICACIÓN]]&amp;"-00-00-00",CATALOGO[Código],0))</f>
        <v>MANTENIMIENTO</v>
      </c>
      <c r="D1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Mantenimiento Fumigaciones </v>
      </c>
      <c r="E199" t="s">
        <v>3673</v>
      </c>
      <c r="F199" s="78">
        <v>18000</v>
      </c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1:19" hidden="1" x14ac:dyDescent="0.25">
      <c r="A200" t="s">
        <v>1011</v>
      </c>
      <c r="B200" s="68" t="str">
        <f>MID(PRESUPUESTO[[#This Row],[CUENTA]],1,4)</f>
        <v>E-19</v>
      </c>
      <c r="C200" s="68" t="str">
        <f>INDEX(CATALOGO[Descripción],MATCH(PRESUPUESTO[[#This Row],[APLICACIÓN]]&amp;"-00-00-00",CATALOGO[Código],0))</f>
        <v>MANTENIMIENTO</v>
      </c>
      <c r="D2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Combustible</v>
      </c>
      <c r="E200" t="s">
        <v>561</v>
      </c>
      <c r="F200" s="78">
        <v>18000</v>
      </c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1:19" hidden="1" x14ac:dyDescent="0.25">
      <c r="A201" t="s">
        <v>1241</v>
      </c>
      <c r="B201" s="68" t="str">
        <f>MID(PRESUPUESTO[[#This Row],[CUENTA]],1,4)</f>
        <v>E-21</v>
      </c>
      <c r="C201" s="68" t="str">
        <f>INDEX(CATALOGO[Descripción],MATCH(PRESUPUESTO[[#This Row],[APLICACIÓN]]&amp;"-00-00-00",CATALOGO[Código],0))</f>
        <v>CENTRO DE FORMACION PROFESIONAL y EXT U</v>
      </c>
      <c r="D2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Impresiones$ 1500.00 x 12</v>
      </c>
      <c r="E201" t="s">
        <v>592</v>
      </c>
      <c r="F201" s="78">
        <v>18000</v>
      </c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</row>
    <row r="202" spans="1:19" hidden="1" x14ac:dyDescent="0.25">
      <c r="A202" t="s">
        <v>3806</v>
      </c>
      <c r="B202" s="68" t="str">
        <f>MID(PRESUPUESTO[[#This Row],[CUENTA]],1,4)</f>
        <v>E-24</v>
      </c>
      <c r="C202" s="68" t="str">
        <f>INDEX(CATALOGO[Descripción],MATCH(PRESUPUESTO[[#This Row],[APLICACIÓN]]&amp;"-00-00-00",CATALOGO[Código],0))</f>
        <v>NUEVO INGRESO</v>
      </c>
      <c r="D2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Muppies en vía pública- Lonas </v>
      </c>
      <c r="E202" t="s">
        <v>727</v>
      </c>
      <c r="F202" s="78">
        <v>18000</v>
      </c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</row>
    <row r="203" spans="1:19" hidden="1" x14ac:dyDescent="0.25">
      <c r="A203" t="s">
        <v>3330</v>
      </c>
      <c r="B203" s="68" t="str">
        <f>MID(PRESUPUESTO[[#This Row],[CUENTA]],1,4)</f>
        <v>E-07</v>
      </c>
      <c r="C203" s="68" t="str">
        <f>INDEX(CATALOGO[Descripción],MATCH(PRESUPUESTO[[#This Row],[APLICACIÓN]]&amp;"-00-00-00",CATALOGO[Código],0))</f>
        <v>SERVICIOS TECNOLOGICOS</v>
      </c>
      <c r="D2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LAPTOP $ 1,494.00</v>
      </c>
      <c r="E203" t="s">
        <v>198</v>
      </c>
      <c r="F203" s="78">
        <v>17928</v>
      </c>
    </row>
    <row r="204" spans="1:19" hidden="1" x14ac:dyDescent="0.25">
      <c r="A204" t="s">
        <v>1834</v>
      </c>
      <c r="B204" s="68" t="str">
        <f>MID(PRESUPUESTO[[#This Row],[CUENTA]],1,4)</f>
        <v>E-13</v>
      </c>
      <c r="C204" s="68" t="str">
        <f>INDEX(CATALOGO[Descripción],MATCH(PRESUPUESTO[[#This Row],[APLICACIÓN]]&amp;"-00-00-00",CATALOGO[Código],0))</f>
        <v>MAESTRIAS Y POSTGRADOS</v>
      </c>
      <c r="D2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Redes Sociales (Facebook Promoción Maestrías)</v>
      </c>
      <c r="E204" t="s">
        <v>353</v>
      </c>
      <c r="F204" s="78">
        <v>17200</v>
      </c>
      <c r="S204" t="s">
        <v>3187</v>
      </c>
    </row>
    <row r="205" spans="1:19" hidden="1" x14ac:dyDescent="0.25">
      <c r="A205" t="s">
        <v>3485</v>
      </c>
      <c r="B205" s="68" t="str">
        <f>MID(PRESUPUESTO[[#This Row],[CUENTA]],1,4)</f>
        <v>E-13</v>
      </c>
      <c r="C205" s="68" t="str">
        <f>INDEX(CATALOGO[Descripción],MATCH(PRESUPUESTO[[#This Row],[APLICACIÓN]]&amp;"-00-00-00",CATALOGO[Código],0))</f>
        <v>MAESTRIAS Y POSTGRADOS</v>
      </c>
      <c r="D2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Redes Sociales (Facebook Promoción Postgrados)</v>
      </c>
      <c r="E205" t="s">
        <v>354</v>
      </c>
      <c r="F205" s="78">
        <v>17000</v>
      </c>
      <c r="S205" t="s">
        <v>3187</v>
      </c>
    </row>
    <row r="206" spans="1:19" x14ac:dyDescent="0.25">
      <c r="A206" t="s">
        <v>3229</v>
      </c>
      <c r="B206" s="68" t="str">
        <f>MID(PRESUPUESTO[[#This Row],[CUENTA]],1,4)</f>
        <v>I-05</v>
      </c>
      <c r="C206" s="68" t="str">
        <f>INDEX(CATALOGO[Descripción],MATCH(PRESUPUESTO[[#This Row],[APLICACIÓN]]&amp;"-00-00-00",CATALOGO[Código],0))</f>
        <v xml:space="preserve">MAESTRIAS, POSTGRADOS </v>
      </c>
      <c r="D2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06" t="s">
        <v>3187</v>
      </c>
      <c r="F206" s="78">
        <v>0</v>
      </c>
      <c r="S206" t="s">
        <v>3187</v>
      </c>
    </row>
    <row r="207" spans="1:19" hidden="1" x14ac:dyDescent="0.25">
      <c r="A207" t="s">
        <v>3853</v>
      </c>
      <c r="B207" s="68" t="str">
        <f>MID(PRESUPUESTO[[#This Row],[CUENTA]],1,4)</f>
        <v>E-24</v>
      </c>
      <c r="C207" s="68" t="str">
        <f>INDEX(CATALOGO[Descripción],MATCH(PRESUPUESTO[[#This Row],[APLICACIÓN]]&amp;"-00-00-00",CATALOGO[Código],0))</f>
        <v>NUEVO INGRESO</v>
      </c>
      <c r="D2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Sueldos fijos y eventual</v>
      </c>
      <c r="E207" t="s">
        <v>3854</v>
      </c>
      <c r="F207" s="78">
        <v>16500</v>
      </c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1:19" hidden="1" x14ac:dyDescent="0.25">
      <c r="A208" t="s">
        <v>2674</v>
      </c>
      <c r="B208" s="68" t="str">
        <f>MID(PRESUPUESTO[[#This Row],[CUENTA]],1,4)</f>
        <v>E-16</v>
      </c>
      <c r="C208" s="68" t="str">
        <f>INDEX(CATALOGO[Descripción],MATCH(PRESUPUESTO[[#This Row],[APLICACIÓN]]&amp;"-00-00-00",CATALOGO[Código],0))</f>
        <v xml:space="preserve">PRE-ESPECIALIDAD </v>
      </c>
      <c r="D2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 Clase - Asesoria Tesis</v>
      </c>
      <c r="E208" t="s">
        <v>3563</v>
      </c>
      <c r="F208" s="78">
        <v>16450</v>
      </c>
      <c r="S208" t="s">
        <v>3187</v>
      </c>
    </row>
    <row r="209" spans="1:19" hidden="1" x14ac:dyDescent="0.25">
      <c r="A209" t="s">
        <v>3495</v>
      </c>
      <c r="B209" s="68" t="str">
        <f>MID(PRESUPUESTO[[#This Row],[CUENTA]],1,4)</f>
        <v>E-13</v>
      </c>
      <c r="C209" s="68" t="str">
        <f>INDEX(CATALOGO[Descripción],MATCH(PRESUPUESTO[[#This Row],[APLICACIÓN]]&amp;"-00-00-00",CATALOGO[Código],0))</f>
        <v>MAESTRIAS Y POSTGRADOS</v>
      </c>
      <c r="D2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Cóctel</v>
      </c>
      <c r="E209" t="s">
        <v>3496</v>
      </c>
      <c r="F209" s="78">
        <v>16256</v>
      </c>
      <c r="S209" t="s">
        <v>3187</v>
      </c>
    </row>
    <row r="210" spans="1:19" hidden="1" x14ac:dyDescent="0.25">
      <c r="A210" t="s">
        <v>3702</v>
      </c>
      <c r="B210" s="68" t="str">
        <f>MID(PRESUPUESTO[[#This Row],[CUENTA]],1,4)</f>
        <v>E-21</v>
      </c>
      <c r="C210" s="68" t="str">
        <f>INDEX(CATALOGO[Descripción],MATCH(PRESUPUESTO[[#This Row],[APLICACIÓN]]&amp;"-00-00-00",CATALOGO[Código],0))</f>
        <v>CENTRO DE FORMACION PROFESIONAL y EXT U</v>
      </c>
      <c r="D2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FCCE - Actividades Centro Emprendedor Crea Utec (Activación Emprendedora, Networking y Feria Emprendedora)</v>
      </c>
      <c r="E210" t="s">
        <v>3703</v>
      </c>
      <c r="F210" s="78">
        <v>16000</v>
      </c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</row>
    <row r="211" spans="1:19" hidden="1" x14ac:dyDescent="0.25">
      <c r="A211" t="s">
        <v>2185</v>
      </c>
      <c r="B211" s="68" t="str">
        <f>MID(PRESUPUESTO[[#This Row],[CUENTA]],1,4)</f>
        <v>A-34</v>
      </c>
      <c r="C211" s="68" t="str">
        <f>INDEX(CATALOGO[Descripción],MATCH(PRESUPUESTO[[#This Row],[APLICACIÓN]]&amp;"-00-00-00",CATALOGO[Código],0))</f>
        <v>FONDOS AJENOS</v>
      </c>
      <c r="D2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INGLES PARA UN FUTURO MEJOR</v>
      </c>
      <c r="F211" s="78">
        <v>15790</v>
      </c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</row>
    <row r="212" spans="1:19" hidden="1" x14ac:dyDescent="0.25">
      <c r="A212" t="s">
        <v>1348</v>
      </c>
      <c r="B212" s="68" t="str">
        <f>MID(PRESUPUESTO[[#This Row],[CUENTA]],1,4)</f>
        <v>E-13</v>
      </c>
      <c r="C212" s="68" t="str">
        <f>INDEX(CATALOGO[Descripción],MATCH(PRESUPUESTO[[#This Row],[APLICACIÓN]]&amp;"-00-00-00",CATALOGO[Código],0))</f>
        <v>MAESTRIAS Y POSTGRADOS</v>
      </c>
      <c r="D2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IMPUESTOS MUNICIPALES -MAE</v>
      </c>
      <c r="E212" t="s">
        <v>3466</v>
      </c>
      <c r="F212" s="78">
        <v>15516</v>
      </c>
      <c r="S212" t="s">
        <v>3187</v>
      </c>
    </row>
    <row r="213" spans="1:19" hidden="1" x14ac:dyDescent="0.25">
      <c r="A213" t="s">
        <v>3565</v>
      </c>
      <c r="B213" s="68" t="str">
        <f>MID(PRESUPUESTO[[#This Row],[CUENTA]],1,4)</f>
        <v>E-16</v>
      </c>
      <c r="C213" s="68" t="str">
        <f>INDEX(CATALOGO[Descripción],MATCH(PRESUPUESTO[[#This Row],[APLICACIÓN]]&amp;"-00-00-00",CATALOGO[Código],0))</f>
        <v xml:space="preserve">PRE-ESPECIALIDAD </v>
      </c>
      <c r="D2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 Clase - Toelf Toeic</v>
      </c>
      <c r="E213" t="s">
        <v>3566</v>
      </c>
      <c r="F213" s="78">
        <v>15120</v>
      </c>
      <c r="S213" t="s">
        <v>3187</v>
      </c>
    </row>
    <row r="214" spans="1:19" hidden="1" x14ac:dyDescent="0.25">
      <c r="A214" t="s">
        <v>1112</v>
      </c>
      <c r="B214" s="68" t="str">
        <f>MID(PRESUPUESTO[[#This Row],[CUENTA]],1,4)</f>
        <v>E-18</v>
      </c>
      <c r="C214" s="68" t="str">
        <f>INDEX(CATALOGO[Descripción],MATCH(PRESUPUESTO[[#This Row],[APLICACIÓN]]&amp;"-00-00-00",CATALOGO[Código],0))</f>
        <v>COMUNICACIÓN INSTITUCIONAL</v>
      </c>
      <c r="D2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Rotulación interna</v>
      </c>
      <c r="E214" t="s">
        <v>3646</v>
      </c>
      <c r="F214" s="78">
        <v>15000</v>
      </c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</row>
    <row r="215" spans="1:19" hidden="1" x14ac:dyDescent="0.25">
      <c r="A215" t="s">
        <v>3690</v>
      </c>
      <c r="B215" s="68" t="str">
        <f>MID(PRESUPUESTO[[#This Row],[CUENTA]],1,4)</f>
        <v>E-19</v>
      </c>
      <c r="C215" s="68" t="str">
        <f>INDEX(CATALOGO[Descripción],MATCH(PRESUPUESTO[[#This Row],[APLICACIÓN]]&amp;"-00-00-00",CATALOGO[Código],0))</f>
        <v>MANTENIMIENTO</v>
      </c>
      <c r="D2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Compra de ventiladores</v>
      </c>
      <c r="E215" t="s">
        <v>575</v>
      </c>
      <c r="F215" s="78">
        <v>15000</v>
      </c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</row>
    <row r="216" spans="1:19" hidden="1" x14ac:dyDescent="0.25">
      <c r="A216" t="s">
        <v>1040</v>
      </c>
      <c r="B216" s="68" t="str">
        <f>MID(PRESUPUESTO[[#This Row],[CUENTA]],1,4)</f>
        <v>E-23</v>
      </c>
      <c r="C216" s="68" t="str">
        <f>INDEX(CATALOGO[Descripción],MATCH(PRESUPUESTO[[#This Row],[APLICACIÓN]]&amp;"-00-00-00",CATALOGO[Código],0))</f>
        <v>GASTOS DE VIAJE</v>
      </c>
      <c r="D2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BOLETOS Y VIATICOS A EJECUTIVOS</v>
      </c>
      <c r="E216" t="s">
        <v>699</v>
      </c>
      <c r="F216" s="78">
        <v>15000</v>
      </c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</row>
    <row r="217" spans="1:19" hidden="1" x14ac:dyDescent="0.25">
      <c r="A217" t="s">
        <v>3789</v>
      </c>
      <c r="B217" s="68" t="str">
        <f>MID(PRESUPUESTO[[#This Row],[CUENTA]],1,4)</f>
        <v>E-24</v>
      </c>
      <c r="C217" s="68" t="str">
        <f>INDEX(CATALOGO[Descripción],MATCH(PRESUPUESTO[[#This Row],[APLICACIÓN]]&amp;"-00-00-00",CATALOGO[Código],0))</f>
        <v>NUEVO INGRESO</v>
      </c>
      <c r="D2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EN PERÍODICOS DIGITALES- SOCIAL MEDIA DAY</v>
      </c>
      <c r="E217" t="s">
        <v>3790</v>
      </c>
      <c r="F217" s="78">
        <v>15000</v>
      </c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</row>
    <row r="218" spans="1:19" hidden="1" x14ac:dyDescent="0.25">
      <c r="A218" t="s">
        <v>3828</v>
      </c>
      <c r="B218" s="68" t="str">
        <f>MID(PRESUPUESTO[[#This Row],[CUENTA]],1,4)</f>
        <v>E-24</v>
      </c>
      <c r="C218" s="68" t="str">
        <f>INDEX(CATALOGO[Descripción],MATCH(PRESUPUESTO[[#This Row],[APLICACIÓN]]&amp;"-00-00-00",CATALOGO[Código],0))</f>
        <v>NUEVO INGRESO</v>
      </c>
      <c r="D2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-Refrigerios</v>
      </c>
      <c r="E218" t="s">
        <v>3823</v>
      </c>
      <c r="F218" s="78">
        <v>15000</v>
      </c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</row>
    <row r="219" spans="1:19" hidden="1" x14ac:dyDescent="0.25">
      <c r="A219" t="s">
        <v>3987</v>
      </c>
      <c r="B219" s="68" t="str">
        <f>MID(PRESUPUESTO[[#This Row],[CUENTA]],1,4)</f>
        <v>E-29</v>
      </c>
      <c r="C219" s="68" t="str">
        <f>INDEX(CATALOGO[Descripción],MATCH(PRESUPUESTO[[#This Row],[APLICACIÓN]]&amp;"-00-00-00",CATALOGO[Código],0))</f>
        <v xml:space="preserve">BIBLIOTECA </v>
      </c>
      <c r="D2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Libros impresos</v>
      </c>
      <c r="E219" t="s">
        <v>909</v>
      </c>
      <c r="F219" s="78">
        <v>14547</v>
      </c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</row>
    <row r="220" spans="1:19" hidden="1" x14ac:dyDescent="0.25">
      <c r="A220" t="s">
        <v>1347</v>
      </c>
      <c r="B220" s="68" t="str">
        <f>MID(PRESUPUESTO[[#This Row],[CUENTA]],1,4)</f>
        <v>E-13</v>
      </c>
      <c r="C220" s="68" t="str">
        <f>INDEX(CATALOGO[Descripción],MATCH(PRESUPUESTO[[#This Row],[APLICACIÓN]]&amp;"-00-00-00",CATALOGO[Código],0))</f>
        <v>MAESTRIAS Y POSTGRADOS</v>
      </c>
      <c r="D2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ENERGIA ELECTRICA </v>
      </c>
      <c r="E220" t="s">
        <v>3376</v>
      </c>
      <c r="F220" s="78">
        <v>14400</v>
      </c>
      <c r="S220" t="s">
        <v>3187</v>
      </c>
    </row>
    <row r="221" spans="1:19" x14ac:dyDescent="0.25">
      <c r="A221" t="s">
        <v>3230</v>
      </c>
      <c r="B221" s="68" t="str">
        <f>MID(PRESUPUESTO[[#This Row],[CUENTA]],1,4)</f>
        <v>I-05</v>
      </c>
      <c r="C221" s="68" t="str">
        <f>INDEX(CATALOGO[Descripción],MATCH(PRESUPUESTO[[#This Row],[APLICACIÓN]]&amp;"-00-00-00",CATALOGO[Código],0))</f>
        <v xml:space="preserve">MAESTRIAS, POSTGRADOS </v>
      </c>
      <c r="D2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221" t="s">
        <v>3187</v>
      </c>
      <c r="F221" s="78">
        <v>0</v>
      </c>
      <c r="S221" t="s">
        <v>3187</v>
      </c>
    </row>
    <row r="222" spans="1:19" hidden="1" x14ac:dyDescent="0.25">
      <c r="A222" t="s">
        <v>2486</v>
      </c>
      <c r="B222" s="68" t="str">
        <f>MID(PRESUPUESTO[[#This Row],[CUENTA]],1,4)</f>
        <v>E-01</v>
      </c>
      <c r="C222" s="68" t="str">
        <f>INDEX(CATALOGO[Descripción],MATCH(PRESUPUESTO[[#This Row],[APLICACIÓN]]&amp;"-00-00-00",CATALOGO[Código],0))</f>
        <v>SERVICIOS PROFESIONALES</v>
      </c>
      <c r="D2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Auditoria Externa Castellanos Chacón $ 4,750.00 x 3</v>
      </c>
      <c r="E222" t="s">
        <v>128</v>
      </c>
      <c r="F222" s="78">
        <v>14250</v>
      </c>
      <c r="S222" t="s">
        <v>3187</v>
      </c>
    </row>
    <row r="223" spans="1:19" hidden="1" x14ac:dyDescent="0.25">
      <c r="A223" t="s">
        <v>2925</v>
      </c>
      <c r="B223" s="68" t="str">
        <f>MID(PRESUPUESTO[[#This Row],[CUENTA]],1,4)</f>
        <v>E-29</v>
      </c>
      <c r="C223" s="68" t="str">
        <f>INDEX(CATALOGO[Descripción],MATCH(PRESUPUESTO[[#This Row],[APLICACIÓN]]&amp;"-00-00-00",CATALOGO[Código],0))</f>
        <v xml:space="preserve">BIBLIOTECA </v>
      </c>
      <c r="D2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EBSCO</v>
      </c>
      <c r="E223" t="s">
        <v>899</v>
      </c>
      <c r="F223" s="78">
        <v>13933</v>
      </c>
      <c r="S223" t="s">
        <v>3187</v>
      </c>
    </row>
    <row r="224" spans="1:19" x14ac:dyDescent="0.25">
      <c r="A224" t="s">
        <v>3233</v>
      </c>
      <c r="B224" s="68" t="str">
        <f>MID(PRESUPUESTO[[#This Row],[CUENTA]],1,4)</f>
        <v>I-05</v>
      </c>
      <c r="C224" s="68" t="str">
        <f>INDEX(CATALOGO[Descripción],MATCH(PRESUPUESTO[[#This Row],[APLICACIÓN]]&amp;"-00-00-00",CATALOGO[Código],0))</f>
        <v xml:space="preserve">MAESTRIAS, POSTGRADOS </v>
      </c>
      <c r="D2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224" t="s">
        <v>3187</v>
      </c>
      <c r="F224" s="78">
        <v>0</v>
      </c>
      <c r="S224" t="s">
        <v>3187</v>
      </c>
    </row>
    <row r="225" spans="1:19" hidden="1" x14ac:dyDescent="0.25">
      <c r="A225" t="s">
        <v>1132</v>
      </c>
      <c r="B225" s="68" t="str">
        <f>MID(PRESUPUESTO[[#This Row],[CUENTA]],1,4)</f>
        <v>E-15</v>
      </c>
      <c r="C225" s="68" t="str">
        <f>INDEX(CATALOGO[Descripción],MATCH(PRESUPUESTO[[#This Row],[APLICACIÓN]]&amp;"-00-00-00",CATALOGO[Código],0))</f>
        <v>ALQUILERES</v>
      </c>
      <c r="D2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Casa  118 Edith de Molina Neira $ 2,292.28x 6</v>
      </c>
      <c r="E225" t="s">
        <v>442</v>
      </c>
      <c r="F225" s="78">
        <v>13750</v>
      </c>
      <c r="S225" t="s">
        <v>3187</v>
      </c>
    </row>
    <row r="226" spans="1:19" hidden="1" x14ac:dyDescent="0.25">
      <c r="A226" t="s">
        <v>2764</v>
      </c>
      <c r="B226" s="68" t="str">
        <f>MID(PRESUPUESTO[[#This Row],[CUENTA]],1,4)</f>
        <v>E-25</v>
      </c>
      <c r="C226" s="68" t="str">
        <f>INDEX(CATALOGO[Descripción],MATCH(PRESUPUESTO[[#This Row],[APLICACIÓN]]&amp;"-00-00-00",CATALOGO[Código],0))</f>
        <v>DECANATO DE ESTUDIANTES</v>
      </c>
      <c r="D2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Entrenadores Morataya $ 450, Panameño $ 600. - SON $ 500 + 600.00</v>
      </c>
      <c r="E226" t="s">
        <v>3883</v>
      </c>
      <c r="F226" s="78">
        <v>13200</v>
      </c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</row>
    <row r="227" spans="1:19" hidden="1" x14ac:dyDescent="0.25">
      <c r="A227" t="s">
        <v>3710</v>
      </c>
      <c r="B227" s="68" t="str">
        <f>MID(PRESUPUESTO[[#This Row],[CUENTA]],1,4)</f>
        <v>E-21</v>
      </c>
      <c r="C227" s="68" t="str">
        <f>INDEX(CATALOGO[Descripción],MATCH(PRESUPUESTO[[#This Row],[APLICACIÓN]]&amp;"-00-00-00",CATALOGO[Código],0))</f>
        <v>CENTRO DE FORMACION PROFESIONAL y EXT U</v>
      </c>
      <c r="D2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FCCE - Insumos Diplomados </v>
      </c>
      <c r="E227" t="s">
        <v>3711</v>
      </c>
      <c r="F227" s="78">
        <v>13000</v>
      </c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</row>
    <row r="228" spans="1:19" hidden="1" x14ac:dyDescent="0.25">
      <c r="A228" t="s">
        <v>1635</v>
      </c>
      <c r="B228" s="68" t="str">
        <f>MID(PRESUPUESTO[[#This Row],[CUENTA]],1,4)</f>
        <v>E-24</v>
      </c>
      <c r="C228" s="68" t="str">
        <f>INDEX(CATALOGO[Descripción],MATCH(PRESUPUESTO[[#This Row],[APLICACIÓN]]&amp;"-00-00-00",CATALOGO[Código],0))</f>
        <v>NUEVO INGRESO</v>
      </c>
      <c r="D2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Viaticos y atenciones a Personal proceso inscripción</v>
      </c>
      <c r="E228" t="s">
        <v>707</v>
      </c>
      <c r="F228" s="78">
        <v>13000</v>
      </c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1:19" hidden="1" x14ac:dyDescent="0.25">
      <c r="A229" t="s">
        <v>3912</v>
      </c>
      <c r="B229" s="68" t="str">
        <f>MID(PRESUPUESTO[[#This Row],[CUENTA]],1,4)</f>
        <v>E-26</v>
      </c>
      <c r="C229" s="68" t="str">
        <f>INDEX(CATALOGO[Descripción],MATCH(PRESUPUESTO[[#This Row],[APLICACIÓN]]&amp;"-00-00-00",CATALOGO[Código],0))</f>
        <v>EVENTOS ACADEMICOS, CULTURALES  E INSTITUCIONALES</v>
      </c>
      <c r="D2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Hotel Cena</v>
      </c>
      <c r="E229" t="s">
        <v>3913</v>
      </c>
      <c r="F229" s="78">
        <v>12800</v>
      </c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</row>
    <row r="230" spans="1:19" x14ac:dyDescent="0.25">
      <c r="A230" t="s">
        <v>3234</v>
      </c>
      <c r="B230" s="68" t="str">
        <f>MID(PRESUPUESTO[[#This Row],[CUENTA]],1,4)</f>
        <v>I-05</v>
      </c>
      <c r="C230" s="68" t="str">
        <f>INDEX(CATALOGO[Descripción],MATCH(PRESUPUESTO[[#This Row],[APLICACIÓN]]&amp;"-00-00-00",CATALOGO[Código],0))</f>
        <v xml:space="preserve">MAESTRIAS, POSTGRADOS </v>
      </c>
      <c r="D2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30" t="s">
        <v>3187</v>
      </c>
      <c r="F230" s="78">
        <v>0</v>
      </c>
      <c r="S230" t="s">
        <v>3187</v>
      </c>
    </row>
    <row r="231" spans="1:19" hidden="1" x14ac:dyDescent="0.25">
      <c r="A231" t="s">
        <v>1549</v>
      </c>
      <c r="B231" s="68" t="str">
        <f>MID(PRESUPUESTO[[#This Row],[CUENTA]],1,4)</f>
        <v>E-29</v>
      </c>
      <c r="C231" s="68" t="str">
        <f>INDEX(CATALOGO[Descripción],MATCH(PRESUPUESTO[[#This Row],[APLICACIÓN]]&amp;"-00-00-00",CATALOGO[Código],0))</f>
        <v xml:space="preserve">BIBLIOTECA </v>
      </c>
      <c r="D2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 $ 1,020.00 x 12</v>
      </c>
      <c r="E231" t="s">
        <v>894</v>
      </c>
      <c r="F231" s="78">
        <v>12240</v>
      </c>
      <c r="S231" t="s">
        <v>3187</v>
      </c>
    </row>
    <row r="232" spans="1:19" hidden="1" x14ac:dyDescent="0.25">
      <c r="A232" t="s">
        <v>1321</v>
      </c>
      <c r="B232" s="68" t="str">
        <f>MID(PRESUPUESTO[[#This Row],[CUENTA]],1,4)</f>
        <v>E-01</v>
      </c>
      <c r="C232" s="68" t="str">
        <f>INDEX(CATALOGO[Descripción],MATCH(PRESUPUESTO[[#This Row],[APLICACIÓN]]&amp;"-00-00-00",CATALOGO[Código],0))</f>
        <v>SERVICIOS PROFESIONALES</v>
      </c>
      <c r="D2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Servicios Prof.Lic Reynaldo Lopez G $ 1,000*12</v>
      </c>
      <c r="E232" t="s">
        <v>123</v>
      </c>
      <c r="F232" s="78">
        <v>12000</v>
      </c>
      <c r="S232" t="s">
        <v>3187</v>
      </c>
    </row>
    <row r="233" spans="1:19" hidden="1" x14ac:dyDescent="0.25">
      <c r="A233" t="s">
        <v>1183</v>
      </c>
      <c r="B233" s="68" t="str">
        <f>MID(PRESUPUESTO[[#This Row],[CUENTA]],1,4)</f>
        <v>E-22</v>
      </c>
      <c r="C233" s="68" t="str">
        <f>INDEX(CATALOGO[Descripción],MATCH(PRESUPUESTO[[#This Row],[APLICACIÓN]]&amp;"-00-00-00",CATALOGO[Código],0))</f>
        <v>CAPACITACIÓN AL PERSONAL</v>
      </c>
      <c r="D2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Otras capacitaciones</v>
      </c>
      <c r="E233" t="s">
        <v>654</v>
      </c>
      <c r="F233" s="78">
        <v>12000</v>
      </c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</row>
    <row r="234" spans="1:19" hidden="1" x14ac:dyDescent="0.25">
      <c r="A234" t="s">
        <v>1708</v>
      </c>
      <c r="B234" s="68" t="str">
        <f>MID(PRESUPUESTO[[#This Row],[CUENTA]],1,4)</f>
        <v>E-25</v>
      </c>
      <c r="C234" s="68" t="str">
        <f>INDEX(CATALOGO[Descripción],MATCH(PRESUPUESTO[[#This Row],[APLICACIÓN]]&amp;"-00-00-00",CATALOGO[Código],0))</f>
        <v>DECANATO DE ESTUDIANTES</v>
      </c>
      <c r="D2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Uniformes Deportivos</v>
      </c>
      <c r="E234" t="s">
        <v>3884</v>
      </c>
      <c r="F234" s="78">
        <v>12000</v>
      </c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</row>
    <row r="235" spans="1:19" hidden="1" x14ac:dyDescent="0.25">
      <c r="A235" t="s">
        <v>1547</v>
      </c>
      <c r="B235" s="68" t="str">
        <f>MID(PRESUPUESTO[[#This Row],[CUENTA]],1,4)</f>
        <v>E-16</v>
      </c>
      <c r="C235" s="68" t="str">
        <f>INDEX(CATALOGO[Descripción],MATCH(PRESUPUESTO[[#This Row],[APLICACIÓN]]&amp;"-00-00-00",CATALOGO[Código],0))</f>
        <v xml:space="preserve">PRE-ESPECIALIDAD </v>
      </c>
      <c r="D2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Impresiones$ 900.00.00 x 12</v>
      </c>
      <c r="E235" t="s">
        <v>460</v>
      </c>
      <c r="F235" s="78">
        <v>10800</v>
      </c>
      <c r="S235" t="s">
        <v>3187</v>
      </c>
    </row>
    <row r="236" spans="1:19" x14ac:dyDescent="0.25">
      <c r="A236" t="s">
        <v>3235</v>
      </c>
      <c r="B236" s="68" t="str">
        <f>MID(PRESUPUESTO[[#This Row],[CUENTA]],1,4)</f>
        <v>I-05</v>
      </c>
      <c r="C236" s="68" t="str">
        <f>INDEX(CATALOGO[Descripción],MATCH(PRESUPUESTO[[#This Row],[APLICACIÓN]]&amp;"-00-00-00",CATALOGO[Código],0))</f>
        <v xml:space="preserve">MAESTRIAS, POSTGRADOS </v>
      </c>
      <c r="D2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236" t="s">
        <v>3187</v>
      </c>
      <c r="F236" s="78">
        <v>0</v>
      </c>
      <c r="S236" t="s">
        <v>3187</v>
      </c>
    </row>
    <row r="237" spans="1:19" hidden="1" x14ac:dyDescent="0.25">
      <c r="A237" t="s">
        <v>3373</v>
      </c>
      <c r="B237" s="68" t="str">
        <f>MID(PRESUPUESTO[[#This Row],[CUENTA]],1,4)</f>
        <v>E-09</v>
      </c>
      <c r="C237" s="68" t="str">
        <f>INDEX(CATALOGO[Descripción],MATCH(PRESUPUESTO[[#This Row],[APLICACIÓN]]&amp;"-00-00-00",CATALOGO[Código],0))</f>
        <v>PRESTACIONES AL PERSONAL</v>
      </c>
      <c r="D2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Gift Card Navideños</v>
      </c>
      <c r="E237" t="s">
        <v>238</v>
      </c>
      <c r="F237" s="78">
        <v>10000</v>
      </c>
    </row>
    <row r="238" spans="1:19" hidden="1" x14ac:dyDescent="0.25">
      <c r="A238" t="s">
        <v>2449</v>
      </c>
      <c r="B238" s="68" t="str">
        <f>MID(PRESUPUESTO[[#This Row],[CUENTA]],1,4)</f>
        <v>E-14</v>
      </c>
      <c r="C238" s="68" t="str">
        <f>INDEX(CATALOGO[Descripción],MATCH(PRESUPUESTO[[#This Row],[APLICACIÓN]]&amp;"-00-00-00",CATALOGO[Código],0))</f>
        <v>MATERIAL DIDÁCTICO</v>
      </c>
      <c r="D2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Otra papeleria y utiles</v>
      </c>
      <c r="E238" t="s">
        <v>433</v>
      </c>
      <c r="F238" s="78">
        <v>10000</v>
      </c>
      <c r="S238" t="s">
        <v>3187</v>
      </c>
    </row>
    <row r="239" spans="1:19" hidden="1" x14ac:dyDescent="0.25">
      <c r="A239" t="s">
        <v>1008</v>
      </c>
      <c r="B239" s="68" t="str">
        <f>MID(PRESUPUESTO[[#This Row],[CUENTA]],1,4)</f>
        <v>E-19</v>
      </c>
      <c r="C239" s="68" t="str">
        <f>INDEX(CATALOGO[Descripción],MATCH(PRESUPUESTO[[#This Row],[APLICACIÓN]]&amp;"-00-00-00",CATALOGO[Código],0))</f>
        <v>MANTENIMIENTO</v>
      </c>
      <c r="D2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Manto. Oficinas, Mobiliario y equipos</v>
      </c>
      <c r="E239" t="s">
        <v>3660</v>
      </c>
      <c r="F239" s="78">
        <v>10000</v>
      </c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</row>
    <row r="240" spans="1:19" hidden="1" x14ac:dyDescent="0.25">
      <c r="A240" t="s">
        <v>1911</v>
      </c>
      <c r="B240" s="68" t="str">
        <f>MID(PRESUPUESTO[[#This Row],[CUENTA]],1,4)</f>
        <v>E-19</v>
      </c>
      <c r="C240" s="68" t="str">
        <f>INDEX(CATALOGO[Descripción],MATCH(PRESUPUESTO[[#This Row],[APLICACIÓN]]&amp;"-00-00-00",CATALOGO[Código],0))</f>
        <v>MANTENIMIENTO</v>
      </c>
      <c r="D2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Herramientas (carpinteros, mecánicos, pintores, fontaneros, jardineros, varias)</v>
      </c>
      <c r="E240" t="s">
        <v>3679</v>
      </c>
      <c r="F240" s="78">
        <v>10000</v>
      </c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1:19" hidden="1" x14ac:dyDescent="0.25">
      <c r="A241" t="s">
        <v>1143</v>
      </c>
      <c r="B241" s="68" t="str">
        <f>MID(PRESUPUESTO[[#This Row],[CUENTA]],1,4)</f>
        <v>E-26</v>
      </c>
      <c r="C241" s="68" t="str">
        <f>INDEX(CATALOGO[Descripción],MATCH(PRESUPUESTO[[#This Row],[APLICACIÓN]]&amp;"-00-00-00",CATALOGO[Código],0))</f>
        <v>EVENTOS ACADEMICOS, CULTURALES  E INSTITUCIONALES</v>
      </c>
      <c r="D2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CONGRESO DOCENTES </v>
      </c>
      <c r="E241" t="s">
        <v>3911</v>
      </c>
      <c r="F241" s="78">
        <v>10000</v>
      </c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</row>
    <row r="242" spans="1:19" hidden="1" x14ac:dyDescent="0.25">
      <c r="A242" t="s">
        <v>3943</v>
      </c>
      <c r="B242" s="68" t="str">
        <f>MID(PRESUPUESTO[[#This Row],[CUENTA]],1,4)</f>
        <v>E-26</v>
      </c>
      <c r="C242" s="68" t="str">
        <f>INDEX(CATALOGO[Descripción],MATCH(PRESUPUESTO[[#This Row],[APLICACIÓN]]&amp;"-00-00-00",CATALOGO[Código],0))</f>
        <v>EVENTOS ACADEMICOS, CULTURALES  E INSTITUCIONALES</v>
      </c>
      <c r="D2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Congreso Internacional- FACE</v>
      </c>
      <c r="E242" t="s">
        <v>3309</v>
      </c>
      <c r="F242" s="78">
        <v>10000</v>
      </c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</row>
    <row r="243" spans="1:19" hidden="1" x14ac:dyDescent="0.25">
      <c r="A243" t="s">
        <v>3944</v>
      </c>
      <c r="B243" s="68" t="str">
        <f>MID(PRESUPUESTO[[#This Row],[CUENTA]],1,4)</f>
        <v>E-26</v>
      </c>
      <c r="C243" s="68" t="str">
        <f>INDEX(CATALOGO[Descripción],MATCH(PRESUPUESTO[[#This Row],[APLICACIÓN]]&amp;"-00-00-00",CATALOGO[Código],0))</f>
        <v>EVENTOS ACADEMICOS, CULTURALES  E INSTITUCIONALES</v>
      </c>
      <c r="D2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Congreso Internacional- FICA</v>
      </c>
      <c r="E243" t="s">
        <v>3310</v>
      </c>
      <c r="F243" s="78">
        <v>10000</v>
      </c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</row>
    <row r="244" spans="1:19" hidden="1" x14ac:dyDescent="0.25">
      <c r="A244" t="s">
        <v>3945</v>
      </c>
      <c r="B244" s="68" t="str">
        <f>MID(PRESUPUESTO[[#This Row],[CUENTA]],1,4)</f>
        <v>E-26</v>
      </c>
      <c r="C244" s="68" t="str">
        <f>INDEX(CATALOGO[Descripción],MATCH(PRESUPUESTO[[#This Row],[APLICACIÓN]]&amp;"-00-00-00",CATALOGO[Código],0))</f>
        <v>EVENTOS ACADEMICOS, CULTURALES  E INSTITUCIONALES</v>
      </c>
      <c r="D2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Congreso Internacional- FCCS</v>
      </c>
      <c r="E244" t="s">
        <v>3933</v>
      </c>
      <c r="F244" s="78">
        <v>10000</v>
      </c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</row>
    <row r="245" spans="1:19" hidden="1" x14ac:dyDescent="0.25">
      <c r="A245" t="s">
        <v>3946</v>
      </c>
      <c r="B245" s="68" t="str">
        <f>MID(PRESUPUESTO[[#This Row],[CUENTA]],1,4)</f>
        <v>E-26</v>
      </c>
      <c r="C245" s="68" t="str">
        <f>INDEX(CATALOGO[Descripción],MATCH(PRESUPUESTO[[#This Row],[APLICACIÓN]]&amp;"-00-00-00",CATALOGO[Código],0))</f>
        <v>EVENTOS ACADEMICOS, CULTURALES  E INSTITUCIONALES</v>
      </c>
      <c r="D2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Congreso Internacional- FCCJ</v>
      </c>
      <c r="E245" t="s">
        <v>3312</v>
      </c>
      <c r="F245" s="78">
        <v>10000</v>
      </c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</row>
    <row r="246" spans="1:19" hidden="1" x14ac:dyDescent="0.25">
      <c r="A246" t="s">
        <v>3967</v>
      </c>
      <c r="B246" s="68" t="str">
        <f>MID(PRESUPUESTO[[#This Row],[CUENTA]],1,4)</f>
        <v>E-26</v>
      </c>
      <c r="C246" s="68" t="str">
        <f>INDEX(CATALOGO[Descripción],MATCH(PRESUPUESTO[[#This Row],[APLICACIÓN]]&amp;"-00-00-00",CATALOGO[Código],0))</f>
        <v>EVENTOS ACADEMICOS, CULTURALES  E INSTITUCIONALES</v>
      </c>
      <c r="D2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Celebración 15 Aniversario Utec Verde</v>
      </c>
      <c r="E246" t="s">
        <v>3968</v>
      </c>
      <c r="F246" s="78">
        <v>10000</v>
      </c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</row>
    <row r="247" spans="1:19" hidden="1" x14ac:dyDescent="0.25">
      <c r="A247" t="s">
        <v>3851</v>
      </c>
      <c r="B247" s="68" t="str">
        <f>MID(PRESUPUESTO[[#This Row],[CUENTA]],1,4)</f>
        <v>E-24</v>
      </c>
      <c r="C247" s="68" t="str">
        <f>INDEX(CATALOGO[Descripción],MATCH(PRESUPUESTO[[#This Row],[APLICACIÓN]]&amp;"-00-00-00",CATALOGO[Código],0))</f>
        <v>NUEVO INGRESO</v>
      </c>
      <c r="D2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Centro de soluciones - Arrendamiento telefonos Dada Dada $ 814 x 12</v>
      </c>
      <c r="E247" t="s">
        <v>3852</v>
      </c>
      <c r="F247" s="78">
        <v>9768</v>
      </c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</row>
    <row r="248" spans="1:19" hidden="1" x14ac:dyDescent="0.25">
      <c r="A248" t="s">
        <v>1478</v>
      </c>
      <c r="B248" s="68" t="str">
        <f>MID(PRESUPUESTO[[#This Row],[CUENTA]],1,4)</f>
        <v>E-25</v>
      </c>
      <c r="C248" s="68" t="str">
        <f>INDEX(CATALOGO[Descripción],MATCH(PRESUPUESTO[[#This Row],[APLICACIÓN]]&amp;"-00-00-00",CATALOGO[Código],0))</f>
        <v>DECANATO DE ESTUDIANTES</v>
      </c>
      <c r="D2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U. recreación y deportes - Sueldo Encargado Unidad $ 750.00 </v>
      </c>
      <c r="E248" t="s">
        <v>3881</v>
      </c>
      <c r="F248" s="78">
        <v>9750</v>
      </c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</row>
    <row r="249" spans="1:19" hidden="1" x14ac:dyDescent="0.25">
      <c r="A249" t="s">
        <v>1300</v>
      </c>
      <c r="B249" s="68" t="str">
        <f>MID(PRESUPUESTO[[#This Row],[CUENTA]],1,4)</f>
        <v>E-18</v>
      </c>
      <c r="C249" s="68" t="str">
        <f>INDEX(CATALOGO[Descripción],MATCH(PRESUPUESTO[[#This Row],[APLICACIÓN]]&amp;"-00-00-00",CATALOGO[Código],0))</f>
        <v>COMUNICACIÓN INSTITUCIONAL</v>
      </c>
      <c r="D2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Sitio web y redes sociales - Desarrollador y administrador de S. Web (Trend) $ 802.00</v>
      </c>
      <c r="E249" t="s">
        <v>3617</v>
      </c>
      <c r="F249" s="78">
        <v>9640</v>
      </c>
      <c r="S249" t="s">
        <v>3187</v>
      </c>
    </row>
    <row r="250" spans="1:19" hidden="1" x14ac:dyDescent="0.25">
      <c r="A250" t="s">
        <v>2988</v>
      </c>
      <c r="B250" s="68" t="str">
        <f>MID(PRESUPUESTO[[#This Row],[CUENTA]],1,4)</f>
        <v>E-13</v>
      </c>
      <c r="C250" s="68" t="str">
        <f>INDEX(CATALOGO[Descripción],MATCH(PRESUPUESTO[[#This Row],[APLICACIÓN]]&amp;"-00-00-00",CATALOGO[Código],0))</f>
        <v>MAESTRIAS Y POSTGRADOS</v>
      </c>
      <c r="D2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Coordinador Robótica $ 800 x 12</v>
      </c>
      <c r="E250" t="s">
        <v>345</v>
      </c>
      <c r="F250" s="78">
        <v>9600</v>
      </c>
      <c r="S250" t="s">
        <v>3187</v>
      </c>
    </row>
    <row r="251" spans="1:19" hidden="1" x14ac:dyDescent="0.25">
      <c r="A251" t="s">
        <v>3512</v>
      </c>
      <c r="B251" s="68" t="str">
        <f>MID(PRESUPUESTO[[#This Row],[CUENTA]],1,4)</f>
        <v>E-13</v>
      </c>
      <c r="C251" s="68" t="str">
        <f>INDEX(CATALOGO[Descripción],MATCH(PRESUPUESTO[[#This Row],[APLICACIÓN]]&amp;"-00-00-00",CATALOGO[Código],0))</f>
        <v>MAESTRIAS Y POSTGRADOS</v>
      </c>
      <c r="D2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POSTGRADOS - SUPERVISIÓN LIC. CARLOS MOLINA</v>
      </c>
      <c r="E251" t="s">
        <v>3513</v>
      </c>
      <c r="F251" s="78">
        <v>9600</v>
      </c>
      <c r="S251" t="s">
        <v>3187</v>
      </c>
    </row>
    <row r="252" spans="1:19" hidden="1" x14ac:dyDescent="0.25">
      <c r="A252" t="s">
        <v>3714</v>
      </c>
      <c r="B252" s="68" t="str">
        <f>MID(PRESUPUESTO[[#This Row],[CUENTA]],1,4)</f>
        <v>E-21</v>
      </c>
      <c r="C252" s="68" t="str">
        <f>INDEX(CATALOGO[Descripción],MATCH(PRESUPUESTO[[#This Row],[APLICACIÓN]]&amp;"-00-00-00",CATALOGO[Código],0))</f>
        <v>CENTRO DE FORMACION PROFESIONAL y EXT U</v>
      </c>
      <c r="D2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FCCE - Pago de Licencias Innovanet</v>
      </c>
      <c r="E252" t="s">
        <v>3715</v>
      </c>
      <c r="F252" s="78">
        <v>9600</v>
      </c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</row>
    <row r="253" spans="1:19" x14ac:dyDescent="0.25">
      <c r="A253" t="s">
        <v>3239</v>
      </c>
      <c r="B253" s="68" t="str">
        <f>MID(PRESUPUESTO[[#This Row],[CUENTA]],1,4)</f>
        <v>I-05</v>
      </c>
      <c r="C253" s="68" t="str">
        <f>INDEX(CATALOGO[Descripción],MATCH(PRESUPUESTO[[#This Row],[APLICACIÓN]]&amp;"-00-00-00",CATALOGO[Código],0))</f>
        <v xml:space="preserve">MAESTRIAS, POSTGRADOS </v>
      </c>
      <c r="D2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53" t="s">
        <v>3187</v>
      </c>
      <c r="F253" s="78">
        <v>0</v>
      </c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</row>
    <row r="254" spans="1:19" x14ac:dyDescent="0.25">
      <c r="A254" t="s">
        <v>3244</v>
      </c>
      <c r="B254" s="68" t="str">
        <f>MID(PRESUPUESTO[[#This Row],[CUENTA]],1,4)</f>
        <v>I-05</v>
      </c>
      <c r="C254" s="68" t="str">
        <f>INDEX(CATALOGO[Descripción],MATCH(PRESUPUESTO[[#This Row],[APLICACIÓN]]&amp;"-00-00-00",CATALOGO[Código],0))</f>
        <v xml:space="preserve">MAESTRIAS, POSTGRADOS </v>
      </c>
      <c r="D2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54" t="s">
        <v>3187</v>
      </c>
      <c r="F254" s="78">
        <v>0</v>
      </c>
      <c r="S254" t="s">
        <v>3187</v>
      </c>
    </row>
    <row r="255" spans="1:19" hidden="1" x14ac:dyDescent="0.25">
      <c r="A255" t="s">
        <v>1474</v>
      </c>
      <c r="B255" s="68" t="str">
        <f>MID(PRESUPUESTO[[#This Row],[CUENTA]],1,4)</f>
        <v>E-25</v>
      </c>
      <c r="C255" s="68" t="str">
        <f>INDEX(CATALOGO[Descripción],MATCH(PRESUPUESTO[[#This Row],[APLICACIÓN]]&amp;"-00-00-00",CATALOGO[Código],0))</f>
        <v>DECANATO DE ESTUDIANTES</v>
      </c>
      <c r="D2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PASANTIAS- SUELDOS Y SALARIOS</v>
      </c>
      <c r="E255" t="s">
        <v>3877</v>
      </c>
      <c r="F255" s="78">
        <v>9100</v>
      </c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</row>
    <row r="256" spans="1:19" hidden="1" x14ac:dyDescent="0.25">
      <c r="A256" t="s">
        <v>1379</v>
      </c>
      <c r="B256" s="68" t="str">
        <f>MID(PRESUPUESTO[[#This Row],[CUENTA]],1,4)</f>
        <v>E-07</v>
      </c>
      <c r="C256" s="68" t="str">
        <f>INDEX(CATALOGO[Descripción],MATCH(PRESUPUESTO[[#This Row],[APLICACIÓN]]&amp;"-00-00-00",CATALOGO[Código],0))</f>
        <v>SERVICIOS TECNOLOGICOS</v>
      </c>
      <c r="D2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Antivirus administrativo ESET NOD 32</v>
      </c>
      <c r="E256" t="s">
        <v>194</v>
      </c>
      <c r="F256" s="78">
        <v>9000</v>
      </c>
    </row>
    <row r="257" spans="1:19" hidden="1" x14ac:dyDescent="0.25">
      <c r="A257" t="s">
        <v>3689</v>
      </c>
      <c r="B257" s="68" t="str">
        <f>MID(PRESUPUESTO[[#This Row],[CUENTA]],1,4)</f>
        <v>E-19</v>
      </c>
      <c r="C257" s="68" t="str">
        <f>INDEX(CATALOGO[Descripción],MATCH(PRESUPUESTO[[#This Row],[APLICACIÓN]]&amp;"-00-00-00",CATALOGO[Código],0))</f>
        <v>MANTENIMIENTO</v>
      </c>
      <c r="D2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Impermeabilización de plaza BJ</v>
      </c>
      <c r="E257" t="s">
        <v>574</v>
      </c>
      <c r="F257" s="78">
        <v>9000</v>
      </c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</row>
    <row r="258" spans="1:19" hidden="1" x14ac:dyDescent="0.25">
      <c r="A258" t="s">
        <v>3797</v>
      </c>
      <c r="B258" s="68" t="str">
        <f>MID(PRESUPUESTO[[#This Row],[CUENTA]],1,4)</f>
        <v>E-24</v>
      </c>
      <c r="C258" s="68" t="str">
        <f>INDEX(CATALOGO[Descripción],MATCH(PRESUPUESTO[[#This Row],[APLICACIÓN]]&amp;"-00-00-00",CATALOGO[Código],0))</f>
        <v>NUEVO INGRESO</v>
      </c>
      <c r="D2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SUSCRIPCIÓN MAIL CHIMP </v>
      </c>
      <c r="E258" t="s">
        <v>3798</v>
      </c>
      <c r="F258" s="78">
        <v>9000</v>
      </c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</row>
    <row r="259" spans="1:19" hidden="1" x14ac:dyDescent="0.25">
      <c r="A259" t="s">
        <v>2355</v>
      </c>
      <c r="B259" s="68" t="str">
        <f>MID(PRESUPUESTO[[#This Row],[CUENTA]],1,4)</f>
        <v>E-32</v>
      </c>
      <c r="C259" s="68" t="str">
        <f>INDEX(CATALOGO[Descripción],MATCH(PRESUPUESTO[[#This Row],[APLICACIÓN]]&amp;"-00-00-00",CATALOGO[Código],0))</f>
        <v>RELACIONES INTERNACIONALES</v>
      </c>
      <c r="D2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revisión curricularr profesor visitante USA por FICA</v>
      </c>
      <c r="E259" t="s">
        <v>958</v>
      </c>
      <c r="F259" s="78">
        <v>9000</v>
      </c>
      <c r="S259" t="s">
        <v>3187</v>
      </c>
    </row>
    <row r="260" spans="1:19" hidden="1" x14ac:dyDescent="0.25">
      <c r="A260" t="s">
        <v>1377</v>
      </c>
      <c r="B260" s="68" t="str">
        <f>MID(PRESUPUESTO[[#This Row],[CUENTA]],1,4)</f>
        <v>E-07</v>
      </c>
      <c r="C260" s="68" t="str">
        <f>INDEX(CATALOGO[Descripción],MATCH(PRESUPUESTO[[#This Row],[APLICACIÓN]]&amp;"-00-00-00",CATALOGO[Código],0))</f>
        <v>SERVICIOS TECNOLOGICOS</v>
      </c>
      <c r="D2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Antivirus Académico - ESET NOD 32</v>
      </c>
      <c r="E260" t="s">
        <v>193</v>
      </c>
      <c r="F260" s="78">
        <v>8925</v>
      </c>
    </row>
    <row r="261" spans="1:19" hidden="1" x14ac:dyDescent="0.25">
      <c r="A261" t="s">
        <v>1402</v>
      </c>
      <c r="B261" s="68" t="str">
        <f>MID(PRESUPUESTO[[#This Row],[CUENTA]],1,4)</f>
        <v>E-20</v>
      </c>
      <c r="C261" s="68" t="str">
        <f>INDEX(CATALOGO[Descripción],MATCH(PRESUPUESTO[[#This Row],[APLICACIÓN]]&amp;"-00-00-00",CATALOGO[Código],0))</f>
        <v>SEGUROS</v>
      </c>
      <c r="D2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 Valores ACSA 8 cuotas</v>
      </c>
      <c r="E261" t="s">
        <v>584</v>
      </c>
      <c r="F261" s="78">
        <v>8393</v>
      </c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</row>
    <row r="262" spans="1:19" hidden="1" x14ac:dyDescent="0.25">
      <c r="A262" t="s">
        <v>1187</v>
      </c>
      <c r="B262" s="68" t="str">
        <f>MID(PRESUPUESTO[[#This Row],[CUENTA]],1,4)</f>
        <v>E-26</v>
      </c>
      <c r="C262" s="68" t="str">
        <f>INDEX(CATALOGO[Descripción],MATCH(PRESUPUESTO[[#This Row],[APLICACIÓN]]&amp;"-00-00-00",CATALOGO[Código],0))</f>
        <v>EVENTOS ACADEMICOS, CULTURALES  E INSTITUCIONALES</v>
      </c>
      <c r="D2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ATENCION FLORAL  Y ESQUELAS POR DEFUNSIONES</v>
      </c>
      <c r="E262" t="s">
        <v>3901</v>
      </c>
      <c r="F262" s="78">
        <v>8333.35</v>
      </c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</row>
    <row r="263" spans="1:19" hidden="1" x14ac:dyDescent="0.25">
      <c r="A263" t="s">
        <v>2237</v>
      </c>
      <c r="B263" s="68" t="str">
        <f>MID(PRESUPUESTO[[#This Row],[CUENTA]],1,4)</f>
        <v>E-26</v>
      </c>
      <c r="C263" s="68" t="str">
        <f>INDEX(CATALOGO[Descripción],MATCH(PRESUPUESTO[[#This Row],[APLICACIÓN]]&amp;"-00-00-00",CATALOGO[Código],0))</f>
        <v>EVENTOS ACADEMICOS, CULTURALES  E INSTITUCIONALES</v>
      </c>
      <c r="D2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SESIONES Y CONFERENCIAS  </v>
      </c>
      <c r="E263" t="s">
        <v>3894</v>
      </c>
      <c r="F263" s="78">
        <v>8333.33</v>
      </c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</row>
    <row r="264" spans="1:19" hidden="1" x14ac:dyDescent="0.25">
      <c r="A264" t="s">
        <v>1044</v>
      </c>
      <c r="B264" s="68" t="str">
        <f>MID(PRESUPUESTO[[#This Row],[CUENTA]],1,4)</f>
        <v>E-26</v>
      </c>
      <c r="C264" s="68" t="str">
        <f>INDEX(CATALOGO[Descripción],MATCH(PRESUPUESTO[[#This Row],[APLICACIÓN]]&amp;"-00-00-00",CATALOGO[Código],0))</f>
        <v>EVENTOS ACADEMICOS, CULTURALES  E INSTITUCIONALES</v>
      </c>
      <c r="D2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COMITES EJECUTIVOS</v>
      </c>
      <c r="E264" t="s">
        <v>3895</v>
      </c>
      <c r="F264" s="78">
        <v>8333.33</v>
      </c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</row>
    <row r="265" spans="1:19" hidden="1" x14ac:dyDescent="0.25">
      <c r="A265" t="s">
        <v>1799</v>
      </c>
      <c r="B265" s="68" t="str">
        <f>MID(PRESUPUESTO[[#This Row],[CUENTA]],1,4)</f>
        <v>E-26</v>
      </c>
      <c r="C265" s="68" t="str">
        <f>INDEX(CATALOGO[Descripción],MATCH(PRESUPUESTO[[#This Row],[APLICACIÓN]]&amp;"-00-00-00",CATALOGO[Código],0))</f>
        <v>EVENTOS ACADEMICOS, CULTURALES  E INSTITUCIONALES</v>
      </c>
      <c r="D2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DIETAS</v>
      </c>
      <c r="E265" t="s">
        <v>3896</v>
      </c>
      <c r="F265" s="78">
        <v>8333.33</v>
      </c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</row>
    <row r="266" spans="1:19" hidden="1" x14ac:dyDescent="0.25">
      <c r="A266" t="s">
        <v>3897</v>
      </c>
      <c r="B266" s="68" t="str">
        <f>MID(PRESUPUESTO[[#This Row],[CUENTA]],1,4)</f>
        <v>E-26</v>
      </c>
      <c r="C266" s="68" t="str">
        <f>INDEX(CATALOGO[Descripción],MATCH(PRESUPUESTO[[#This Row],[APLICACIÓN]]&amp;"-00-00-00",CATALOGO[Código],0))</f>
        <v>EVENTOS ACADEMICOS, CULTURALES  E INSTITUCIONALES</v>
      </c>
      <c r="D2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REUNIONES RECTORIA</v>
      </c>
      <c r="E266" t="s">
        <v>3898</v>
      </c>
      <c r="F266" s="78">
        <v>8333.33</v>
      </c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</row>
    <row r="267" spans="1:19" hidden="1" x14ac:dyDescent="0.25">
      <c r="A267" t="s">
        <v>3899</v>
      </c>
      <c r="B267" s="68" t="str">
        <f>MID(PRESUPUESTO[[#This Row],[CUENTA]],1,4)</f>
        <v>E-26</v>
      </c>
      <c r="C267" s="68" t="str">
        <f>INDEX(CATALOGO[Descripción],MATCH(PRESUPUESTO[[#This Row],[APLICACIÓN]]&amp;"-00-00-00",CATALOGO[Código],0))</f>
        <v>EVENTOS ACADEMICOS, CULTURALES  E INSTITUCIONALES</v>
      </c>
      <c r="D2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CORPORATIVA</v>
      </c>
      <c r="E267" t="s">
        <v>3900</v>
      </c>
      <c r="F267" s="78">
        <v>8333.33</v>
      </c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</row>
    <row r="268" spans="1:19" x14ac:dyDescent="0.25">
      <c r="A268" t="s">
        <v>3248</v>
      </c>
      <c r="B268" s="68" t="str">
        <f>MID(PRESUPUESTO[[#This Row],[CUENTA]],1,4)</f>
        <v>I-05</v>
      </c>
      <c r="C268" s="68" t="str">
        <f>INDEX(CATALOGO[Descripción],MATCH(PRESUPUESTO[[#This Row],[APLICACIÓN]]&amp;"-00-00-00",CATALOGO[Código],0))</f>
        <v xml:space="preserve">MAESTRIAS, POSTGRADOS </v>
      </c>
      <c r="D2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268" t="s">
        <v>3187</v>
      </c>
      <c r="F268" s="78">
        <v>0</v>
      </c>
      <c r="S268" t="s">
        <v>3187</v>
      </c>
    </row>
    <row r="269" spans="1:19" hidden="1" x14ac:dyDescent="0.25">
      <c r="A269" t="s">
        <v>1322</v>
      </c>
      <c r="B269" s="68" t="str">
        <f>MID(PRESUPUESTO[[#This Row],[CUENTA]],1,4)</f>
        <v>E-09</v>
      </c>
      <c r="C269" s="68" t="str">
        <f>INDEX(CATALOGO[Descripción],MATCH(PRESUPUESTO[[#This Row],[APLICACIÓN]]&amp;"-00-00-00",CATALOGO[Código],0))</f>
        <v>PRESTACIONES AL PERSONAL</v>
      </c>
      <c r="D2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SALA CUNA</v>
      </c>
      <c r="E269" t="s">
        <v>3374</v>
      </c>
      <c r="F269" s="78">
        <v>8100</v>
      </c>
      <c r="S269" t="s">
        <v>3187</v>
      </c>
    </row>
    <row r="270" spans="1:19" hidden="1" x14ac:dyDescent="0.25">
      <c r="A270" t="s">
        <v>1374</v>
      </c>
      <c r="B270" s="68" t="str">
        <f>MID(PRESUPUESTO[[#This Row],[CUENTA]],1,4)</f>
        <v>E-19</v>
      </c>
      <c r="C270" s="68" t="str">
        <f>INDEX(CATALOGO[Descripción],MATCH(PRESUPUESTO[[#This Row],[APLICACIÓN]]&amp;"-00-00-00",CATALOGO[Código],0))</f>
        <v>MANTENIMIENTO</v>
      </c>
      <c r="D2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Materiales Mantenimiento A/A</v>
      </c>
      <c r="E270" t="s">
        <v>3659</v>
      </c>
      <c r="F270" s="78">
        <v>8000</v>
      </c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</row>
    <row r="271" spans="1:19" hidden="1" x14ac:dyDescent="0.25">
      <c r="A271" t="s">
        <v>1768</v>
      </c>
      <c r="B271" s="68" t="str">
        <f>MID(PRESUPUESTO[[#This Row],[CUENTA]],1,4)</f>
        <v>E-19</v>
      </c>
      <c r="C271" s="68" t="str">
        <f>INDEX(CATALOGO[Descripción],MATCH(PRESUPUESTO[[#This Row],[APLICACIÓN]]&amp;"-00-00-00",CATALOGO[Código],0))</f>
        <v>MANTENIMIENTO</v>
      </c>
      <c r="D2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Materiales para Construcción </v>
      </c>
      <c r="E271" t="s">
        <v>3670</v>
      </c>
      <c r="F271" s="78">
        <v>8000</v>
      </c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</row>
    <row r="272" spans="1:19" hidden="1" x14ac:dyDescent="0.25">
      <c r="A272" t="s">
        <v>1582</v>
      </c>
      <c r="B272" s="68" t="str">
        <f>MID(PRESUPUESTO[[#This Row],[CUENTA]],1,4)</f>
        <v>E-19</v>
      </c>
      <c r="C272" s="68" t="str">
        <f>INDEX(CATALOGO[Descripción],MATCH(PRESUPUESTO[[#This Row],[APLICACIÓN]]&amp;"-00-00-00",CATALOGO[Código],0))</f>
        <v>MANTENIMIENTO</v>
      </c>
      <c r="D2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Materiales Eléctricos </v>
      </c>
      <c r="E272" t="s">
        <v>3671</v>
      </c>
      <c r="F272" s="78">
        <v>8000</v>
      </c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</row>
    <row r="273" spans="1:19" hidden="1" x14ac:dyDescent="0.25">
      <c r="A273" t="s">
        <v>1114</v>
      </c>
      <c r="B273" s="68" t="str">
        <f>MID(PRESUPUESTO[[#This Row],[CUENTA]],1,4)</f>
        <v>E-19</v>
      </c>
      <c r="C273" s="68" t="str">
        <f>INDEX(CATALOGO[Descripción],MATCH(PRESUPUESTO[[#This Row],[APLICACIÓN]]&amp;"-00-00-00",CATALOGO[Código],0))</f>
        <v>MANTENIMIENTO</v>
      </c>
      <c r="D2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Materiales mantenimiento </v>
      </c>
      <c r="E273" t="s">
        <v>3672</v>
      </c>
      <c r="F273" s="78">
        <v>8000</v>
      </c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</row>
    <row r="274" spans="1:19" hidden="1" x14ac:dyDescent="0.25">
      <c r="A274" t="s">
        <v>2026</v>
      </c>
      <c r="B274" s="68" t="str">
        <f>MID(PRESUPUESTO[[#This Row],[CUENTA]],1,4)</f>
        <v>E-25</v>
      </c>
      <c r="C274" s="68" t="str">
        <f>INDEX(CATALOGO[Descripción],MATCH(PRESUPUESTO[[#This Row],[APLICACIÓN]]&amp;"-00-00-00",CATALOGO[Código],0))</f>
        <v>DECANATO DE ESTUDIANTES</v>
      </c>
      <c r="D2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</v>
      </c>
      <c r="E274" t="s">
        <v>3869</v>
      </c>
      <c r="F274" s="78">
        <v>8000</v>
      </c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</row>
    <row r="275" spans="1:19" x14ac:dyDescent="0.25">
      <c r="A275" t="s">
        <v>3249</v>
      </c>
      <c r="B275" s="68" t="str">
        <f>MID(PRESUPUESTO[[#This Row],[CUENTA]],1,4)</f>
        <v>I-05</v>
      </c>
      <c r="C275" s="68" t="str">
        <f>INDEX(CATALOGO[Descripción],MATCH(PRESUPUESTO[[#This Row],[APLICACIÓN]]&amp;"-00-00-00",CATALOGO[Código],0))</f>
        <v xml:space="preserve">MAESTRIAS, POSTGRADOS </v>
      </c>
      <c r="D2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75" t="s">
        <v>3187</v>
      </c>
      <c r="F275" s="78">
        <v>0</v>
      </c>
      <c r="S275" t="s">
        <v>3187</v>
      </c>
    </row>
    <row r="276" spans="1:19" hidden="1" x14ac:dyDescent="0.25">
      <c r="A276" t="s">
        <v>1264</v>
      </c>
      <c r="B276" s="68" t="str">
        <f>MID(PRESUPUESTO[[#This Row],[CUENTA]],1,4)</f>
        <v>E-13</v>
      </c>
      <c r="C276" s="68" t="str">
        <f>INDEX(CATALOGO[Descripción],MATCH(PRESUPUESTO[[#This Row],[APLICACIÓN]]&amp;"-00-00-00",CATALOGO[Código],0))</f>
        <v>MAESTRIAS Y POSTGRADOS</v>
      </c>
      <c r="D2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 DE AGUA </v>
      </c>
      <c r="E276" t="s">
        <v>3378</v>
      </c>
      <c r="F276" s="78">
        <v>7800</v>
      </c>
      <c r="S276" t="s">
        <v>3187</v>
      </c>
    </row>
    <row r="277" spans="1:19" hidden="1" x14ac:dyDescent="0.25">
      <c r="A277" t="s">
        <v>3335</v>
      </c>
      <c r="B277" s="68" t="str">
        <f>MID(PRESUPUESTO[[#This Row],[CUENTA]],1,4)</f>
        <v>E-08</v>
      </c>
      <c r="C277" s="68" t="str">
        <f>INDEX(CATALOGO[Descripción],MATCH(PRESUPUESTO[[#This Row],[APLICACIÓN]]&amp;"-00-00-00",CATALOGO[Código],0))</f>
        <v>INVERSIONES Y PROYECTOS ESPECIALES</v>
      </c>
      <c r="D2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Escuela y Laboratorio de Idiomas</v>
      </c>
      <c r="E277" t="s">
        <v>3336</v>
      </c>
      <c r="F277" s="78">
        <v>7500</v>
      </c>
      <c r="S277" t="s">
        <v>3187</v>
      </c>
    </row>
    <row r="278" spans="1:19" hidden="1" x14ac:dyDescent="0.25">
      <c r="A278" t="s">
        <v>3365</v>
      </c>
      <c r="B278" s="68" t="str">
        <f>MID(PRESUPUESTO[[#This Row],[CUENTA]],1,4)</f>
        <v>E-08</v>
      </c>
      <c r="C278" s="68" t="str">
        <f>INDEX(CATALOGO[Descripción],MATCH(PRESUPUESTO[[#This Row],[APLICACIÓN]]&amp;"-00-00-00",CATALOGO[Código],0))</f>
        <v>INVERSIONES Y PROYECTOS ESPECIALES</v>
      </c>
      <c r="D2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UNIDADES ADMINISTRATIVAS</v>
      </c>
      <c r="E278" t="s">
        <v>3366</v>
      </c>
      <c r="F278" s="78">
        <v>7500</v>
      </c>
      <c r="S278" t="s">
        <v>3187</v>
      </c>
    </row>
    <row r="279" spans="1:19" hidden="1" x14ac:dyDescent="0.25">
      <c r="A279" t="s">
        <v>3365</v>
      </c>
      <c r="B279" s="68" t="str">
        <f>MID(PRESUPUESTO[[#This Row],[CUENTA]],1,4)</f>
        <v>E-08</v>
      </c>
      <c r="C279" s="68" t="str">
        <f>INDEX(CATALOGO[Descripción],MATCH(PRESUPUESTO[[#This Row],[APLICACIÓN]]&amp;"-00-00-00",CATALOGO[Código],0))</f>
        <v>INVERSIONES Y PROYECTOS ESPECIALES</v>
      </c>
      <c r="D2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UNIDADES ADMINISTRATIVAS</v>
      </c>
      <c r="E279" t="s">
        <v>3367</v>
      </c>
      <c r="F279" s="78">
        <v>7500</v>
      </c>
    </row>
    <row r="280" spans="1:19" hidden="1" x14ac:dyDescent="0.25">
      <c r="A280" t="s">
        <v>1095</v>
      </c>
      <c r="B280" s="68" t="str">
        <f>MID(PRESUPUESTO[[#This Row],[CUENTA]],1,4)</f>
        <v>E-13</v>
      </c>
      <c r="C280" s="68" t="str">
        <f>INDEX(CATALOGO[Descripción],MATCH(PRESUPUESTO[[#This Row],[APLICACIÓN]]&amp;"-00-00-00",CATALOGO[Código],0))</f>
        <v>MAESTRIAS Y POSTGRADOS</v>
      </c>
      <c r="D2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280" t="s">
        <v>3475</v>
      </c>
      <c r="F280" s="78">
        <v>7416</v>
      </c>
      <c r="S280" t="s">
        <v>3187</v>
      </c>
    </row>
    <row r="281" spans="1:19" x14ac:dyDescent="0.25">
      <c r="A281" t="s">
        <v>3250</v>
      </c>
      <c r="B281" s="68" t="str">
        <f>MID(PRESUPUESTO[[#This Row],[CUENTA]],1,4)</f>
        <v>I-05</v>
      </c>
      <c r="C281" s="68" t="str">
        <f>INDEX(CATALOGO[Descripción],MATCH(PRESUPUESTO[[#This Row],[APLICACIÓN]]&amp;"-00-00-00",CATALOGO[Código],0))</f>
        <v xml:space="preserve">MAESTRIAS, POSTGRADOS </v>
      </c>
      <c r="D2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281" t="s">
        <v>3187</v>
      </c>
      <c r="F281" s="78">
        <v>0</v>
      </c>
      <c r="S281" t="s">
        <v>3187</v>
      </c>
    </row>
    <row r="282" spans="1:19" hidden="1" x14ac:dyDescent="0.25">
      <c r="A282" t="s">
        <v>1232</v>
      </c>
      <c r="B282" s="68" t="str">
        <f>MID(PRESUPUESTO[[#This Row],[CUENTA]],1,4)</f>
        <v>E-11</v>
      </c>
      <c r="C282" s="68" t="str">
        <f>INDEX(CATALOGO[Descripción],MATCH(PRESUPUESTO[[#This Row],[APLICACIÓN]]&amp;"-00-00-00",CATALOGO[Código],0))</f>
        <v>INVESTIGACIONES</v>
      </c>
      <c r="D2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DE OFICINA</v>
      </c>
      <c r="E282" t="s">
        <v>261</v>
      </c>
      <c r="F282" s="78">
        <v>7000</v>
      </c>
      <c r="S282" t="s">
        <v>3187</v>
      </c>
    </row>
    <row r="283" spans="1:19" hidden="1" x14ac:dyDescent="0.25">
      <c r="A283" t="s">
        <v>3662</v>
      </c>
      <c r="B283" s="68" t="str">
        <f>MID(PRESUPUESTO[[#This Row],[CUENTA]],1,4)</f>
        <v>E-19</v>
      </c>
      <c r="C283" s="68" t="str">
        <f>INDEX(CATALOGO[Descripción],MATCH(PRESUPUESTO[[#This Row],[APLICACIÓN]]&amp;"-00-00-00",CATALOGO[Código],0))</f>
        <v>MANTENIMIENTO</v>
      </c>
      <c r="D2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Bebederos</v>
      </c>
      <c r="E283" t="s">
        <v>3663</v>
      </c>
      <c r="F283" s="78">
        <v>7000</v>
      </c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</row>
    <row r="284" spans="1:19" hidden="1" x14ac:dyDescent="0.25">
      <c r="A284" t="s">
        <v>3664</v>
      </c>
      <c r="B284" s="68" t="str">
        <f>MID(PRESUPUESTO[[#This Row],[CUENTA]],1,4)</f>
        <v>E-19</v>
      </c>
      <c r="C284" s="68" t="str">
        <f>INDEX(CATALOGO[Descripción],MATCH(PRESUPUESTO[[#This Row],[APLICACIÓN]]&amp;"-00-00-00",CATALOGO[Código],0))</f>
        <v>MANTENIMIENTO</v>
      </c>
      <c r="D2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Plantas Emergencia</v>
      </c>
      <c r="E284" t="s">
        <v>3665</v>
      </c>
      <c r="F284" s="78">
        <v>7000</v>
      </c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</row>
    <row r="285" spans="1:19" hidden="1" x14ac:dyDescent="0.25">
      <c r="A285" t="s">
        <v>1580</v>
      </c>
      <c r="B285" s="68" t="str">
        <f>MID(PRESUPUESTO[[#This Row],[CUENTA]],1,4)</f>
        <v>E-19</v>
      </c>
      <c r="C285" s="68" t="str">
        <f>INDEX(CATALOGO[Descripción],MATCH(PRESUPUESTO[[#This Row],[APLICACIÓN]]&amp;"-00-00-00",CATALOGO[Código],0))</f>
        <v>MANTENIMIENTO</v>
      </c>
      <c r="D2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 servicios sanitarios alumnos</v>
      </c>
      <c r="E285" t="s">
        <v>565</v>
      </c>
      <c r="F285" s="78">
        <v>7000</v>
      </c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</row>
    <row r="286" spans="1:19" hidden="1" x14ac:dyDescent="0.25">
      <c r="A286" t="s">
        <v>1417</v>
      </c>
      <c r="B286" s="68" t="str">
        <f>MID(PRESUPUESTO[[#This Row],[CUENTA]],1,4)</f>
        <v>E-24</v>
      </c>
      <c r="C286" s="68" t="str">
        <f>INDEX(CATALOGO[Descripción],MATCH(PRESUPUESTO[[#This Row],[APLICACIÓN]]&amp;"-00-00-00",CATALOGO[Código],0))</f>
        <v>NUEVO INGRESO</v>
      </c>
      <c r="D2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-Participación en ferias: Counter, Viáticos y hospedaje Ferias</v>
      </c>
      <c r="E286" t="s">
        <v>3833</v>
      </c>
      <c r="F286" s="78">
        <v>7000</v>
      </c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</row>
    <row r="287" spans="1:19" hidden="1" x14ac:dyDescent="0.25">
      <c r="A287" t="s">
        <v>3982</v>
      </c>
      <c r="B287" s="68" t="str">
        <f>MID(PRESUPUESTO[[#This Row],[CUENTA]],1,4)</f>
        <v>E-29</v>
      </c>
      <c r="C287" s="68" t="str">
        <f>INDEX(CATALOGO[Descripción],MATCH(PRESUPUESTO[[#This Row],[APLICACIÓN]]&amp;"-00-00-00",CATALOGO[Código],0))</f>
        <v xml:space="preserve">BIBLIOTECA </v>
      </c>
      <c r="D2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Suscripción Tirant Lo Blanch</v>
      </c>
      <c r="E287" t="s">
        <v>901</v>
      </c>
      <c r="F287" s="78">
        <v>7000</v>
      </c>
      <c r="S287" t="s">
        <v>3187</v>
      </c>
    </row>
    <row r="288" spans="1:19" hidden="1" x14ac:dyDescent="0.25">
      <c r="A288" t="s">
        <v>1306</v>
      </c>
      <c r="B288" s="68" t="str">
        <f>MID(PRESUPUESTO[[#This Row],[CUENTA]],1,4)</f>
        <v>E-07</v>
      </c>
      <c r="C288" s="68" t="str">
        <f>INDEX(CATALOGO[Descripción],MATCH(PRESUPUESTO[[#This Row],[APLICACIÓN]]&amp;"-00-00-00",CATALOGO[Código],0))</f>
        <v>SERVICIOS TECNOLOGICOS</v>
      </c>
      <c r="D2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SERVICIOS ADMINISTRATIVOS- APP Estudiantes Mobiles El Salvador </v>
      </c>
      <c r="E288" t="s">
        <v>3325</v>
      </c>
      <c r="F288" s="78">
        <v>6800</v>
      </c>
      <c r="S288" t="s">
        <v>3187</v>
      </c>
    </row>
    <row r="289" spans="1:19" hidden="1" x14ac:dyDescent="0.25">
      <c r="A289" t="s">
        <v>3666</v>
      </c>
      <c r="B289" s="68" t="str">
        <f>MID(PRESUPUESTO[[#This Row],[CUENTA]],1,4)</f>
        <v>E-19</v>
      </c>
      <c r="C289" s="68" t="str">
        <f>INDEX(CATALOGO[Descripción],MATCH(PRESUPUESTO[[#This Row],[APLICACIÓN]]&amp;"-00-00-00",CATALOGO[Código],0))</f>
        <v>MANTENIMIENTO</v>
      </c>
      <c r="D2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subestaciones eléctricas</v>
      </c>
      <c r="E289" t="s">
        <v>3667</v>
      </c>
      <c r="F289" s="78">
        <v>6500</v>
      </c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</row>
    <row r="290" spans="1:19" hidden="1" x14ac:dyDescent="0.25">
      <c r="A290" t="s">
        <v>2697</v>
      </c>
      <c r="B290" s="68" t="str">
        <f>MID(PRESUPUESTO[[#This Row],[CUENTA]],1,4)</f>
        <v>E-21</v>
      </c>
      <c r="C290" s="68" t="str">
        <f>INDEX(CATALOGO[Descripción],MATCH(PRESUPUESTO[[#This Row],[APLICACIÓN]]&amp;"-00-00-00",CATALOGO[Código],0))</f>
        <v>CENTRO DE FORMACION PROFESIONAL y EXT U</v>
      </c>
      <c r="D2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POSTGRADO CAMPUS VIRTUAL</v>
      </c>
      <c r="E290" t="s">
        <v>3705</v>
      </c>
      <c r="F290" s="78">
        <v>6500</v>
      </c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</row>
    <row r="291" spans="1:19" hidden="1" x14ac:dyDescent="0.25">
      <c r="A291" t="s">
        <v>2680</v>
      </c>
      <c r="B291" s="68" t="str">
        <f>MID(PRESUPUESTO[[#This Row],[CUENTA]],1,4)</f>
        <v>E-25</v>
      </c>
      <c r="C291" s="68" t="str">
        <f>INDEX(CATALOGO[Descripción],MATCH(PRESUPUESTO[[#This Row],[APLICACIÓN]]&amp;"-00-00-00",CATALOGO[Código],0))</f>
        <v>DECANATO DE ESTUDIANTES</v>
      </c>
      <c r="D2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Colaborador $ 500</v>
      </c>
      <c r="E291" t="s">
        <v>3882</v>
      </c>
      <c r="F291" s="78">
        <v>6500</v>
      </c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</row>
    <row r="292" spans="1:19" x14ac:dyDescent="0.25">
      <c r="A292" t="s">
        <v>3254</v>
      </c>
      <c r="B292" s="68" t="str">
        <f>MID(PRESUPUESTO[[#This Row],[CUENTA]],1,4)</f>
        <v>I-05</v>
      </c>
      <c r="C292" s="68" t="str">
        <f>INDEX(CATALOGO[Descripción],MATCH(PRESUPUESTO[[#This Row],[APLICACIÓN]]&amp;"-00-00-00",CATALOGO[Código],0))</f>
        <v xml:space="preserve">MAESTRIAS, POSTGRADOS </v>
      </c>
      <c r="D2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292" t="s">
        <v>3187</v>
      </c>
      <c r="F292" s="78">
        <v>0</v>
      </c>
      <c r="S292" t="s">
        <v>3187</v>
      </c>
    </row>
    <row r="293" spans="1:19" hidden="1" x14ac:dyDescent="0.25">
      <c r="A293" t="s">
        <v>1068</v>
      </c>
      <c r="B293" s="68" t="str">
        <f>MID(PRESUPUESTO[[#This Row],[CUENTA]],1,4)</f>
        <v>E-15</v>
      </c>
      <c r="C293" s="68" t="str">
        <f>INDEX(CATALOGO[Descripción],MATCH(PRESUPUESTO[[#This Row],[APLICACIÓN]]&amp;"-00-00-00",CATALOGO[Código],0))</f>
        <v>ALQUILERES</v>
      </c>
      <c r="D2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Bodega externa Admón Académica  Datasafe</v>
      </c>
      <c r="E293" t="s">
        <v>444</v>
      </c>
      <c r="F293" s="78">
        <v>6450</v>
      </c>
      <c r="S293" t="s">
        <v>3187</v>
      </c>
    </row>
    <row r="294" spans="1:19" hidden="1" x14ac:dyDescent="0.25">
      <c r="A294" t="s">
        <v>2675</v>
      </c>
      <c r="B294" s="68" t="str">
        <f>MID(PRESUPUESTO[[#This Row],[CUENTA]],1,4)</f>
        <v>E-16</v>
      </c>
      <c r="C294" s="68" t="str">
        <f>INDEX(CATALOGO[Descripción],MATCH(PRESUPUESTO[[#This Row],[APLICACIÓN]]&amp;"-00-00-00",CATALOGO[Código],0))</f>
        <v xml:space="preserve">PRE-ESPECIALIDAD </v>
      </c>
      <c r="D2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Hora Clase - Jurado de Tesis técnicos</v>
      </c>
      <c r="E294" t="s">
        <v>3564</v>
      </c>
      <c r="F294" s="78">
        <v>6300</v>
      </c>
      <c r="S294" t="s">
        <v>3187</v>
      </c>
    </row>
    <row r="295" spans="1:19" hidden="1" x14ac:dyDescent="0.25">
      <c r="A295" t="s">
        <v>3720</v>
      </c>
      <c r="B295" s="68" t="str">
        <f>MID(PRESUPUESTO[[#This Row],[CUENTA]],1,4)</f>
        <v>E-21</v>
      </c>
      <c r="C295" s="68" t="str">
        <f>INDEX(CATALOGO[Descripción],MATCH(PRESUPUESTO[[#This Row],[APLICACIÓN]]&amp;"-00-00-00",CATALOGO[Código],0))</f>
        <v>CENTRO DE FORMACION PROFESIONAL y EXT U</v>
      </c>
      <c r="D2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FCCS - Ponentes</v>
      </c>
      <c r="E295" t="s">
        <v>3709</v>
      </c>
      <c r="F295" s="78">
        <v>6200</v>
      </c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</row>
    <row r="296" spans="1:19" hidden="1" x14ac:dyDescent="0.25">
      <c r="A296" t="s">
        <v>1095</v>
      </c>
      <c r="B296" s="68" t="str">
        <f>MID(PRESUPUESTO[[#This Row],[CUENTA]],1,4)</f>
        <v>E-13</v>
      </c>
      <c r="C296" s="68" t="str">
        <f>INDEX(CATALOGO[Descripción],MATCH(PRESUPUESTO[[#This Row],[APLICACIÓN]]&amp;"-00-00-00",CATALOGO[Código],0))</f>
        <v>MAESTRIAS Y POSTGRADOS</v>
      </c>
      <c r="D2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296" t="s">
        <v>3476</v>
      </c>
      <c r="F296" s="78">
        <v>6180</v>
      </c>
      <c r="S296" t="s">
        <v>3187</v>
      </c>
    </row>
    <row r="297" spans="1:19" hidden="1" x14ac:dyDescent="0.25">
      <c r="A297" t="s">
        <v>3494</v>
      </c>
      <c r="B297" s="68" t="str">
        <f>MID(PRESUPUESTO[[#This Row],[CUENTA]],1,4)</f>
        <v>E-13</v>
      </c>
      <c r="C297" s="68" t="str">
        <f>INDEX(CATALOGO[Descripción],MATCH(PRESUPUESTO[[#This Row],[APLICACIÓN]]&amp;"-00-00-00",CATALOGO[Código],0))</f>
        <v>MAESTRIAS Y POSTGRADOS</v>
      </c>
      <c r="D2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Asesores Educativos  (Comisión Maestrías, Postgrados y Cursos Especializados)</v>
      </c>
      <c r="E297" t="s">
        <v>365</v>
      </c>
      <c r="F297" s="78">
        <v>6000</v>
      </c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</row>
    <row r="298" spans="1:19" hidden="1" x14ac:dyDescent="0.25">
      <c r="A298" t="s">
        <v>1184</v>
      </c>
      <c r="B298" s="68" t="str">
        <f>MID(PRESUPUESTO[[#This Row],[CUENTA]],1,4)</f>
        <v>E-22</v>
      </c>
      <c r="C298" s="68" t="str">
        <f>INDEX(CATALOGO[Descripción],MATCH(PRESUPUESTO[[#This Row],[APLICACIÓN]]&amp;"-00-00-00",CATALOGO[Código],0))</f>
        <v>CAPACITACIÓN AL PERSONAL</v>
      </c>
      <c r="D2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</v>
      </c>
      <c r="E298" t="s">
        <v>689</v>
      </c>
      <c r="F298" s="78">
        <v>6000</v>
      </c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</row>
    <row r="299" spans="1:19" hidden="1" x14ac:dyDescent="0.25">
      <c r="A299" t="s">
        <v>1017</v>
      </c>
      <c r="B299" s="68" t="str">
        <f>MID(PRESUPUESTO[[#This Row],[CUENTA]],1,4)</f>
        <v>E-31</v>
      </c>
      <c r="C299" s="68" t="str">
        <f>INDEX(CATALOGO[Descripción],MATCH(PRESUPUESTO[[#This Row],[APLICACIÓN]]&amp;"-00-00-00",CATALOGO[Código],0))</f>
        <v>DONACIONES</v>
      </c>
      <c r="D2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Academia  Salvadoreña de la Lengua</v>
      </c>
      <c r="E299" t="s">
        <v>933</v>
      </c>
      <c r="F299" s="78">
        <v>6000</v>
      </c>
      <c r="S299" t="s">
        <v>3187</v>
      </c>
    </row>
    <row r="300" spans="1:19" hidden="1" x14ac:dyDescent="0.25">
      <c r="A300" t="s">
        <v>1291</v>
      </c>
      <c r="B300" s="68" t="str">
        <f>MID(PRESUPUESTO[[#This Row],[CUENTA]],1,4)</f>
        <v>E-31</v>
      </c>
      <c r="C300" s="68" t="str">
        <f>INDEX(CATALOGO[Descripción],MATCH(PRESUPUESTO[[#This Row],[APLICACIÓN]]&amp;"-00-00-00",CATALOGO[Código],0))</f>
        <v>DONACIONES</v>
      </c>
      <c r="D3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Academia  Salvadoreña de Historia</v>
      </c>
      <c r="E300" t="s">
        <v>934</v>
      </c>
      <c r="F300" s="78">
        <v>6000</v>
      </c>
      <c r="S300" t="s">
        <v>3187</v>
      </c>
    </row>
    <row r="301" spans="1:19" hidden="1" x14ac:dyDescent="0.25">
      <c r="A301" t="s">
        <v>1247</v>
      </c>
      <c r="B301" s="68" t="str">
        <f>MID(PRESUPUESTO[[#This Row],[CUENTA]],1,4)</f>
        <v>E-32</v>
      </c>
      <c r="C301" s="68" t="str">
        <f>INDEX(CATALOGO[Descripción],MATCH(PRESUPUESTO[[#This Row],[APLICACIÓN]]&amp;"-00-00-00",CATALOGO[Código],0))</f>
        <v>RELACIONES INTERNACIONALES</v>
      </c>
      <c r="D3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 $500.0</v>
      </c>
      <c r="E301" t="s">
        <v>939</v>
      </c>
      <c r="F301" s="78">
        <v>6000</v>
      </c>
      <c r="S301" t="s">
        <v>3187</v>
      </c>
    </row>
    <row r="302" spans="1:19" hidden="1" x14ac:dyDescent="0.25">
      <c r="A302" t="s">
        <v>1393</v>
      </c>
      <c r="B302" s="68" t="str">
        <f>MID(PRESUPUESTO[[#This Row],[CUENTA]],1,4)</f>
        <v>E-21</v>
      </c>
      <c r="C302" s="68" t="str">
        <f>INDEX(CATALOGO[Descripción],MATCH(PRESUPUESTO[[#This Row],[APLICACIÓN]]&amp;"-00-00-00",CATALOGO[Código],0))</f>
        <v>CENTRO DE FORMACION PROFESIONAL y EXT U</v>
      </c>
      <c r="D3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Diplomados FCCE - Ponente </v>
      </c>
      <c r="E302" t="s">
        <v>3695</v>
      </c>
      <c r="F302" s="78">
        <v>5800</v>
      </c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</row>
    <row r="303" spans="1:19" hidden="1" x14ac:dyDescent="0.25">
      <c r="A303" t="s">
        <v>999</v>
      </c>
      <c r="B303" s="68" t="str">
        <f>MID(PRESUPUESTO[[#This Row],[CUENTA]],1,4)</f>
        <v>E-01</v>
      </c>
      <c r="C303" s="68" t="str">
        <f>INDEX(CATALOGO[Descripción],MATCH(PRESUPUESTO[[#This Row],[APLICACIÓN]]&amp;"-00-00-00",CATALOGO[Código],0))</f>
        <v>SERVICIOS PROFESIONALES</v>
      </c>
      <c r="D3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Luis Federico Hernandez cuota 6 y 7/7 $ 2800.00 x 2</v>
      </c>
      <c r="E303" t="s">
        <v>130</v>
      </c>
      <c r="F303" s="78">
        <v>5600</v>
      </c>
      <c r="S303" t="s">
        <v>3187</v>
      </c>
    </row>
    <row r="304" spans="1:19" x14ac:dyDescent="0.25">
      <c r="A304" t="s">
        <v>3259</v>
      </c>
      <c r="B304" s="68" t="str">
        <f>MID(PRESUPUESTO[[#This Row],[CUENTA]],1,4)</f>
        <v>I-05</v>
      </c>
      <c r="C304" s="68" t="str">
        <f>INDEX(CATALOGO[Descripción],MATCH(PRESUPUESTO[[#This Row],[APLICACIÓN]]&amp;"-00-00-00",CATALOGO[Código],0))</f>
        <v xml:space="preserve">MAESTRIAS, POSTGRADOS </v>
      </c>
      <c r="D3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304" t="s">
        <v>3187</v>
      </c>
      <c r="F304" s="78">
        <v>0</v>
      </c>
      <c r="S304" t="s">
        <v>3187</v>
      </c>
    </row>
    <row r="305" spans="1:19" hidden="1" x14ac:dyDescent="0.25">
      <c r="A305" t="s">
        <v>3437</v>
      </c>
      <c r="B305" s="68" t="str">
        <f>MID(PRESUPUESTO[[#This Row],[CUENTA]],1,4)</f>
        <v>E-12</v>
      </c>
      <c r="C305" s="68" t="str">
        <f>INDEX(CATALOGO[Descripción],MATCH(PRESUPUESTO[[#This Row],[APLICACIÓN]]&amp;"-00-00-00",CATALOGO[Código],0))</f>
        <v>PROYECCION SOCIAL</v>
      </c>
      <c r="D3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Cedulas introductorias y rotulaciones</v>
      </c>
      <c r="E305" t="s">
        <v>3438</v>
      </c>
      <c r="F305" s="78">
        <v>5500</v>
      </c>
      <c r="S305" t="s">
        <v>3187</v>
      </c>
    </row>
    <row r="306" spans="1:19" hidden="1" x14ac:dyDescent="0.25">
      <c r="A306" t="s">
        <v>3708</v>
      </c>
      <c r="B306" s="68" t="str">
        <f>MID(PRESUPUESTO[[#This Row],[CUENTA]],1,4)</f>
        <v>E-21</v>
      </c>
      <c r="C306" s="68" t="str">
        <f>INDEX(CATALOGO[Descripción],MATCH(PRESUPUESTO[[#This Row],[APLICACIÓN]]&amp;"-00-00-00",CATALOGO[Código],0))</f>
        <v>CENTRO DE FORMACION PROFESIONAL y EXT U</v>
      </c>
      <c r="D3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FCCE - Ponentes</v>
      </c>
      <c r="E306" t="s">
        <v>3709</v>
      </c>
      <c r="F306" s="78">
        <v>5400</v>
      </c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</row>
    <row r="307" spans="1:19" hidden="1" x14ac:dyDescent="0.25">
      <c r="A307" t="s">
        <v>3483</v>
      </c>
      <c r="B307" s="68" t="str">
        <f>MID(PRESUPUESTO[[#This Row],[CUENTA]],1,4)</f>
        <v>E-13</v>
      </c>
      <c r="C307" s="68" t="str">
        <f>INDEX(CATALOGO[Descripción],MATCH(PRESUPUESTO[[#This Row],[APLICACIÓN]]&amp;"-00-00-00",CATALOGO[Código],0))</f>
        <v>MAESTRIAS Y POSTGRADOS</v>
      </c>
      <c r="D3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Otra papeleria y utiles proveeduria</v>
      </c>
      <c r="E307" t="s">
        <v>350</v>
      </c>
      <c r="F307" s="78">
        <v>5280</v>
      </c>
      <c r="S307" t="s">
        <v>3187</v>
      </c>
    </row>
    <row r="308" spans="1:19" hidden="1" x14ac:dyDescent="0.25">
      <c r="A308" t="s">
        <v>1167</v>
      </c>
      <c r="B308" s="68" t="str">
        <f>MID(PRESUPUESTO[[#This Row],[CUENTA]],1,4)</f>
        <v>E-24</v>
      </c>
      <c r="C308" s="68" t="str">
        <f>INDEX(CATALOGO[Descripción],MATCH(PRESUPUESTO[[#This Row],[APLICACIÓN]]&amp;"-00-00-00",CATALOGO[Código],0))</f>
        <v>NUEVO INGRESO</v>
      </c>
      <c r="D3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Mantenimiento de local $ 436.23</v>
      </c>
      <c r="E308" t="s">
        <v>3837</v>
      </c>
      <c r="F308" s="78">
        <v>5235</v>
      </c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</row>
    <row r="309" spans="1:19" hidden="1" x14ac:dyDescent="0.25">
      <c r="A309" t="s">
        <v>2676</v>
      </c>
      <c r="B309" s="68" t="str">
        <f>MID(PRESUPUESTO[[#This Row],[CUENTA]],1,4)</f>
        <v>E-21</v>
      </c>
      <c r="C309" s="68" t="str">
        <f>INDEX(CATALOGO[Descripción],MATCH(PRESUPUESTO[[#This Row],[APLICACIÓN]]&amp;"-00-00-00",CATALOGO[Código],0))</f>
        <v>CENTRO DE FORMACION PROFESIONAL y EXT U</v>
      </c>
      <c r="D3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Sueldo Jeny E Sánchez</v>
      </c>
      <c r="E309" t="s">
        <v>593</v>
      </c>
      <c r="F309" s="78">
        <v>5200</v>
      </c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</row>
    <row r="310" spans="1:19" hidden="1" x14ac:dyDescent="0.25">
      <c r="A310" t="s">
        <v>3722</v>
      </c>
      <c r="B310" s="68" t="str">
        <f>MID(PRESUPUESTO[[#This Row],[CUENTA]],1,4)</f>
        <v>E-21</v>
      </c>
      <c r="C310" s="68" t="str">
        <f>INDEX(CATALOGO[Descripción],MATCH(PRESUPUESTO[[#This Row],[APLICACIÓN]]&amp;"-00-00-00",CATALOGO[Código],0))</f>
        <v>CENTRO DE FORMACION PROFESIONAL y EXT U</v>
      </c>
      <c r="D3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SEMINARIOS FACULTAD DE CIENCIAS JURIDICAS</v>
      </c>
      <c r="E310" t="s">
        <v>3709</v>
      </c>
      <c r="F310" s="78">
        <v>5200</v>
      </c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</row>
    <row r="311" spans="1:19" hidden="1" x14ac:dyDescent="0.25">
      <c r="A311" t="s">
        <v>1272</v>
      </c>
      <c r="B311" s="68" t="str">
        <f>MID(PRESUPUESTO[[#This Row],[CUENTA]],1,4)</f>
        <v>E-24</v>
      </c>
      <c r="C311" s="68" t="str">
        <f>INDEX(CATALOGO[Descripción],MATCH(PRESUPUESTO[[#This Row],[APLICACIÓN]]&amp;"-00-00-00",CATALOGO[Código],0))</f>
        <v>NUEVO INGRESO</v>
      </c>
      <c r="D3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Centro de soluciones - Servicio telefónico Telefonica $ 419 x 12</v>
      </c>
      <c r="E311" t="s">
        <v>3849</v>
      </c>
      <c r="F311" s="78">
        <v>5028</v>
      </c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</row>
    <row r="312" spans="1:19" x14ac:dyDescent="0.25">
      <c r="A312" t="s">
        <v>3263</v>
      </c>
      <c r="B312" s="68" t="str">
        <f>MID(PRESUPUESTO[[#This Row],[CUENTA]],1,4)</f>
        <v>I-05</v>
      </c>
      <c r="C312" s="68" t="str">
        <f>INDEX(CATALOGO[Descripción],MATCH(PRESUPUESTO[[#This Row],[APLICACIÓN]]&amp;"-00-00-00",CATALOGO[Código],0))</f>
        <v xml:space="preserve">MAESTRIAS, POSTGRADOS </v>
      </c>
      <c r="D3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312" t="s">
        <v>3187</v>
      </c>
      <c r="F312" s="78">
        <v>0</v>
      </c>
      <c r="S312" t="s">
        <v>3187</v>
      </c>
    </row>
    <row r="313" spans="1:19" x14ac:dyDescent="0.25">
      <c r="A313" t="s">
        <v>3264</v>
      </c>
      <c r="B313" s="68" t="str">
        <f>MID(PRESUPUESTO[[#This Row],[CUENTA]],1,4)</f>
        <v>I-05</v>
      </c>
      <c r="C313" s="68" t="str">
        <f>INDEX(CATALOGO[Descripción],MATCH(PRESUPUESTO[[#This Row],[APLICACIÓN]]&amp;"-00-00-00",CATALOGO[Código],0))</f>
        <v xml:space="preserve">MAESTRIAS, POSTGRADOS </v>
      </c>
      <c r="D3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313" t="s">
        <v>3187</v>
      </c>
      <c r="F313" s="78">
        <v>0</v>
      </c>
      <c r="S313" t="s">
        <v>3187</v>
      </c>
    </row>
    <row r="314" spans="1:19" x14ac:dyDescent="0.25">
      <c r="A314" t="s">
        <v>3265</v>
      </c>
      <c r="B314" s="68" t="str">
        <f>MID(PRESUPUESTO[[#This Row],[CUENTA]],1,4)</f>
        <v>I-05</v>
      </c>
      <c r="C314" s="68" t="str">
        <f>INDEX(CATALOGO[Descripción],MATCH(PRESUPUESTO[[#This Row],[APLICACIÓN]]&amp;"-00-00-00",CATALOGO[Código],0))</f>
        <v xml:space="preserve">MAESTRIAS, POSTGRADOS </v>
      </c>
      <c r="D3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314" t="s">
        <v>3187</v>
      </c>
      <c r="F314" s="78">
        <v>0</v>
      </c>
      <c r="S314" t="s">
        <v>3187</v>
      </c>
    </row>
    <row r="315" spans="1:19" hidden="1" x14ac:dyDescent="0.25">
      <c r="A315" t="s">
        <v>3323</v>
      </c>
      <c r="B315" s="68" t="str">
        <f>MID(PRESUPUESTO[[#This Row],[CUENTA]],1,4)</f>
        <v>E-07</v>
      </c>
      <c r="C315" s="68" t="str">
        <f>INDEX(CATALOGO[Descripción],MATCH(PRESUPUESTO[[#This Row],[APLICACIÓN]]&amp;"-00-00-00",CATALOGO[Código],0))</f>
        <v>SERVICIOS TECNOLOGICOS</v>
      </c>
      <c r="D3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Internet</v>
      </c>
      <c r="E315" t="s">
        <v>174</v>
      </c>
      <c r="F315" s="78">
        <v>5000</v>
      </c>
      <c r="S315" t="s">
        <v>3187</v>
      </c>
    </row>
    <row r="316" spans="1:19" hidden="1" x14ac:dyDescent="0.25">
      <c r="A316" t="s">
        <v>3333</v>
      </c>
      <c r="B316" s="68" t="str">
        <f>MID(PRESUPUESTO[[#This Row],[CUENTA]],1,4)</f>
        <v>E-08</v>
      </c>
      <c r="C316" s="68" t="str">
        <f>INDEX(CATALOGO[Descripción],MATCH(PRESUPUESTO[[#This Row],[APLICACIÓN]]&amp;"-00-00-00",CATALOGO[Código],0))</f>
        <v>INVERSIONES Y PROYECTOS ESPECIALES</v>
      </c>
      <c r="D3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merchandising y empaques</v>
      </c>
      <c r="E316" t="s">
        <v>204</v>
      </c>
      <c r="F316" s="78">
        <v>5000</v>
      </c>
      <c r="S316" t="s">
        <v>3187</v>
      </c>
    </row>
    <row r="317" spans="1:19" hidden="1" x14ac:dyDescent="0.25">
      <c r="A317" t="s">
        <v>1006</v>
      </c>
      <c r="B317" s="68" t="str">
        <f>MID(PRESUPUESTO[[#This Row],[CUENTA]],1,4)</f>
        <v>E-08</v>
      </c>
      <c r="C317" s="68" t="str">
        <f>INDEX(CATALOGO[Descripción],MATCH(PRESUPUESTO[[#This Row],[APLICACIÓN]]&amp;"-00-00-00",CATALOGO[Código],0))</f>
        <v>INVERSIONES Y PROYECTOS ESPECIALES</v>
      </c>
      <c r="D3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OTRAS UNIDADES ACADEMICAS</v>
      </c>
      <c r="E317" t="s">
        <v>3364</v>
      </c>
      <c r="F317" s="78">
        <v>5000</v>
      </c>
      <c r="S317" t="s">
        <v>3187</v>
      </c>
    </row>
    <row r="318" spans="1:19" hidden="1" x14ac:dyDescent="0.25">
      <c r="A318" t="s">
        <v>1546</v>
      </c>
      <c r="B318" s="68" t="str">
        <f>MID(PRESUPUESTO[[#This Row],[CUENTA]],1,4)</f>
        <v>E-12</v>
      </c>
      <c r="C318" s="68" t="str">
        <f>INDEX(CATALOGO[Descripción],MATCH(PRESUPUESTO[[#This Row],[APLICACIÓN]]&amp;"-00-00-00",CATALOGO[Código],0))</f>
        <v>PROYECCION SOCIAL</v>
      </c>
      <c r="D3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Impresiones$ 500 X 12</v>
      </c>
      <c r="E318" t="s">
        <v>281</v>
      </c>
      <c r="F318" s="78">
        <v>5000</v>
      </c>
      <c r="S318" t="s">
        <v>3187</v>
      </c>
    </row>
    <row r="319" spans="1:19" hidden="1" x14ac:dyDescent="0.25">
      <c r="A319" t="s">
        <v>1240</v>
      </c>
      <c r="B319" s="68" t="str">
        <f>MID(PRESUPUESTO[[#This Row],[CUENTA]],1,4)</f>
        <v>E-16</v>
      </c>
      <c r="C319" s="68" t="str">
        <f>INDEX(CATALOGO[Descripción],MATCH(PRESUPUESTO[[#This Row],[APLICACIÓN]]&amp;"-00-00-00",CATALOGO[Código],0))</f>
        <v xml:space="preserve">PRE-ESPECIALIDAD </v>
      </c>
      <c r="D3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Papelería y Utiles </v>
      </c>
      <c r="E319" t="s">
        <v>459</v>
      </c>
      <c r="F319" s="78">
        <v>5000</v>
      </c>
      <c r="S319" t="s">
        <v>3187</v>
      </c>
    </row>
    <row r="320" spans="1:19" hidden="1" x14ac:dyDescent="0.25">
      <c r="A320" t="s">
        <v>1226</v>
      </c>
      <c r="B320" s="68" t="str">
        <f>MID(PRESUPUESTO[[#This Row],[CUENTA]],1,4)</f>
        <v>E-19</v>
      </c>
      <c r="C320" s="68" t="str">
        <f>INDEX(CATALOGO[Descripción],MATCH(PRESUPUESTO[[#This Row],[APLICACIÓN]]&amp;"-00-00-00",CATALOGO[Código],0))</f>
        <v>MANTENIMIENTO</v>
      </c>
      <c r="D3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Mantenimiento Asensores </v>
      </c>
      <c r="E320" t="s">
        <v>3460</v>
      </c>
      <c r="F320" s="78">
        <v>5000</v>
      </c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</row>
    <row r="321" spans="1:19" hidden="1" x14ac:dyDescent="0.25">
      <c r="A321" t="s">
        <v>3680</v>
      </c>
      <c r="B321" s="68" t="str">
        <f>MID(PRESUPUESTO[[#This Row],[CUENTA]],1,4)</f>
        <v>E-19</v>
      </c>
      <c r="C321" s="68" t="str">
        <f>INDEX(CATALOGO[Descripción],MATCH(PRESUPUESTO[[#This Row],[APLICACIÓN]]&amp;"-00-00-00",CATALOGO[Código],0))</f>
        <v>MANTENIMIENTO</v>
      </c>
      <c r="D3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Equipo de protección especial (incluye botsa, líneas de vida, entre otros)</v>
      </c>
      <c r="E321" t="s">
        <v>3681</v>
      </c>
      <c r="F321" s="78">
        <v>5000</v>
      </c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</row>
    <row r="322" spans="1:19" hidden="1" x14ac:dyDescent="0.25">
      <c r="A322" t="s">
        <v>3686</v>
      </c>
      <c r="B322" s="68" t="str">
        <f>MID(PRESUPUESTO[[#This Row],[CUENTA]],1,4)</f>
        <v>E-19</v>
      </c>
      <c r="C322" s="68" t="str">
        <f>INDEX(CATALOGO[Descripción],MATCH(PRESUPUESTO[[#This Row],[APLICACIÓN]]&amp;"-00-00-00",CATALOGO[Código],0))</f>
        <v>MANTENIMIENTO</v>
      </c>
      <c r="D3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Iluminación en exteriores (tipo cobra)</v>
      </c>
      <c r="E322" t="s">
        <v>571</v>
      </c>
      <c r="F322" s="78">
        <v>5000</v>
      </c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</row>
    <row r="323" spans="1:19" hidden="1" x14ac:dyDescent="0.25">
      <c r="A323" t="s">
        <v>3687</v>
      </c>
      <c r="B323" s="68" t="str">
        <f>MID(PRESUPUESTO[[#This Row],[CUENTA]],1,4)</f>
        <v>E-19</v>
      </c>
      <c r="C323" s="68" t="str">
        <f>INDEX(CATALOGO[Descripción],MATCH(PRESUPUESTO[[#This Row],[APLICACIÓN]]&amp;"-00-00-00",CATALOGO[Código],0))</f>
        <v>MANTENIMIENTO</v>
      </c>
      <c r="D3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Arborización jardín Simón Bolívar</v>
      </c>
      <c r="E323" t="s">
        <v>572</v>
      </c>
      <c r="F323" s="78">
        <v>5000</v>
      </c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</row>
    <row r="324" spans="1:19" hidden="1" x14ac:dyDescent="0.25">
      <c r="A324" t="s">
        <v>3764</v>
      </c>
      <c r="B324" s="68" t="str">
        <f>MID(PRESUPUESTO[[#This Row],[CUENTA]],1,4)</f>
        <v>E-22</v>
      </c>
      <c r="C324" s="68" t="str">
        <f>INDEX(CATALOGO[Descripción],MATCH(PRESUPUESTO[[#This Row],[APLICACIÓN]]&amp;"-00-00-00",CATALOGO[Código],0))</f>
        <v>CAPACITACIÓN AL PERSONAL</v>
      </c>
      <c r="D3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Principios y valores (REFRIGERIOS)</v>
      </c>
      <c r="E324" t="s">
        <v>3765</v>
      </c>
      <c r="F324" s="78">
        <v>5000</v>
      </c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</row>
    <row r="325" spans="1:19" hidden="1" x14ac:dyDescent="0.25">
      <c r="A325" t="s">
        <v>3772</v>
      </c>
      <c r="B325" s="68" t="str">
        <f>MID(PRESUPUESTO[[#This Row],[CUENTA]],1,4)</f>
        <v>E-22</v>
      </c>
      <c r="C325" s="68" t="str">
        <f>INDEX(CATALOGO[Descripción],MATCH(PRESUPUESTO[[#This Row],[APLICACIÓN]]&amp;"-00-00-00",CATALOGO[Código],0))</f>
        <v>CAPACITACIÓN AL PERSONAL</v>
      </c>
      <c r="D3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Taller de principios y valores  REFRIGERIOS</v>
      </c>
      <c r="E325" t="s">
        <v>3765</v>
      </c>
      <c r="F325" s="78">
        <v>5000</v>
      </c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</row>
    <row r="326" spans="1:19" hidden="1" x14ac:dyDescent="0.25">
      <c r="A326" t="s">
        <v>3788</v>
      </c>
      <c r="B326" s="68" t="str">
        <f>MID(PRESUPUESTO[[#This Row],[CUENTA]],1,4)</f>
        <v>E-24</v>
      </c>
      <c r="C326" s="68" t="str">
        <f>INDEX(CATALOGO[Descripción],MATCH(PRESUPUESTO[[#This Row],[APLICACIÓN]]&amp;"-00-00-00",CATALOGO[Código],0))</f>
        <v>NUEVO INGRESO</v>
      </c>
      <c r="D3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Actualización de equipo de nuevo ingreso</v>
      </c>
      <c r="E326" t="s">
        <v>711</v>
      </c>
      <c r="F326" s="78">
        <v>5000</v>
      </c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</row>
    <row r="327" spans="1:19" hidden="1" x14ac:dyDescent="0.25">
      <c r="A327" t="s">
        <v>3794</v>
      </c>
      <c r="B327" s="68" t="str">
        <f>MID(PRESUPUESTO[[#This Row],[CUENTA]],1,4)</f>
        <v>E-24</v>
      </c>
      <c r="C327" s="68" t="str">
        <f>INDEX(CATALOGO[Descripción],MATCH(PRESUPUESTO[[#This Row],[APLICACIÓN]]&amp;"-00-00-00",CATALOGO[Código],0))</f>
        <v>NUEVO INGRESO</v>
      </c>
      <c r="D3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EN GOOGLE</v>
      </c>
      <c r="E327" t="s">
        <v>3795</v>
      </c>
      <c r="F327" s="78">
        <v>5000</v>
      </c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</row>
    <row r="328" spans="1:19" hidden="1" x14ac:dyDescent="0.25">
      <c r="A328" s="37" t="s">
        <v>3803</v>
      </c>
      <c r="B328" s="68" t="str">
        <f>MID(PRESUPUESTO[[#This Row],[CUENTA]],1,4)</f>
        <v>E-24</v>
      </c>
      <c r="C328" s="68" t="str">
        <f>INDEX(CATALOGO[Descripción],MATCH(PRESUPUESTO[[#This Row],[APLICACIÓN]]&amp;"-00-00-00",CATALOGO[Código],0))</f>
        <v>NUEVO INGRESO</v>
      </c>
      <c r="D3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Patrocinio Programa La Tribu</v>
      </c>
      <c r="E328" t="s">
        <v>723</v>
      </c>
      <c r="F328" s="78">
        <v>5000</v>
      </c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</row>
    <row r="329" spans="1:19" hidden="1" x14ac:dyDescent="0.25">
      <c r="A329" t="s">
        <v>3807</v>
      </c>
      <c r="B329" s="68" t="str">
        <f>MID(PRESUPUESTO[[#This Row],[CUENTA]],1,4)</f>
        <v>E-24</v>
      </c>
      <c r="C329" s="68" t="str">
        <f>INDEX(CATALOGO[Descripción],MATCH(PRESUPUESTO[[#This Row],[APLICACIÓN]]&amp;"-00-00-00",CATALOGO[Código],0))</f>
        <v>NUEVO INGRESO</v>
      </c>
      <c r="D3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Camisas promocionales</v>
      </c>
      <c r="E329" t="s">
        <v>729</v>
      </c>
      <c r="F329" s="78">
        <v>5000</v>
      </c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</row>
    <row r="330" spans="1:19" hidden="1" x14ac:dyDescent="0.25">
      <c r="A330" t="s">
        <v>3942</v>
      </c>
      <c r="B330" s="68" t="str">
        <f>MID(PRESUPUESTO[[#This Row],[CUENTA]],1,4)</f>
        <v>E-26</v>
      </c>
      <c r="C330" s="68" t="str">
        <f>INDEX(CATALOGO[Descripción],MATCH(PRESUPUESTO[[#This Row],[APLICACIÓN]]&amp;"-00-00-00",CATALOGO[Código],0))</f>
        <v>EVENTOS ACADEMICOS, CULTURALES  E INSTITUCIONALES</v>
      </c>
      <c r="D3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Portafolio Diseño Gráfico 2024 ( 2 eventos )</v>
      </c>
      <c r="E330" t="s">
        <v>857</v>
      </c>
      <c r="F330" s="78">
        <v>5000</v>
      </c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</row>
    <row r="331" spans="1:19" hidden="1" x14ac:dyDescent="0.25">
      <c r="A331" t="s">
        <v>3961</v>
      </c>
      <c r="B331" s="68" t="str">
        <f>MID(PRESUPUESTO[[#This Row],[CUENTA]],1,4)</f>
        <v>E-26</v>
      </c>
      <c r="C331" s="68" t="str">
        <f>INDEX(CATALOGO[Descripción],MATCH(PRESUPUESTO[[#This Row],[APLICACIÓN]]&amp;"-00-00-00",CATALOGO[Código],0))</f>
        <v>EVENTOS ACADEMICOS, CULTURALES  E INSTITUCIONALES</v>
      </c>
      <c r="D3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Adecuación de instalaciones físicas Utec Verde</v>
      </c>
      <c r="E331" t="s">
        <v>3962</v>
      </c>
      <c r="F331" s="78">
        <v>5000</v>
      </c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</row>
    <row r="332" spans="1:19" x14ac:dyDescent="0.25">
      <c r="A332" t="s">
        <v>3268</v>
      </c>
      <c r="B332" s="68" t="str">
        <f>MID(PRESUPUESTO[[#This Row],[CUENTA]],1,4)</f>
        <v>I-05</v>
      </c>
      <c r="C332" s="68" t="str">
        <f>INDEX(CATALOGO[Descripción],MATCH(PRESUPUESTO[[#This Row],[APLICACIÓN]]&amp;"-00-00-00",CATALOGO[Código],0))</f>
        <v xml:space="preserve">MAESTRIAS, POSTGRADOS </v>
      </c>
      <c r="D3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332" t="s">
        <v>3187</v>
      </c>
      <c r="F332" s="78">
        <v>0</v>
      </c>
      <c r="S332" t="s">
        <v>3187</v>
      </c>
    </row>
    <row r="333" spans="1:19" hidden="1" x14ac:dyDescent="0.25">
      <c r="A333" t="s">
        <v>1315</v>
      </c>
      <c r="B333" s="68" t="str">
        <f>MID(PRESUPUESTO[[#This Row],[CUENTA]],1,4)</f>
        <v>E-18</v>
      </c>
      <c r="C333" s="68" t="str">
        <f>INDEX(CATALOGO[Descripción],MATCH(PRESUPUESTO[[#This Row],[APLICACIÓN]]&amp;"-00-00-00",CATALOGO[Código],0))</f>
        <v>COMUNICACIÓN INSTITUCIONAL</v>
      </c>
      <c r="D3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INSTITUCIONAL</v>
      </c>
      <c r="E333" t="s">
        <v>3645</v>
      </c>
      <c r="F333" s="78">
        <v>4900</v>
      </c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</row>
    <row r="334" spans="1:19" hidden="1" x14ac:dyDescent="0.25">
      <c r="A334" t="s">
        <v>1328</v>
      </c>
      <c r="B334" s="68" t="str">
        <f>MID(PRESUPUESTO[[#This Row],[CUENTA]],1,4)</f>
        <v>E-13</v>
      </c>
      <c r="C334" s="68" t="str">
        <f>INDEX(CATALOGO[Descripción],MATCH(PRESUPUESTO[[#This Row],[APLICACIÓN]]&amp;"-00-00-00",CATALOGO[Código],0))</f>
        <v>MAESTRIAS Y POSTGRADOS</v>
      </c>
      <c r="D3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 PLANTA TELEFONICA </v>
      </c>
      <c r="E334" t="s">
        <v>3468</v>
      </c>
      <c r="F334" s="78">
        <v>4836</v>
      </c>
      <c r="S334" t="s">
        <v>3187</v>
      </c>
    </row>
    <row r="335" spans="1:19" hidden="1" x14ac:dyDescent="0.25">
      <c r="A335" t="s">
        <v>3525</v>
      </c>
      <c r="B335" s="68" t="str">
        <f>MID(PRESUPUESTO[[#This Row],[CUENTA]],1,4)</f>
        <v>E-14</v>
      </c>
      <c r="C335" s="68" t="str">
        <f>INDEX(CATALOGO[Descripción],MATCH(PRESUPUESTO[[#This Row],[APLICACIÓN]]&amp;"-00-00-00",CATALOGO[Código],0))</f>
        <v>MATERIAL DIDÁCTICO</v>
      </c>
      <c r="D3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FACULTAD DE INFORMATICA Y CC APLICADAS</v>
      </c>
      <c r="E335" t="s">
        <v>394</v>
      </c>
      <c r="F335" s="78">
        <v>4750</v>
      </c>
      <c r="S335" t="s">
        <v>3187</v>
      </c>
    </row>
    <row r="336" spans="1:19" hidden="1" x14ac:dyDescent="0.25">
      <c r="A336" t="s">
        <v>3704</v>
      </c>
      <c r="B336" s="68" t="str">
        <f>MID(PRESUPUESTO[[#This Row],[CUENTA]],1,4)</f>
        <v>E-21</v>
      </c>
      <c r="C336" s="68" t="str">
        <f>INDEX(CATALOGO[Descripción],MATCH(PRESUPUESTO[[#This Row],[APLICACIÓN]]&amp;"-00-00-00",CATALOGO[Código],0))</f>
        <v>CENTRO DE FORMACION PROFESIONAL y EXT U</v>
      </c>
      <c r="D3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Ponente</v>
      </c>
      <c r="E336" t="s">
        <v>3705</v>
      </c>
      <c r="F336" s="78">
        <v>4700</v>
      </c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</row>
    <row r="337" spans="1:19" hidden="1" x14ac:dyDescent="0.25">
      <c r="A337" t="s">
        <v>3856</v>
      </c>
      <c r="B337" s="68" t="str">
        <f>MID(PRESUPUESTO[[#This Row],[CUENTA]],1,4)</f>
        <v>E-24</v>
      </c>
      <c r="C337" s="68" t="str">
        <f>INDEX(CATALOGO[Descripción],MATCH(PRESUPUESTO[[#This Row],[APLICACIÓN]]&amp;"-00-00-00",CATALOGO[Código],0))</f>
        <v>NUEVO INGRESO</v>
      </c>
      <c r="D3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Seguridad CAM $ 385 X 12</v>
      </c>
      <c r="E337" t="s">
        <v>3857</v>
      </c>
      <c r="F337" s="78">
        <v>4620</v>
      </c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</row>
    <row r="338" spans="1:19" hidden="1" x14ac:dyDescent="0.25">
      <c r="A338" t="s">
        <v>1916</v>
      </c>
      <c r="B338" s="68" t="str">
        <f>MID(PRESUPUESTO[[#This Row],[CUENTA]],1,4)</f>
        <v>E-25</v>
      </c>
      <c r="C338" s="68" t="str">
        <f>INDEX(CATALOGO[Descripción],MATCH(PRESUPUESTO[[#This Row],[APLICACIÓN]]&amp;"-00-00-00",CATALOGO[Código],0))</f>
        <v>DECANATO DE ESTUDIANTES</v>
      </c>
      <c r="D3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Implementos deportivos</v>
      </c>
      <c r="E338" t="s">
        <v>3885</v>
      </c>
      <c r="F338" s="78">
        <v>4500</v>
      </c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</row>
    <row r="339" spans="1:19" hidden="1" x14ac:dyDescent="0.25">
      <c r="A339" t="s">
        <v>3983</v>
      </c>
      <c r="B339" s="68" t="str">
        <f>MID(PRESUPUESTO[[#This Row],[CUENTA]],1,4)</f>
        <v>E-29</v>
      </c>
      <c r="C339" s="68" t="str">
        <f>INDEX(CATALOGO[Descripción],MATCH(PRESUPUESTO[[#This Row],[APLICACIÓN]]&amp;"-00-00-00",CATALOGO[Código],0))</f>
        <v xml:space="preserve">BIBLIOTECA </v>
      </c>
      <c r="D3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E-libro catedra inglés</v>
      </c>
      <c r="E339" t="s">
        <v>904</v>
      </c>
      <c r="F339" s="78">
        <v>4466</v>
      </c>
      <c r="S339" t="s">
        <v>3187</v>
      </c>
    </row>
    <row r="340" spans="1:19" hidden="1" x14ac:dyDescent="0.25">
      <c r="A340" t="s">
        <v>1033</v>
      </c>
      <c r="B340" s="68" t="str">
        <f>MID(PRESUPUESTO[[#This Row],[CUENTA]],1,4)</f>
        <v>E-13</v>
      </c>
      <c r="C340" s="68" t="str">
        <f>INDEX(CATALOGO[Descripción],MATCH(PRESUPUESTO[[#This Row],[APLICACIÓN]]&amp;"-00-00-00",CATALOGO[Código],0))</f>
        <v>MAESTRIAS Y POSTGRADOS</v>
      </c>
      <c r="D3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Material de oficina</v>
      </c>
      <c r="E340" t="s">
        <v>322</v>
      </c>
      <c r="F340" s="78">
        <v>4445</v>
      </c>
      <c r="S340" t="s">
        <v>3187</v>
      </c>
    </row>
    <row r="341" spans="1:19" hidden="1" x14ac:dyDescent="0.25">
      <c r="A341" t="s">
        <v>3052</v>
      </c>
      <c r="B341" s="68" t="str">
        <f>MID(PRESUPUESTO[[#This Row],[CUENTA]],1,4)</f>
        <v>E-32</v>
      </c>
      <c r="C341" s="68" t="str">
        <f>INDEX(CATALOGO[Descripción],MATCH(PRESUPUESTO[[#This Row],[APLICACIÓN]]&amp;"-00-00-00",CATALOGO[Código],0))</f>
        <v>RELACIONES INTERNACIONALES</v>
      </c>
      <c r="D3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RLCU $ 3,100 mas impuestos</v>
      </c>
      <c r="E341" t="s">
        <v>944</v>
      </c>
      <c r="F341" s="78">
        <v>4400</v>
      </c>
      <c r="S341" t="s">
        <v>3187</v>
      </c>
    </row>
    <row r="342" spans="1:19" hidden="1" x14ac:dyDescent="0.25">
      <c r="A342" t="s">
        <v>3505</v>
      </c>
      <c r="B342" s="68" t="str">
        <f>MID(PRESUPUESTO[[#This Row],[CUENTA]],1,4)</f>
        <v>E-13</v>
      </c>
      <c r="C342" s="68" t="str">
        <f>INDEX(CATALOGO[Descripción],MATCH(PRESUPUESTO[[#This Row],[APLICACIÓN]]&amp;"-00-00-00",CATALOGO[Código],0))</f>
        <v>MAESTRIAS Y POSTGRADOS</v>
      </c>
      <c r="D3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Portatítulos</v>
      </c>
      <c r="E342" t="s">
        <v>3506</v>
      </c>
      <c r="F342" s="78">
        <v>4284</v>
      </c>
      <c r="S342" t="s">
        <v>3187</v>
      </c>
    </row>
    <row r="343" spans="1:19" hidden="1" x14ac:dyDescent="0.25">
      <c r="A343" t="s">
        <v>3350</v>
      </c>
      <c r="B343" s="68" t="str">
        <f>MID(PRESUPUESTO[[#This Row],[CUENTA]],1,4)</f>
        <v>E-08</v>
      </c>
      <c r="C343" s="68" t="str">
        <f>INDEX(CATALOGO[Descripción],MATCH(PRESUPUESTO[[#This Row],[APLICACIÓN]]&amp;"-00-00-00",CATALOGO[Código],0))</f>
        <v>INVERSIONES Y PROYECTOS ESPECIALES</v>
      </c>
      <c r="D3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343" t="s">
        <v>3351</v>
      </c>
      <c r="F343" s="78">
        <v>4100</v>
      </c>
    </row>
    <row r="344" spans="1:19" hidden="1" x14ac:dyDescent="0.25">
      <c r="A344" t="s">
        <v>1301</v>
      </c>
      <c r="B344" s="68" t="str">
        <f>MID(PRESUPUESTO[[#This Row],[CUENTA]],1,4)</f>
        <v>E-28</v>
      </c>
      <c r="C344" s="68" t="str">
        <f>INDEX(CATALOGO[Descripción],MATCH(PRESUPUESTO[[#This Row],[APLICACIÓN]]&amp;"-00-00-00",CATALOGO[Código],0))</f>
        <v>INSTITUTO DE GRADUADOS</v>
      </c>
      <c r="D3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Pagina Web Trend $ 339*12</v>
      </c>
      <c r="E344" t="s">
        <v>884</v>
      </c>
      <c r="F344" s="78">
        <v>4100</v>
      </c>
      <c r="S344" t="s">
        <v>3187</v>
      </c>
    </row>
    <row r="345" spans="1:19" hidden="1" x14ac:dyDescent="0.25">
      <c r="A345" t="s">
        <v>1268</v>
      </c>
      <c r="B345" s="68" t="str">
        <f>MID(PRESUPUESTO[[#This Row],[CUENTA]],1,4)</f>
        <v>E-13</v>
      </c>
      <c r="C345" s="68" t="str">
        <f>INDEX(CATALOGO[Descripción],MATCH(PRESUPUESTO[[#This Row],[APLICACIÓN]]&amp;"-00-00-00",CATALOGO[Código],0))</f>
        <v>MAESTRIAS Y POSTGRADOS</v>
      </c>
      <c r="D3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 DE TELEFONO </v>
      </c>
      <c r="E345" t="s">
        <v>3467</v>
      </c>
      <c r="F345" s="78">
        <v>4068</v>
      </c>
      <c r="S345" t="s">
        <v>3187</v>
      </c>
    </row>
    <row r="346" spans="1:19" x14ac:dyDescent="0.25">
      <c r="A346" t="s">
        <v>3269</v>
      </c>
      <c r="B346" s="68" t="str">
        <f>MID(PRESUPUESTO[[#This Row],[CUENTA]],1,4)</f>
        <v>I-05</v>
      </c>
      <c r="C346" s="68" t="str">
        <f>INDEX(CATALOGO[Descripción],MATCH(PRESUPUESTO[[#This Row],[APLICACIÓN]]&amp;"-00-00-00",CATALOGO[Código],0))</f>
        <v xml:space="preserve">MAESTRIAS, POSTGRADOS </v>
      </c>
      <c r="D3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346" t="s">
        <v>3187</v>
      </c>
      <c r="F346" s="78">
        <v>0</v>
      </c>
      <c r="S346" t="s">
        <v>3187</v>
      </c>
    </row>
    <row r="347" spans="1:19" hidden="1" x14ac:dyDescent="0.25">
      <c r="A347" t="s">
        <v>3412</v>
      </c>
      <c r="B347" s="68" t="str">
        <f>MID(PRESUPUESTO[[#This Row],[CUENTA]],1,4)</f>
        <v>E-12</v>
      </c>
      <c r="C347" s="68" t="str">
        <f>INDEX(CATALOGO[Descripción],MATCH(PRESUPUESTO[[#This Row],[APLICACIÓN]]&amp;"-00-00-00",CATALOGO[Código],0))</f>
        <v>PROYECCION SOCIAL</v>
      </c>
      <c r="D3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Lab. Nucleo - Insumos</v>
      </c>
      <c r="E347" t="s">
        <v>3413</v>
      </c>
      <c r="F347" s="78">
        <v>4000</v>
      </c>
      <c r="S347" t="s">
        <v>3187</v>
      </c>
    </row>
    <row r="348" spans="1:19" hidden="1" x14ac:dyDescent="0.25">
      <c r="A348" t="s">
        <v>3487</v>
      </c>
      <c r="B348" s="68" t="str">
        <f>MID(PRESUPUESTO[[#This Row],[CUENTA]],1,4)</f>
        <v>E-13</v>
      </c>
      <c r="C348" s="68" t="str">
        <f>INDEX(CATALOGO[Descripción],MATCH(PRESUPUESTO[[#This Row],[APLICACIÓN]]&amp;"-00-00-00",CATALOGO[Código],0))</f>
        <v>MAESTRIAS Y POSTGRADOS</v>
      </c>
      <c r="D3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Pantallas Digitales</v>
      </c>
      <c r="E348" t="s">
        <v>356</v>
      </c>
      <c r="F348" s="78">
        <v>4000</v>
      </c>
      <c r="S348" t="s">
        <v>3187</v>
      </c>
    </row>
    <row r="349" spans="1:19" hidden="1" x14ac:dyDescent="0.25">
      <c r="A349" t="s">
        <v>3488</v>
      </c>
      <c r="B349" s="68" t="str">
        <f>MID(PRESUPUESTO[[#This Row],[CUENTA]],1,4)</f>
        <v>E-13</v>
      </c>
      <c r="C349" s="68" t="str">
        <f>INDEX(CATALOGO[Descripción],MATCH(PRESUPUESTO[[#This Row],[APLICACIÓN]]&amp;"-00-00-00",CATALOGO[Código],0))</f>
        <v>MAESTRIAS Y POSTGRADOS</v>
      </c>
      <c r="D3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Pantallas en Centros Comerciales</v>
      </c>
      <c r="E349" t="s">
        <v>357</v>
      </c>
      <c r="F349" s="78">
        <v>4000</v>
      </c>
      <c r="S349" t="s">
        <v>3187</v>
      </c>
    </row>
    <row r="350" spans="1:19" hidden="1" x14ac:dyDescent="0.25">
      <c r="A350" t="s">
        <v>1568</v>
      </c>
      <c r="B350" s="68" t="str">
        <f>MID(PRESUPUESTO[[#This Row],[CUENTA]],1,4)</f>
        <v>E-19</v>
      </c>
      <c r="C350" s="68" t="str">
        <f>INDEX(CATALOGO[Descripción],MATCH(PRESUPUESTO[[#This Row],[APLICACIÓN]]&amp;"-00-00-00",CATALOGO[Código],0))</f>
        <v>MANTENIMIENTO</v>
      </c>
      <c r="D3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Dir. Mantenimiento - Mantto. preventivo planta fotovoltaíca </v>
      </c>
      <c r="E350" t="s">
        <v>3661</v>
      </c>
      <c r="F350" s="78">
        <v>4000</v>
      </c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</row>
    <row r="351" spans="1:19" hidden="1" x14ac:dyDescent="0.25">
      <c r="A351" t="s">
        <v>3782</v>
      </c>
      <c r="B351" s="68" t="str">
        <f>MID(PRESUPUESTO[[#This Row],[CUENTA]],1,4)</f>
        <v>E-23</v>
      </c>
      <c r="C351" s="68" t="str">
        <f>INDEX(CATALOGO[Descripción],MATCH(PRESUPUESTO[[#This Row],[APLICACIÓN]]&amp;"-00-00-00",CATALOGO[Código],0))</f>
        <v>GASTOS DE VIAJE</v>
      </c>
      <c r="D3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 Boletos y viaticos personal académico </v>
      </c>
      <c r="E351" t="s">
        <v>3783</v>
      </c>
      <c r="F351" s="78">
        <v>4000</v>
      </c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</row>
    <row r="352" spans="1:19" hidden="1" x14ac:dyDescent="0.25">
      <c r="A352" t="s">
        <v>1997</v>
      </c>
      <c r="B352" s="68" t="str">
        <f>MID(PRESUPUESTO[[#This Row],[CUENTA]],1,4)</f>
        <v>E-24</v>
      </c>
      <c r="C352" s="68" t="str">
        <f>INDEX(CATALOGO[Descripción],MATCH(PRESUPUESTO[[#This Row],[APLICACIÓN]]&amp;"-00-00-00",CATALOGO[Código],0))</f>
        <v>NUEVO INGRESO</v>
      </c>
      <c r="D3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Red de colegios -Desayunos  Red Utec </v>
      </c>
      <c r="E352" t="s">
        <v>3813</v>
      </c>
      <c r="F352" s="78">
        <v>4000</v>
      </c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</row>
    <row r="353" spans="1:19" hidden="1" x14ac:dyDescent="0.25">
      <c r="A353" t="s">
        <v>4006</v>
      </c>
      <c r="B353" s="68" t="str">
        <f>MID(PRESUPUESTO[[#This Row],[CUENTA]],1,4)</f>
        <v>E-32</v>
      </c>
      <c r="C353" s="68" t="str">
        <f>INDEX(CATALOGO[Descripción],MATCH(PRESUPUESTO[[#This Row],[APLICACIÓN]]&amp;"-00-00-00",CATALOGO[Código],0))</f>
        <v>RELACIONES INTERNACIONALES</v>
      </c>
      <c r="D3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Programa Amity</v>
      </c>
      <c r="E353" t="s">
        <v>953</v>
      </c>
      <c r="F353" s="78">
        <v>4000</v>
      </c>
      <c r="S353" t="s">
        <v>3187</v>
      </c>
    </row>
    <row r="354" spans="1:19" hidden="1" x14ac:dyDescent="0.25">
      <c r="A354" t="s">
        <v>4007</v>
      </c>
      <c r="B354" s="68" t="str">
        <f>MID(PRESUPUESTO[[#This Row],[CUENTA]],1,4)</f>
        <v>E-32</v>
      </c>
      <c r="C354" s="68" t="str">
        <f>INDEX(CATALOGO[Descripción],MATCH(PRESUPUESTO[[#This Row],[APLICACIÓN]]&amp;"-00-00-00",CATALOGO[Código],0))</f>
        <v>RELACIONES INTERNACIONALES</v>
      </c>
      <c r="D3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Programa ELAP</v>
      </c>
      <c r="E354" t="s">
        <v>954</v>
      </c>
      <c r="F354" s="78">
        <v>4000</v>
      </c>
      <c r="S354" t="s">
        <v>3187</v>
      </c>
    </row>
    <row r="355" spans="1:19" hidden="1" x14ac:dyDescent="0.25">
      <c r="A355" t="s">
        <v>1354</v>
      </c>
      <c r="B355" s="68" t="str">
        <f>MID(PRESUPUESTO[[#This Row],[CUENTA]],1,4)</f>
        <v>E-07</v>
      </c>
      <c r="C355" s="68" t="str">
        <f>INDEX(CATALOGO[Descripción],MATCH(PRESUPUESTO[[#This Row],[APLICACIÓN]]&amp;"-00-00-00",CATALOGO[Código],0))</f>
        <v>SERVICIOS TECNOLOGICOS</v>
      </c>
      <c r="D3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Partes y suministros</v>
      </c>
      <c r="E355" t="s">
        <v>184</v>
      </c>
      <c r="F355" s="78">
        <v>3902</v>
      </c>
    </row>
    <row r="356" spans="1:19" hidden="1" x14ac:dyDescent="0.25">
      <c r="A356" t="s">
        <v>1042</v>
      </c>
      <c r="B356" s="68" t="str">
        <f>MID(PRESUPUESTO[[#This Row],[CUENTA]],1,4)</f>
        <v>E-23</v>
      </c>
      <c r="C356" s="68" t="str">
        <f>INDEX(CATALOGO[Descripción],MATCH(PRESUPUESTO[[#This Row],[APLICACIÓN]]&amp;"-00-00-00",CATALOGO[Código],0))</f>
        <v>GASTOS DE VIAJE</v>
      </c>
      <c r="D3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VIATICOS AL PERSONAL</v>
      </c>
      <c r="E356" t="s">
        <v>701</v>
      </c>
      <c r="F356" s="78">
        <v>3840</v>
      </c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</row>
    <row r="357" spans="1:19" hidden="1" x14ac:dyDescent="0.25">
      <c r="A357" t="s">
        <v>3501</v>
      </c>
      <c r="B357" s="68" t="str">
        <f>MID(PRESUPUESTO[[#This Row],[CUENTA]],1,4)</f>
        <v>E-13</v>
      </c>
      <c r="C357" s="68" t="str">
        <f>INDEX(CATALOGO[Descripción],MATCH(PRESUPUESTO[[#This Row],[APLICACIÓN]]&amp;"-00-00-00",CATALOGO[Código],0))</f>
        <v>MAESTRIAS Y POSTGRADOS</v>
      </c>
      <c r="D3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Tarjetas de invitación</v>
      </c>
      <c r="E357" t="s">
        <v>3502</v>
      </c>
      <c r="F357" s="78">
        <v>3672</v>
      </c>
      <c r="S357" t="s">
        <v>3187</v>
      </c>
    </row>
    <row r="358" spans="1:19" hidden="1" x14ac:dyDescent="0.25">
      <c r="A358" t="s">
        <v>1371</v>
      </c>
      <c r="B358" s="68" t="str">
        <f>MID(PRESUPUESTO[[#This Row],[CUENTA]],1,4)</f>
        <v>E-07</v>
      </c>
      <c r="C358" s="68" t="str">
        <f>INDEX(CATALOGO[Descripción],MATCH(PRESUPUESTO[[#This Row],[APLICACIÓN]]&amp;"-00-00-00",CATALOGO[Código],0))</f>
        <v>SERVICIOS TECNOLOGICOS</v>
      </c>
      <c r="D3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Certificado de seguridad utec.edu.sv, Virtual Mae y Educ Virtual- SVNet</v>
      </c>
      <c r="E358" t="s">
        <v>186</v>
      </c>
      <c r="F358" s="78">
        <v>3650</v>
      </c>
      <c r="S358" t="s">
        <v>3187</v>
      </c>
    </row>
    <row r="359" spans="1:19" hidden="1" x14ac:dyDescent="0.25">
      <c r="A359" t="s">
        <v>3787</v>
      </c>
      <c r="B359" s="68" t="str">
        <f>MID(PRESUPUESTO[[#This Row],[CUENTA]],1,4)</f>
        <v>E-24</v>
      </c>
      <c r="C359" s="68" t="str">
        <f>INDEX(CATALOGO[Descripción],MATCH(PRESUPUESTO[[#This Row],[APLICACIÓN]]&amp;"-00-00-00",CATALOGO[Código],0))</f>
        <v>NUEVO INGRESO</v>
      </c>
      <c r="D3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Papelería y  Utiles de escritorio</v>
      </c>
      <c r="E359" t="s">
        <v>710</v>
      </c>
      <c r="F359" s="78">
        <v>3650</v>
      </c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</row>
    <row r="360" spans="1:19" hidden="1" x14ac:dyDescent="0.25">
      <c r="A360" t="s">
        <v>3696</v>
      </c>
      <c r="B360" s="68" t="str">
        <f>MID(PRESUPUESTO[[#This Row],[CUENTA]],1,4)</f>
        <v>E-21</v>
      </c>
      <c r="C360" s="68" t="str">
        <f>INDEX(CATALOGO[Descripción],MATCH(PRESUPUESTO[[#This Row],[APLICACIÓN]]&amp;"-00-00-00",CATALOGO[Código],0))</f>
        <v>CENTRO DE FORMACION PROFESIONAL y EXT U</v>
      </c>
      <c r="D3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FCCE - Publicidad</v>
      </c>
      <c r="E360" t="s">
        <v>3697</v>
      </c>
      <c r="F360" s="78">
        <v>3600</v>
      </c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</row>
    <row r="361" spans="1:19" hidden="1" x14ac:dyDescent="0.25">
      <c r="A361" t="s">
        <v>3698</v>
      </c>
      <c r="B361" s="68" t="str">
        <f>MID(PRESUPUESTO[[#This Row],[CUENTA]],1,4)</f>
        <v>E-21</v>
      </c>
      <c r="C361" s="68" t="str">
        <f>INDEX(CATALOGO[Descripción],MATCH(PRESUPUESTO[[#This Row],[APLICACIÓN]]&amp;"-00-00-00",CATALOGO[Código],0))</f>
        <v>CENTRO DE FORMACION PROFESIONAL y EXT U</v>
      </c>
      <c r="D3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FCCE - Insumos Taller Turismo, Diplomados y Refrigerios</v>
      </c>
      <c r="E361" t="s">
        <v>3699</v>
      </c>
      <c r="F361" s="78">
        <v>3600</v>
      </c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</row>
    <row r="362" spans="1:19" hidden="1" x14ac:dyDescent="0.25">
      <c r="A362" t="s">
        <v>1211</v>
      </c>
      <c r="B362" s="68" t="str">
        <f>MID(PRESUPUESTO[[#This Row],[CUENTA]],1,4)</f>
        <v>E-24</v>
      </c>
      <c r="C362" s="68" t="str">
        <f>INDEX(CATALOGO[Descripción],MATCH(PRESUPUESTO[[#This Row],[APLICACIÓN]]&amp;"-00-00-00",CATALOGO[Código],0))</f>
        <v>NUEVO INGRESO</v>
      </c>
      <c r="D3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Servicio Energia Eléctrica  $ 300 X 12</v>
      </c>
      <c r="E362" t="s">
        <v>3843</v>
      </c>
      <c r="F362" s="78">
        <v>3600</v>
      </c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</row>
    <row r="363" spans="1:19" hidden="1" x14ac:dyDescent="0.25">
      <c r="A363" t="s">
        <v>1901</v>
      </c>
      <c r="B363" s="68" t="str">
        <f>MID(PRESUPUESTO[[#This Row],[CUENTA]],1,4)</f>
        <v>E-12</v>
      </c>
      <c r="C363" s="68" t="str">
        <f>INDEX(CATALOGO[Descripción],MATCH(PRESUPUESTO[[#This Row],[APLICACIÓN]]&amp;"-00-00-00",CATALOGO[Código],0))</f>
        <v>PROYECCION SOCIAL</v>
      </c>
      <c r="D3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DIFUSION- Boletin informativo 2024</v>
      </c>
      <c r="E363" t="s">
        <v>3408</v>
      </c>
      <c r="F363" s="78">
        <v>3500</v>
      </c>
      <c r="S363" t="s">
        <v>3187</v>
      </c>
    </row>
    <row r="364" spans="1:19" hidden="1" x14ac:dyDescent="0.25">
      <c r="A364" t="s">
        <v>3455</v>
      </c>
      <c r="B364" s="68" t="str">
        <f>MID(PRESUPUESTO[[#This Row],[CUENTA]],1,4)</f>
        <v>E-12</v>
      </c>
      <c r="C364" s="68" t="str">
        <f>INDEX(CATALOGO[Descripción],MATCH(PRESUPUESTO[[#This Row],[APLICACIÓN]]&amp;"-00-00-00",CATALOGO[Código],0))</f>
        <v>PROYECCION SOCIAL</v>
      </c>
      <c r="D3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MEJORAS MUSEO</v>
      </c>
      <c r="E364" t="s">
        <v>3456</v>
      </c>
      <c r="F364" s="78">
        <v>3500</v>
      </c>
      <c r="S364" t="s">
        <v>3187</v>
      </c>
    </row>
    <row r="365" spans="1:19" hidden="1" x14ac:dyDescent="0.25">
      <c r="A365" t="s">
        <v>1364</v>
      </c>
      <c r="B365" s="68" t="str">
        <f>MID(PRESUPUESTO[[#This Row],[CUENTA]],1,4)</f>
        <v>E-14</v>
      </c>
      <c r="C365" s="68" t="str">
        <f>INDEX(CATALOGO[Descripción],MATCH(PRESUPUESTO[[#This Row],[APLICACIÓN]]&amp;"-00-00-00",CATALOGO[Código],0))</f>
        <v>MATERIAL DIDÁCTICO</v>
      </c>
      <c r="D3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CARNET - FACULTAD DE CIENCIAS EMPRESARIALES  </v>
      </c>
      <c r="E365" t="s">
        <v>3517</v>
      </c>
      <c r="F365" s="78">
        <v>3500</v>
      </c>
      <c r="S365" t="s">
        <v>3187</v>
      </c>
    </row>
    <row r="366" spans="1:19" hidden="1" x14ac:dyDescent="0.25">
      <c r="A366" t="s">
        <v>1365</v>
      </c>
      <c r="B366" s="68" t="str">
        <f>MID(PRESUPUESTO[[#This Row],[CUENTA]],1,4)</f>
        <v>E-14</v>
      </c>
      <c r="C366" s="68" t="str">
        <f>INDEX(CATALOGO[Descripción],MATCH(PRESUPUESTO[[#This Row],[APLICACIÓN]]&amp;"-00-00-00",CATALOGO[Código],0))</f>
        <v>MATERIAL DIDÁCTICO</v>
      </c>
      <c r="D3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CARNET - FACULTAD DE INFORMATICA Y CC APLICADAS</v>
      </c>
      <c r="E366" t="s">
        <v>3554</v>
      </c>
      <c r="F366" s="78">
        <v>3500</v>
      </c>
      <c r="S366" t="s">
        <v>3187</v>
      </c>
    </row>
    <row r="367" spans="1:19" hidden="1" x14ac:dyDescent="0.25">
      <c r="A367" t="s">
        <v>2751</v>
      </c>
      <c r="B367" s="68" t="str">
        <f>MID(PRESUPUESTO[[#This Row],[CUENTA]],1,4)</f>
        <v>E-22</v>
      </c>
      <c r="C367" s="68" t="str">
        <f>INDEX(CATALOGO[Descripción],MATCH(PRESUPUESTO[[#This Row],[APLICACIÓN]]&amp;"-00-00-00",CATALOGO[Código],0))</f>
        <v>CAPACITACIÓN AL PERSONAL</v>
      </c>
      <c r="D3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FCCJ - Otras capacitaciones Escuela de Derecho</v>
      </c>
      <c r="E367" t="s">
        <v>3758</v>
      </c>
      <c r="F367" s="78">
        <v>3500</v>
      </c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</row>
    <row r="368" spans="1:19" hidden="1" x14ac:dyDescent="0.25">
      <c r="A368" t="s">
        <v>3809</v>
      </c>
      <c r="B368" s="68" t="str">
        <f>MID(PRESUPUESTO[[#This Row],[CUENTA]],1,4)</f>
        <v>E-24</v>
      </c>
      <c r="C368" s="68" t="str">
        <f>INDEX(CATALOGO[Descripción],MATCH(PRESUPUESTO[[#This Row],[APLICACIÓN]]&amp;"-00-00-00",CATALOGO[Código],0))</f>
        <v>NUEVO INGRESO</v>
      </c>
      <c r="D3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Squezze</v>
      </c>
      <c r="E368" t="s">
        <v>731</v>
      </c>
      <c r="F368" s="78">
        <v>3500</v>
      </c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</row>
    <row r="369" spans="1:19" hidden="1" x14ac:dyDescent="0.25">
      <c r="A369" t="s">
        <v>3940</v>
      </c>
      <c r="B369" s="68" t="str">
        <f>MID(PRESUPUESTO[[#This Row],[CUENTA]],1,4)</f>
        <v>E-26</v>
      </c>
      <c r="C369" s="68" t="str">
        <f>INDEX(CATALOGO[Descripción],MATCH(PRESUPUESTO[[#This Row],[APLICACIÓN]]&amp;"-00-00-00",CATALOGO[Código],0))</f>
        <v>EVENTOS ACADEMICOS, CULTURALES  E INSTITUCIONALES</v>
      </c>
      <c r="D3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Diseño gráfico, dia del internet, Rally de innovación FICA</v>
      </c>
      <c r="E369" t="s">
        <v>855</v>
      </c>
      <c r="F369" s="78">
        <v>3500</v>
      </c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</row>
    <row r="370" spans="1:19" hidden="1" x14ac:dyDescent="0.25">
      <c r="A370" t="s">
        <v>3065</v>
      </c>
      <c r="B370" s="68" t="str">
        <f>MID(PRESUPUESTO[[#This Row],[CUENTA]],1,4)</f>
        <v>E-29</v>
      </c>
      <c r="C370" s="68" t="str">
        <f>INDEX(CATALOGO[Descripción],MATCH(PRESUPUESTO[[#This Row],[APLICACIÓN]]&amp;"-00-00-00",CATALOGO[Código],0))</f>
        <v xml:space="preserve">BIBLIOTECA </v>
      </c>
      <c r="D3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CBUES membresia 2024</v>
      </c>
      <c r="E370" t="s">
        <v>902</v>
      </c>
      <c r="F370" s="78">
        <v>3500</v>
      </c>
      <c r="S370" t="s">
        <v>3187</v>
      </c>
    </row>
    <row r="371" spans="1:19" hidden="1" x14ac:dyDescent="0.25">
      <c r="A371" t="s">
        <v>1387</v>
      </c>
      <c r="B371" s="68" t="str">
        <f>MID(PRESUPUESTO[[#This Row],[CUENTA]],1,4)</f>
        <v>E-13</v>
      </c>
      <c r="C371" s="68" t="str">
        <f>INDEX(CATALOGO[Descripción],MATCH(PRESUPUESTO[[#This Row],[APLICACIÓN]]&amp;"-00-00-00",CATALOGO[Código],0))</f>
        <v>MAESTRIAS Y POSTGRADOS</v>
      </c>
      <c r="D3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MANTENIMIENTO DE PLANTA EMERGENCIA </v>
      </c>
      <c r="E371" t="s">
        <v>3461</v>
      </c>
      <c r="F371" s="78">
        <v>3481</v>
      </c>
      <c r="S371" t="s">
        <v>3187</v>
      </c>
    </row>
    <row r="372" spans="1:19" hidden="1" x14ac:dyDescent="0.25">
      <c r="A372" t="s">
        <v>3999</v>
      </c>
      <c r="B372" s="68" t="str">
        <f>MID(PRESUPUESTO[[#This Row],[CUENTA]],1,4)</f>
        <v>E-31</v>
      </c>
      <c r="C372" s="68" t="str">
        <f>INDEX(CATALOGO[Descripción],MATCH(PRESUPUESTO[[#This Row],[APLICACIÓN]]&amp;"-00-00-00",CATALOGO[Código],0))</f>
        <v>DONACIONES</v>
      </c>
      <c r="D3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Otras no detalladas</v>
      </c>
      <c r="E372" t="s">
        <v>935</v>
      </c>
      <c r="F372" s="78">
        <v>3432</v>
      </c>
      <c r="S372" t="s">
        <v>3187</v>
      </c>
    </row>
    <row r="373" spans="1:19" hidden="1" x14ac:dyDescent="0.25">
      <c r="A373" t="s">
        <v>3480</v>
      </c>
      <c r="B373" s="68" t="str">
        <f>MID(PRESUPUESTO[[#This Row],[CUENTA]],1,4)</f>
        <v>E-13</v>
      </c>
      <c r="C373" s="68" t="str">
        <f>INDEX(CATALOGO[Descripción],MATCH(PRESUPUESTO[[#This Row],[APLICACIÓN]]&amp;"-00-00-00",CATALOGO[Código],0))</f>
        <v>MAESTRIAS Y POSTGRADOS</v>
      </c>
      <c r="D3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SERVICIOS PROFESIONALES MAE </v>
      </c>
      <c r="E373" t="s">
        <v>3481</v>
      </c>
      <c r="F373" s="78">
        <v>3360</v>
      </c>
      <c r="S373" t="s">
        <v>3187</v>
      </c>
    </row>
    <row r="374" spans="1:19" hidden="1" x14ac:dyDescent="0.25">
      <c r="A374" t="s">
        <v>3627</v>
      </c>
      <c r="B374" s="68" t="str">
        <f>MID(PRESUPUESTO[[#This Row],[CUENTA]],1,4)</f>
        <v>E-17</v>
      </c>
      <c r="C374" s="68" t="str">
        <f>INDEX(CATALOGO[Descripción],MATCH(PRESUPUESTO[[#This Row],[APLICACIÓN]]&amp;"-00-00-00",CATALOGO[Código],0))</f>
        <v>MEDIOS DE COMUNICACIÓN</v>
      </c>
      <c r="D3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Publicaciones - Folletos y boletines</v>
      </c>
      <c r="E374" t="s">
        <v>3628</v>
      </c>
      <c r="F374" s="78">
        <v>3356.28</v>
      </c>
      <c r="S374" t="s">
        <v>3187</v>
      </c>
    </row>
    <row r="375" spans="1:19" hidden="1" x14ac:dyDescent="0.25">
      <c r="A375" s="37" t="s">
        <v>3644</v>
      </c>
      <c r="B375" s="68" t="str">
        <f>MID(PRESUPUESTO[[#This Row],[CUENTA]],1,4)</f>
        <v>E-18</v>
      </c>
      <c r="C375" s="68" t="str">
        <f>INDEX(CATALOGO[Descripción],MATCH(PRESUPUESTO[[#This Row],[APLICACIÓN]]&amp;"-00-00-00",CATALOGO[Código],0))</f>
        <v>COMUNICACIÓN INSTITUCIONAL</v>
      </c>
      <c r="D3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Cámara profesional para producciones de campaña Sony Alpha + 2 memorias de 128 GB</v>
      </c>
      <c r="E375" t="s">
        <v>512</v>
      </c>
      <c r="F375" s="78">
        <v>3350</v>
      </c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</row>
    <row r="376" spans="1:19" hidden="1" x14ac:dyDescent="0.25">
      <c r="A376" t="s">
        <v>1095</v>
      </c>
      <c r="B376" s="68" t="str">
        <f>MID(PRESUPUESTO[[#This Row],[CUENTA]],1,4)</f>
        <v>E-13</v>
      </c>
      <c r="C376" s="68" t="str">
        <f>INDEX(CATALOGO[Descripción],MATCH(PRESUPUESTO[[#This Row],[APLICACIÓN]]&amp;"-00-00-00",CATALOGO[Código],0))</f>
        <v>MAESTRIAS Y POSTGRADOS</v>
      </c>
      <c r="D3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376" t="s">
        <v>3472</v>
      </c>
      <c r="F376" s="78">
        <v>3240</v>
      </c>
      <c r="S376" t="s">
        <v>3187</v>
      </c>
    </row>
    <row r="377" spans="1:19" hidden="1" x14ac:dyDescent="0.25">
      <c r="A377" t="s">
        <v>1095</v>
      </c>
      <c r="B377" s="68" t="str">
        <f>MID(PRESUPUESTO[[#This Row],[CUENTA]],1,4)</f>
        <v>E-13</v>
      </c>
      <c r="C377" s="68" t="str">
        <f>INDEX(CATALOGO[Descripción],MATCH(PRESUPUESTO[[#This Row],[APLICACIÓN]]&amp;"-00-00-00",CATALOGO[Código],0))</f>
        <v>MAESTRIAS Y POSTGRADOS</v>
      </c>
      <c r="D3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377" t="s">
        <v>3477</v>
      </c>
      <c r="F377" s="78">
        <v>3096</v>
      </c>
      <c r="S377" t="s">
        <v>3187</v>
      </c>
    </row>
    <row r="378" spans="1:19" hidden="1" x14ac:dyDescent="0.25">
      <c r="A378" t="s">
        <v>3991</v>
      </c>
      <c r="B378" s="68" t="str">
        <f>MID(PRESUPUESTO[[#This Row],[CUENTA]],1,4)</f>
        <v>E-30</v>
      </c>
      <c r="C378" s="68" t="str">
        <f>INDEX(CATALOGO[Descripción],MATCH(PRESUPUESTO[[#This Row],[APLICACIÓN]]&amp;"-00-00-00",CATALOGO[Código],0))</f>
        <v>MEMBRESIAS Y SUSCRIPCIONES</v>
      </c>
      <c r="D3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Membresias Bco _Cuscatlan y America Central</v>
      </c>
      <c r="E378" t="s">
        <v>920</v>
      </c>
      <c r="F378" s="78">
        <v>3075.73</v>
      </c>
      <c r="S378" t="s">
        <v>3187</v>
      </c>
    </row>
    <row r="379" spans="1:19" hidden="1" x14ac:dyDescent="0.25">
      <c r="A379" t="s">
        <v>1399</v>
      </c>
      <c r="B379" s="68" t="str">
        <f>MID(PRESUPUESTO[[#This Row],[CUENTA]],1,4)</f>
        <v>E-20</v>
      </c>
      <c r="C379" s="68" t="str">
        <f>INDEX(CATALOGO[Descripción],MATCH(PRESUPUESTO[[#This Row],[APLICACIÓN]]&amp;"-00-00-00",CATALOGO[Código],0))</f>
        <v>SEGUROS</v>
      </c>
      <c r="D3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Lucro Cesante</v>
      </c>
      <c r="E379" t="s">
        <v>586</v>
      </c>
      <c r="F379" s="78">
        <v>3032</v>
      </c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</row>
    <row r="380" spans="1:19" hidden="1" x14ac:dyDescent="0.25">
      <c r="A380" t="s">
        <v>3327</v>
      </c>
      <c r="B380" s="68" t="str">
        <f>MID(PRESUPUESTO[[#This Row],[CUENTA]],1,4)</f>
        <v>E-07</v>
      </c>
      <c r="C380" s="68" t="str">
        <f>INDEX(CATALOGO[Descripción],MATCH(PRESUPUESTO[[#This Row],[APLICACIÓN]]&amp;"-00-00-00",CATALOGO[Código],0))</f>
        <v>SERVICIOS TECNOLOGICOS</v>
      </c>
      <c r="D3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de UPS Data Center/Anual</v>
      </c>
      <c r="E380" t="s">
        <v>183</v>
      </c>
      <c r="F380" s="78">
        <v>3000</v>
      </c>
    </row>
    <row r="381" spans="1:19" hidden="1" x14ac:dyDescent="0.25">
      <c r="A381" t="s">
        <v>3334</v>
      </c>
      <c r="B381" s="68" t="str">
        <f>MID(PRESUPUESTO[[#This Row],[CUENTA]],1,4)</f>
        <v>E-08</v>
      </c>
      <c r="C381" s="68" t="str">
        <f>INDEX(CATALOGO[Descripción],MATCH(PRESUPUESTO[[#This Row],[APLICACIÓN]]&amp;"-00-00-00",CATALOGO[Código],0))</f>
        <v>INVERSIONES Y PROYECTOS ESPECIALES</v>
      </c>
      <c r="D3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250 vouchers AUTODESK  - más 250 códigos de Gmetrix Practice Tests</v>
      </c>
      <c r="E381" t="s">
        <v>206</v>
      </c>
      <c r="F381" s="78">
        <v>3000</v>
      </c>
      <c r="S381" t="s">
        <v>3187</v>
      </c>
    </row>
    <row r="382" spans="1:19" hidden="1" x14ac:dyDescent="0.25">
      <c r="A382" t="s">
        <v>2636</v>
      </c>
      <c r="B382" s="68" t="str">
        <f>MID(PRESUPUESTO[[#This Row],[CUENTA]],1,4)</f>
        <v>E-09</v>
      </c>
      <c r="C382" s="68" t="str">
        <f>INDEX(CATALOGO[Descripción],MATCH(PRESUPUESTO[[#This Row],[APLICACIÓN]]&amp;"-00-00-00",CATALOGO[Código],0))</f>
        <v>PRESTACIONES AL PERSONAL</v>
      </c>
      <c r="D3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Prestación laboral por defunción familiar</v>
      </c>
      <c r="E382" t="s">
        <v>232</v>
      </c>
      <c r="F382" s="78">
        <v>3000</v>
      </c>
    </row>
    <row r="383" spans="1:19" hidden="1" x14ac:dyDescent="0.25">
      <c r="A383" t="s">
        <v>1106</v>
      </c>
      <c r="B383" s="68" t="str">
        <f>MID(PRESUPUESTO[[#This Row],[CUENTA]],1,4)</f>
        <v>E-12</v>
      </c>
      <c r="C383" s="68" t="str">
        <f>INDEX(CATALOGO[Descripción],MATCH(PRESUPUESTO[[#This Row],[APLICACIÓN]]&amp;"-00-00-00",CATALOGO[Código],0))</f>
        <v>PROYECCION SOCIAL</v>
      </c>
      <c r="D3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INCENTIVOS -Diplomas estudiantes y docentes</v>
      </c>
      <c r="E383" t="s">
        <v>3409</v>
      </c>
      <c r="F383" s="78">
        <v>3000</v>
      </c>
      <c r="S383" t="s">
        <v>3187</v>
      </c>
    </row>
    <row r="384" spans="1:19" hidden="1" x14ac:dyDescent="0.25">
      <c r="A384" t="s">
        <v>3435</v>
      </c>
      <c r="B384" s="68" t="str">
        <f>MID(PRESUPUESTO[[#This Row],[CUENTA]],1,4)</f>
        <v>E-12</v>
      </c>
      <c r="C384" s="68" t="str">
        <f>INDEX(CATALOGO[Descripción],MATCH(PRESUPUESTO[[#This Row],[APLICACIÓN]]&amp;"-00-00-00",CATALOGO[Código],0))</f>
        <v>PROYECCION SOCIAL</v>
      </c>
      <c r="D3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Collage de publicaciones</v>
      </c>
      <c r="E384" t="s">
        <v>3436</v>
      </c>
      <c r="F384" s="78">
        <v>3000</v>
      </c>
      <c r="S384" t="s">
        <v>3187</v>
      </c>
    </row>
    <row r="385" spans="1:19" hidden="1" x14ac:dyDescent="0.25">
      <c r="A385" t="s">
        <v>3445</v>
      </c>
      <c r="B385" s="68" t="str">
        <f>MID(PRESUPUESTO[[#This Row],[CUENTA]],1,4)</f>
        <v>E-12</v>
      </c>
      <c r="C385" s="68" t="str">
        <f>INDEX(CATALOGO[Descripción],MATCH(PRESUPUESTO[[#This Row],[APLICACIÓN]]&amp;"-00-00-00",CATALOGO[Código],0))</f>
        <v>PROYECCION SOCIAL</v>
      </c>
      <c r="D3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Adquisicion indumentaria Coro</v>
      </c>
      <c r="E385" t="s">
        <v>3446</v>
      </c>
      <c r="F385" s="78">
        <v>3000</v>
      </c>
      <c r="S385" t="s">
        <v>3187</v>
      </c>
    </row>
    <row r="386" spans="1:19" hidden="1" x14ac:dyDescent="0.25">
      <c r="A386" t="s">
        <v>3449</v>
      </c>
      <c r="B386" s="68" t="str">
        <f>MID(PRESUPUESTO[[#This Row],[CUENTA]],1,4)</f>
        <v>E-12</v>
      </c>
      <c r="C386" s="68" t="str">
        <f>INDEX(CATALOGO[Descripción],MATCH(PRESUPUESTO[[#This Row],[APLICACIÓN]]&amp;"-00-00-00",CATALOGO[Código],0))</f>
        <v>PROYECCION SOCIAL</v>
      </c>
      <c r="D3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Revista Koot</v>
      </c>
      <c r="E386" t="s">
        <v>3450</v>
      </c>
      <c r="F386" s="78">
        <v>3000</v>
      </c>
      <c r="S386" t="s">
        <v>3187</v>
      </c>
    </row>
    <row r="387" spans="1:19" hidden="1" x14ac:dyDescent="0.25">
      <c r="A387" t="s">
        <v>3515</v>
      </c>
      <c r="B387" s="68" t="str">
        <f>MID(PRESUPUESTO[[#This Row],[CUENTA]],1,4)</f>
        <v>E-13</v>
      </c>
      <c r="C387" s="68" t="str">
        <f>INDEX(CATALOGO[Descripción],MATCH(PRESUPUESTO[[#This Row],[APLICACIÓN]]&amp;"-00-00-00",CATALOGO[Código],0))</f>
        <v>MAESTRIAS Y POSTGRADOS</v>
      </c>
      <c r="D3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SUSCRIPCIONES Y MEMBRESIAS </v>
      </c>
      <c r="E387" t="s">
        <v>3516</v>
      </c>
      <c r="F387" s="78">
        <v>3000</v>
      </c>
      <c r="S387" t="s">
        <v>3187</v>
      </c>
    </row>
    <row r="388" spans="1:19" hidden="1" x14ac:dyDescent="0.25">
      <c r="A388" t="s">
        <v>1366</v>
      </c>
      <c r="B388" s="68" t="str">
        <f>MID(PRESUPUESTO[[#This Row],[CUENTA]],1,4)</f>
        <v>E-14</v>
      </c>
      <c r="C388" s="68" t="str">
        <f>INDEX(CATALOGO[Descripción],MATCH(PRESUPUESTO[[#This Row],[APLICACIÓN]]&amp;"-00-00-00",CATALOGO[Código],0))</f>
        <v>MATERIAL DIDÁCTICO</v>
      </c>
      <c r="D3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CARNET - FACULTAD DE CIENCIAS SOCIALES</v>
      </c>
      <c r="E388" t="s">
        <v>3519</v>
      </c>
      <c r="F388" s="78">
        <v>3000</v>
      </c>
      <c r="S388" t="s">
        <v>3187</v>
      </c>
    </row>
    <row r="389" spans="1:19" hidden="1" x14ac:dyDescent="0.25">
      <c r="A389" s="37" t="s">
        <v>3637</v>
      </c>
      <c r="B389" s="68" t="str">
        <f>MID(PRESUPUESTO[[#This Row],[CUENTA]],1,4)</f>
        <v>E-18</v>
      </c>
      <c r="C389" s="68" t="str">
        <f>INDEX(CATALOGO[Descripción],MATCH(PRESUPUESTO[[#This Row],[APLICACIÓN]]&amp;"-00-00-00",CATALOGO[Código],0))</f>
        <v>COMUNICACIÓN INSTITUCIONAL</v>
      </c>
      <c r="D3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Prod. Material publicitario - Creación de concepto creativo - Agencia  </v>
      </c>
      <c r="E389" t="s">
        <v>3638</v>
      </c>
      <c r="F389" s="78">
        <v>3000</v>
      </c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</row>
    <row r="390" spans="1:19" hidden="1" x14ac:dyDescent="0.25">
      <c r="A390" t="s">
        <v>2780</v>
      </c>
      <c r="B390" s="68" t="str">
        <f>MID(PRESUPUESTO[[#This Row],[CUENTA]],1,4)</f>
        <v>E-19</v>
      </c>
      <c r="C390" s="68" t="str">
        <f>INDEX(CATALOGO[Descripción],MATCH(PRESUPUESTO[[#This Row],[APLICACIÓN]]&amp;"-00-00-00",CATALOGO[Código],0))</f>
        <v>MANTENIMIENTO</v>
      </c>
      <c r="D3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Imprevistos</v>
      </c>
      <c r="E390" t="s">
        <v>3683</v>
      </c>
      <c r="F390" s="78">
        <v>3000</v>
      </c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</row>
    <row r="391" spans="1:19" hidden="1" x14ac:dyDescent="0.25">
      <c r="A391" t="s">
        <v>3688</v>
      </c>
      <c r="B391" s="68" t="str">
        <f>MID(PRESUPUESTO[[#This Row],[CUENTA]],1,4)</f>
        <v>E-19</v>
      </c>
      <c r="C391" s="68" t="str">
        <f>INDEX(CATALOGO[Descripción],MATCH(PRESUPUESTO[[#This Row],[APLICACIÓN]]&amp;"-00-00-00",CATALOGO[Código],0))</f>
        <v>MANTENIMIENTO</v>
      </c>
      <c r="D3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Accesibilidad arquitectónica campus</v>
      </c>
      <c r="E391" t="s">
        <v>573</v>
      </c>
      <c r="F391" s="78">
        <v>3000</v>
      </c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</row>
    <row r="392" spans="1:19" hidden="1" x14ac:dyDescent="0.25">
      <c r="A392" t="s">
        <v>3784</v>
      </c>
      <c r="B392" s="68" t="str">
        <f>MID(PRESUPUESTO[[#This Row],[CUENTA]],1,4)</f>
        <v>E-24</v>
      </c>
      <c r="C392" s="68" t="str">
        <f>INDEX(CATALOGO[Descripción],MATCH(PRESUPUESTO[[#This Row],[APLICACIÓN]]&amp;"-00-00-00",CATALOGO[Código],0))</f>
        <v>NUEVO INGRESO</v>
      </c>
      <c r="D3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Guías de nuevo ingreso</v>
      </c>
      <c r="E392" t="s">
        <v>705</v>
      </c>
      <c r="F392" s="78">
        <v>3000</v>
      </c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</row>
    <row r="393" spans="1:19" hidden="1" x14ac:dyDescent="0.25">
      <c r="A393" t="s">
        <v>3786</v>
      </c>
      <c r="B393" s="68" t="str">
        <f>MID(PRESUPUESTO[[#This Row],[CUENTA]],1,4)</f>
        <v>E-24</v>
      </c>
      <c r="C393" s="68" t="str">
        <f>INDEX(CATALOGO[Descripción],MATCH(PRESUPUESTO[[#This Row],[APLICACIÓN]]&amp;"-00-00-00",CATALOGO[Código],0))</f>
        <v>NUEVO INGRESO</v>
      </c>
      <c r="D3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Reconocimientos por logro de metas</v>
      </c>
      <c r="E393" t="s">
        <v>708</v>
      </c>
      <c r="F393" s="78">
        <v>3000</v>
      </c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</row>
    <row r="394" spans="1:19" hidden="1" x14ac:dyDescent="0.25">
      <c r="A394" t="s">
        <v>1841</v>
      </c>
      <c r="B394" s="68" t="str">
        <f>MID(PRESUPUESTO[[#This Row],[CUENTA]],1,4)</f>
        <v>E-24</v>
      </c>
      <c r="C394" s="68" t="str">
        <f>INDEX(CATALOGO[Descripción],MATCH(PRESUPUESTO[[#This Row],[APLICACIÓN]]&amp;"-00-00-00",CATALOGO[Código],0))</f>
        <v>NUEVO INGRESO</v>
      </c>
      <c r="D3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EN LINKEDIN</v>
      </c>
      <c r="E394" t="s">
        <v>3796</v>
      </c>
      <c r="F394" s="78">
        <v>3000</v>
      </c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</row>
    <row r="395" spans="1:19" hidden="1" x14ac:dyDescent="0.25">
      <c r="A395" t="s">
        <v>3812</v>
      </c>
      <c r="B395" s="68" t="str">
        <f>MID(PRESUPUESTO[[#This Row],[CUENTA]],1,4)</f>
        <v>E-24</v>
      </c>
      <c r="C395" s="68" t="str">
        <f>INDEX(CATALOGO[Descripción],MATCH(PRESUPUESTO[[#This Row],[APLICACIÓN]]&amp;"-00-00-00",CATALOGO[Código],0))</f>
        <v>NUEVO INGRESO</v>
      </c>
      <c r="D3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Eventos empresas/patrocinios</v>
      </c>
      <c r="E395" t="s">
        <v>735</v>
      </c>
      <c r="F395" s="78">
        <v>3000</v>
      </c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</row>
    <row r="396" spans="1:19" hidden="1" x14ac:dyDescent="0.25">
      <c r="A396" t="s">
        <v>3815</v>
      </c>
      <c r="B396" s="68" t="str">
        <f>MID(PRESUPUESTO[[#This Row],[CUENTA]],1,4)</f>
        <v>E-24</v>
      </c>
      <c r="C396" s="68" t="str">
        <f>INDEX(CATALOGO[Descripción],MATCH(PRESUPUESTO[[#This Row],[APLICACIÓN]]&amp;"-00-00-00",CATALOGO[Código],0))</f>
        <v>NUEVO INGRESO</v>
      </c>
      <c r="D3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-Patrocinios Educación media</v>
      </c>
      <c r="E396" t="s">
        <v>3816</v>
      </c>
      <c r="F396" s="78">
        <v>3000</v>
      </c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</row>
    <row r="397" spans="1:19" hidden="1" x14ac:dyDescent="0.25">
      <c r="A397" t="s">
        <v>3817</v>
      </c>
      <c r="B397" s="68" t="str">
        <f>MID(PRESUPUESTO[[#This Row],[CUENTA]],1,4)</f>
        <v>E-24</v>
      </c>
      <c r="C397" s="68" t="str">
        <f>INDEX(CATALOGO[Descripción],MATCH(PRESUPUESTO[[#This Row],[APLICACIÓN]]&amp;"-00-00-00",CATALOGO[Código],0))</f>
        <v>NUEVO INGRESO</v>
      </c>
      <c r="D3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-Promocionales para directores</v>
      </c>
      <c r="E397" t="s">
        <v>3818</v>
      </c>
      <c r="F397" s="78">
        <v>3000</v>
      </c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</row>
    <row r="398" spans="1:19" hidden="1" x14ac:dyDescent="0.25">
      <c r="A398" t="s">
        <v>1242</v>
      </c>
      <c r="B398" s="68" t="str">
        <f>MID(PRESUPUESTO[[#This Row],[CUENTA]],1,4)</f>
        <v>E-24</v>
      </c>
      <c r="C398" s="68" t="str">
        <f>INDEX(CATALOGO[Descripción],MATCH(PRESUPUESTO[[#This Row],[APLICACIÓN]]&amp;"-00-00-00",CATALOGO[Código],0))</f>
        <v>NUEVO INGRESO</v>
      </c>
      <c r="D3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Útiles de Escritorio y otros</v>
      </c>
      <c r="E398" t="s">
        <v>3845</v>
      </c>
      <c r="F398" s="78">
        <v>3000</v>
      </c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</row>
    <row r="399" spans="1:19" hidden="1" x14ac:dyDescent="0.25">
      <c r="A399" t="s">
        <v>1164</v>
      </c>
      <c r="B399" s="68" t="str">
        <f>MID(PRESUPUESTO[[#This Row],[CUENTA]],1,4)</f>
        <v>E-24</v>
      </c>
      <c r="C399" s="68" t="str">
        <f>INDEX(CATALOGO[Descripción],MATCH(PRESUPUESTO[[#This Row],[APLICACIÓN]]&amp;"-00-00-00",CATALOGO[Código],0))</f>
        <v>NUEVO INGRESO</v>
      </c>
      <c r="D3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Promoción centro de atención</v>
      </c>
      <c r="E399" t="s">
        <v>3867</v>
      </c>
      <c r="F399" s="78">
        <v>3000</v>
      </c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</row>
    <row r="400" spans="1:19" hidden="1" x14ac:dyDescent="0.25">
      <c r="A400" t="s">
        <v>1190</v>
      </c>
      <c r="B400" s="68" t="str">
        <f>MID(PRESUPUESTO[[#This Row],[CUENTA]],1,4)</f>
        <v>E-25</v>
      </c>
      <c r="C400" s="68" t="str">
        <f>INDEX(CATALOGO[Descripción],MATCH(PRESUPUESTO[[#This Row],[APLICACIÓN]]&amp;"-00-00-00",CATALOGO[Código],0))</f>
        <v>DECANATO DE ESTUDIANTES</v>
      </c>
      <c r="D4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Inscripciones de torneos universitarios</v>
      </c>
      <c r="E400" t="s">
        <v>3888</v>
      </c>
      <c r="F400" s="78">
        <v>3000</v>
      </c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</row>
    <row r="401" spans="1:19" hidden="1" x14ac:dyDescent="0.25">
      <c r="A401" t="s">
        <v>3721</v>
      </c>
      <c r="B401" s="68" t="str">
        <f>MID(PRESUPUESTO[[#This Row],[CUENTA]],1,4)</f>
        <v>E-21</v>
      </c>
      <c r="C401" s="68" t="str">
        <f>INDEX(CATALOGO[Descripción],MATCH(PRESUPUESTO[[#This Row],[APLICACIÓN]]&amp;"-00-00-00",CATALOGO[Código],0))</f>
        <v>CENTRO DE FORMACION PROFESIONAL y EXT U</v>
      </c>
      <c r="D4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FCCS - Publicidad</v>
      </c>
      <c r="E401" t="s">
        <v>3697</v>
      </c>
      <c r="F401" s="78">
        <v>2800</v>
      </c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</row>
    <row r="402" spans="1:19" hidden="1" x14ac:dyDescent="0.25">
      <c r="A402" t="s">
        <v>3761</v>
      </c>
      <c r="B402" s="68" t="str">
        <f>MID(PRESUPUESTO[[#This Row],[CUENTA]],1,4)</f>
        <v>E-22</v>
      </c>
      <c r="C402" s="68" t="str">
        <f>INDEX(CATALOGO[Descripción],MATCH(PRESUPUESTO[[#This Row],[APLICACIÓN]]&amp;"-00-00-00",CATALOGO[Código],0))</f>
        <v>CAPACITACIÓN AL PERSONAL</v>
      </c>
      <c r="D4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Desarrollo Individual (solicitud de Ing. Zarate) Formación se maestsris para fortalcer…</v>
      </c>
      <c r="E402" t="s">
        <v>655</v>
      </c>
      <c r="F402" s="78">
        <v>2800</v>
      </c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</row>
    <row r="403" spans="1:19" hidden="1" x14ac:dyDescent="0.25">
      <c r="A403" t="s">
        <v>1003</v>
      </c>
      <c r="B403" s="68" t="str">
        <f>MID(PRESUPUESTO[[#This Row],[CUENTA]],1,4)</f>
        <v>E-13</v>
      </c>
      <c r="C403" s="68" t="str">
        <f>INDEX(CATALOGO[Descripción],MATCH(PRESUPUESTO[[#This Row],[APLICACIÓN]]&amp;"-00-00-00",CATALOGO[Código],0))</f>
        <v>MAESTRIAS Y POSTGRADOS</v>
      </c>
      <c r="D4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MANTENIMIENTO ASENSORES </v>
      </c>
      <c r="E403" t="s">
        <v>3460</v>
      </c>
      <c r="F403" s="78">
        <v>2700</v>
      </c>
      <c r="S403" t="s">
        <v>3187</v>
      </c>
    </row>
    <row r="404" spans="1:19" hidden="1" x14ac:dyDescent="0.25">
      <c r="A404" t="s">
        <v>3497</v>
      </c>
      <c r="B404" s="68" t="str">
        <f>MID(PRESUPUESTO[[#This Row],[CUENTA]],1,4)</f>
        <v>E-13</v>
      </c>
      <c r="C404" s="68" t="str">
        <f>INDEX(CATALOGO[Descripción],MATCH(PRESUPUESTO[[#This Row],[APLICACIÓN]]&amp;"-00-00-00",CATALOGO[Código],0))</f>
        <v>MAESTRIAS Y POSTGRADOS</v>
      </c>
      <c r="D4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Alquiler togas</v>
      </c>
      <c r="E404" t="s">
        <v>3498</v>
      </c>
      <c r="F404" s="78">
        <v>2652</v>
      </c>
      <c r="S404" t="s">
        <v>3187</v>
      </c>
    </row>
    <row r="405" spans="1:19" hidden="1" x14ac:dyDescent="0.25">
      <c r="A405" t="s">
        <v>1178</v>
      </c>
      <c r="B405" s="68" t="str">
        <f>MID(PRESUPUESTO[[#This Row],[CUENTA]],1,4)</f>
        <v>E-22</v>
      </c>
      <c r="C405" s="68" t="str">
        <f>INDEX(CATALOGO[Descripción],MATCH(PRESUPUESTO[[#This Row],[APLICACIÓN]]&amp;"-00-00-00",CATALOGO[Código],0))</f>
        <v>CAPACITACIÓN AL PERSONAL</v>
      </c>
      <c r="D4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Doctorado en Educaión, Lic. Aldo Maldonado</v>
      </c>
      <c r="E405" t="s">
        <v>3750</v>
      </c>
      <c r="F405" s="78">
        <v>2520</v>
      </c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</row>
    <row r="406" spans="1:19" hidden="1" x14ac:dyDescent="0.25">
      <c r="A406" t="s">
        <v>1361</v>
      </c>
      <c r="B406" s="68" t="str">
        <f>MID(PRESUPUESTO[[#This Row],[CUENTA]],1,4)</f>
        <v>E-11</v>
      </c>
      <c r="C406" s="68" t="str">
        <f>INDEX(CATALOGO[Descripción],MATCH(PRESUPUESTO[[#This Row],[APLICACIÓN]]&amp;"-00-00-00",CATALOGO[Código],0))</f>
        <v>INVESTIGACIONES</v>
      </c>
      <c r="D4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Revista Entorno</v>
      </c>
      <c r="E406" t="s">
        <v>267</v>
      </c>
      <c r="F406" s="78">
        <v>2500</v>
      </c>
    </row>
    <row r="407" spans="1:19" hidden="1" x14ac:dyDescent="0.25">
      <c r="A407" t="s">
        <v>3484</v>
      </c>
      <c r="B407" s="68" t="str">
        <f>MID(PRESUPUESTO[[#This Row],[CUENTA]],1,4)</f>
        <v>E-13</v>
      </c>
      <c r="C407" s="68" t="str">
        <f>INDEX(CATALOGO[Descripción],MATCH(PRESUPUESTO[[#This Row],[APLICACIÓN]]&amp;"-00-00-00",CATALOGO[Código],0))</f>
        <v>MAESTRIAS Y POSTGRADOS</v>
      </c>
      <c r="D4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Periodicos Digitales</v>
      </c>
      <c r="E407" t="s">
        <v>352</v>
      </c>
      <c r="F407" s="78">
        <v>2500</v>
      </c>
      <c r="S407" t="s">
        <v>3187</v>
      </c>
    </row>
    <row r="408" spans="1:19" hidden="1" x14ac:dyDescent="0.25">
      <c r="A408" t="s">
        <v>3490</v>
      </c>
      <c r="B408" s="68" t="str">
        <f>MID(PRESUPUESTO[[#This Row],[CUENTA]],1,4)</f>
        <v>E-13</v>
      </c>
      <c r="C408" s="68" t="str">
        <f>INDEX(CATALOGO[Descripción],MATCH(PRESUPUESTO[[#This Row],[APLICACIÓN]]&amp;"-00-00-00",CATALOGO[Código],0))</f>
        <v>MAESTRIAS Y POSTGRADOS</v>
      </c>
      <c r="D4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Impresiones digitales (brochures, flyers, banner, afiches) Hojas sueltas</v>
      </c>
      <c r="E408" t="s">
        <v>359</v>
      </c>
      <c r="F408" s="78">
        <v>2500</v>
      </c>
      <c r="S408" t="s">
        <v>3187</v>
      </c>
    </row>
    <row r="409" spans="1:19" hidden="1" x14ac:dyDescent="0.25">
      <c r="A409" t="s">
        <v>3808</v>
      </c>
      <c r="B409" s="68" t="str">
        <f>MID(PRESUPUESTO[[#This Row],[CUENTA]],1,4)</f>
        <v>E-24</v>
      </c>
      <c r="C409" s="68" t="str">
        <f>INDEX(CATALOGO[Descripción],MATCH(PRESUPUESTO[[#This Row],[APLICACIÓN]]&amp;"-00-00-00",CATALOGO[Código],0))</f>
        <v>NUEVO INGRESO</v>
      </c>
      <c r="D4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Bolígrafos</v>
      </c>
      <c r="E409" t="s">
        <v>730</v>
      </c>
      <c r="F409" s="78">
        <v>2500</v>
      </c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</row>
    <row r="410" spans="1:19" hidden="1" x14ac:dyDescent="0.25">
      <c r="A410" t="s">
        <v>3810</v>
      </c>
      <c r="B410" s="68" t="str">
        <f>MID(PRESUPUESTO[[#This Row],[CUENTA]],1,4)</f>
        <v>E-24</v>
      </c>
      <c r="C410" s="68" t="str">
        <f>INDEX(CATALOGO[Descripción],MATCH(PRESUPUESTO[[#This Row],[APLICACIÓN]]&amp;"-00-00-00",CATALOGO[Código],0))</f>
        <v>NUEVO INGRESO</v>
      </c>
      <c r="D4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promocionales(Gorras, tazas, bolsas, plumas)</v>
      </c>
      <c r="E410" t="s">
        <v>732</v>
      </c>
      <c r="F410" s="78">
        <v>2500</v>
      </c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</row>
    <row r="411" spans="1:19" hidden="1" x14ac:dyDescent="0.25">
      <c r="A411" t="s">
        <v>3821</v>
      </c>
      <c r="B411" s="68" t="str">
        <f>MID(PRESUPUESTO[[#This Row],[CUENTA]],1,4)</f>
        <v>E-24</v>
      </c>
      <c r="C411" s="68" t="str">
        <f>INDEX(CATALOGO[Descripción],MATCH(PRESUPUESTO[[#This Row],[APLICACIÓN]]&amp;"-00-00-00",CATALOGO[Código],0))</f>
        <v>NUEVO INGRESO</v>
      </c>
      <c r="D4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-Capacitaciones a docentes de la red</v>
      </c>
      <c r="E411" t="s">
        <v>3822</v>
      </c>
      <c r="F411" s="78">
        <v>2500</v>
      </c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</row>
    <row r="412" spans="1:19" hidden="1" x14ac:dyDescent="0.25">
      <c r="A412" t="s">
        <v>3889</v>
      </c>
      <c r="B412" s="68" t="str">
        <f>MID(PRESUPUESTO[[#This Row],[CUENTA]],1,4)</f>
        <v>E-25</v>
      </c>
      <c r="C412" s="68" t="str">
        <f>INDEX(CATALOGO[Descripción],MATCH(PRESUPUESTO[[#This Row],[APLICACIÓN]]&amp;"-00-00-00",CATALOGO[Código],0))</f>
        <v>DECANATO DE ESTUDIANTES</v>
      </c>
      <c r="D4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Arbitrajes</v>
      </c>
      <c r="E412" t="s">
        <v>3890</v>
      </c>
      <c r="F412" s="78">
        <v>2500</v>
      </c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</row>
    <row r="413" spans="1:19" hidden="1" x14ac:dyDescent="0.25">
      <c r="A413" t="s">
        <v>3909</v>
      </c>
      <c r="B413" s="68" t="str">
        <f>MID(PRESUPUESTO[[#This Row],[CUENTA]],1,4)</f>
        <v>E-26</v>
      </c>
      <c r="C413" s="68" t="str">
        <f>INDEX(CATALOGO[Descripción],MATCH(PRESUPUESTO[[#This Row],[APLICACIÓN]]&amp;"-00-00-00",CATALOGO[Código],0))</f>
        <v>EVENTOS ACADEMICOS, CULTURALES  E INSTITUCIONALES</v>
      </c>
      <c r="D4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Eventos administrativos -Saludo Navideño</v>
      </c>
      <c r="E413" t="s">
        <v>3910</v>
      </c>
      <c r="F413" s="78">
        <v>2500</v>
      </c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</row>
    <row r="414" spans="1:19" hidden="1" x14ac:dyDescent="0.25">
      <c r="A414" t="s">
        <v>3916</v>
      </c>
      <c r="B414" s="68" t="str">
        <f>MID(PRESUPUESTO[[#This Row],[CUENTA]],1,4)</f>
        <v>E-26</v>
      </c>
      <c r="C414" s="68" t="str">
        <f>INDEX(CATALOGO[Descripción],MATCH(PRESUPUESTO[[#This Row],[APLICACIÓN]]&amp;"-00-00-00",CATALOGO[Código],0))</f>
        <v>EVENTOS ACADEMICOS, CULTURALES  E INSTITUCIONALES</v>
      </c>
      <c r="D4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Regalos, rifas y canastas</v>
      </c>
      <c r="E414" t="s">
        <v>3917</v>
      </c>
      <c r="F414" s="78">
        <v>2500</v>
      </c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</row>
    <row r="415" spans="1:19" hidden="1" x14ac:dyDescent="0.25">
      <c r="A415" t="s">
        <v>3928</v>
      </c>
      <c r="B415" s="68" t="str">
        <f>MID(PRESUPUESTO[[#This Row],[CUENTA]],1,4)</f>
        <v>E-26</v>
      </c>
      <c r="C415" s="68" t="str">
        <f>INDEX(CATALOGO[Descripción],MATCH(PRESUPUESTO[[#This Row],[APLICACIÓN]]&amp;"-00-00-00",CATALOGO[Código],0))</f>
        <v>EVENTOS ACADEMICOS, CULTURALES  E INSTITUCIONALES</v>
      </c>
      <c r="D4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Reconocimientos a docentes distinguidos</v>
      </c>
      <c r="E415" t="s">
        <v>3929</v>
      </c>
      <c r="F415" s="78">
        <v>2500</v>
      </c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</row>
    <row r="416" spans="1:19" hidden="1" x14ac:dyDescent="0.25">
      <c r="A416" t="s">
        <v>1271</v>
      </c>
      <c r="B416" s="68" t="str">
        <f>MID(PRESUPUESTO[[#This Row],[CUENTA]],1,4)</f>
        <v>E-24</v>
      </c>
      <c r="C416" s="68" t="str">
        <f>INDEX(CATALOGO[Descripción],MATCH(PRESUPUESTO[[#This Row],[APLICACIÓN]]&amp;"-00-00-00",CATALOGO[Código],0))</f>
        <v>NUEVO INGRESO</v>
      </c>
      <c r="D4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Servicio Internet $ 203.*12</v>
      </c>
      <c r="E416" t="s">
        <v>3841</v>
      </c>
      <c r="F416" s="78">
        <v>2436</v>
      </c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</row>
    <row r="417" spans="1:19" hidden="1" x14ac:dyDescent="0.25">
      <c r="A417" t="s">
        <v>1273</v>
      </c>
      <c r="B417" s="68" t="str">
        <f>MID(PRESUPUESTO[[#This Row],[CUENTA]],1,4)</f>
        <v>E-24</v>
      </c>
      <c r="C417" s="68" t="str">
        <f>INDEX(CATALOGO[Descripción],MATCH(PRESUPUESTO[[#This Row],[APLICACIÓN]]&amp;"-00-00-00",CATALOGO[Código],0))</f>
        <v>NUEVO INGRESO</v>
      </c>
      <c r="D4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Servicio internet $ 203 x 12</v>
      </c>
      <c r="E417" t="s">
        <v>3863</v>
      </c>
      <c r="F417" s="78">
        <v>2436</v>
      </c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</row>
    <row r="418" spans="1:19" hidden="1" x14ac:dyDescent="0.25">
      <c r="A418" t="s">
        <v>1664</v>
      </c>
      <c r="B418" s="68" t="str">
        <f>MID(PRESUPUESTO[[#This Row],[CUENTA]],1,4)</f>
        <v>E-13</v>
      </c>
      <c r="C418" s="68" t="str">
        <f>INDEX(CATALOGO[Descripción],MATCH(PRESUPUESTO[[#This Row],[APLICACIÓN]]&amp;"-00-00-00",CATALOGO[Código],0))</f>
        <v>MAESTRIAS Y POSTGRADOS</v>
      </c>
      <c r="D4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INSTALACIONES Y FUMIGACIONES</v>
      </c>
      <c r="E418" t="s">
        <v>3463</v>
      </c>
      <c r="F418" s="78">
        <v>2410</v>
      </c>
      <c r="S418" t="s">
        <v>3187</v>
      </c>
    </row>
    <row r="419" spans="1:19" hidden="1" x14ac:dyDescent="0.25">
      <c r="A419" t="s">
        <v>1332</v>
      </c>
      <c r="B419" s="68" t="str">
        <f>MID(PRESUPUESTO[[#This Row],[CUENTA]],1,4)</f>
        <v>E-17</v>
      </c>
      <c r="C419" s="68" t="str">
        <f>INDEX(CATALOGO[Descripción],MATCH(PRESUPUESTO[[#This Row],[APLICACIÓN]]&amp;"-00-00-00",CATALOGO[Código],0))</f>
        <v>MEDIOS DE COMUNICACIÓN</v>
      </c>
      <c r="D4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Publicaciones - Estipendios pasantes 2 (Daniel Durán y Adriana Arteaga)</v>
      </c>
      <c r="E419" t="s">
        <v>3631</v>
      </c>
      <c r="F419" s="78">
        <v>2400</v>
      </c>
      <c r="S419" t="s">
        <v>3187</v>
      </c>
    </row>
    <row r="420" spans="1:19" hidden="1" x14ac:dyDescent="0.25">
      <c r="A420" t="s">
        <v>1952</v>
      </c>
      <c r="B420" s="68" t="str">
        <f>MID(PRESUPUESTO[[#This Row],[CUENTA]],1,4)</f>
        <v>E-19</v>
      </c>
      <c r="C420" s="68" t="str">
        <f>INDEX(CATALOGO[Descripción],MATCH(PRESUPUESTO[[#This Row],[APLICACIÓN]]&amp;"-00-00-00",CATALOGO[Código],0))</f>
        <v>MANTENIMIENTO</v>
      </c>
      <c r="D4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de Extintores</v>
      </c>
      <c r="E420" t="s">
        <v>562</v>
      </c>
      <c r="F420" s="78">
        <v>2400</v>
      </c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</row>
    <row r="421" spans="1:19" hidden="1" x14ac:dyDescent="0.25">
      <c r="A421" t="s">
        <v>3704</v>
      </c>
      <c r="B421" s="68" t="str">
        <f>MID(PRESUPUESTO[[#This Row],[CUENTA]],1,4)</f>
        <v>E-21</v>
      </c>
      <c r="C421" s="68" t="str">
        <f>INDEX(CATALOGO[Descripción],MATCH(PRESUPUESTO[[#This Row],[APLICACIÓN]]&amp;"-00-00-00",CATALOGO[Código],0))</f>
        <v>CENTRO DE FORMACION PROFESIONAL y EXT U</v>
      </c>
      <c r="D4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Ponente</v>
      </c>
      <c r="E421" t="s">
        <v>3705</v>
      </c>
      <c r="F421" s="78">
        <v>2400</v>
      </c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</row>
    <row r="422" spans="1:19" hidden="1" x14ac:dyDescent="0.25">
      <c r="A422" t="s">
        <v>1087</v>
      </c>
      <c r="B422" s="68" t="str">
        <f>MID(PRESUPUESTO[[#This Row],[CUENTA]],1,4)</f>
        <v>E-24</v>
      </c>
      <c r="C422" s="68" t="str">
        <f>INDEX(CATALOGO[Descripción],MATCH(PRESUPUESTO[[#This Row],[APLICACIÓN]]&amp;"-00-00-00",CATALOGO[Código],0))</f>
        <v>NUEVO INGRESO</v>
      </c>
      <c r="D4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Energia electrica $ 200 X 12</v>
      </c>
      <c r="E422" t="s">
        <v>3858</v>
      </c>
      <c r="F422" s="78">
        <v>2400</v>
      </c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</row>
    <row r="423" spans="1:19" hidden="1" x14ac:dyDescent="0.25">
      <c r="A423" t="s">
        <v>1195</v>
      </c>
      <c r="B423" s="68" t="str">
        <f>MID(PRESUPUESTO[[#This Row],[CUENTA]],1,4)</f>
        <v>E-15</v>
      </c>
      <c r="C423" s="68" t="str">
        <f>INDEX(CATALOGO[Descripción],MATCH(PRESUPUESTO[[#This Row],[APLICACIÓN]]&amp;"-00-00-00",CATALOGO[Código],0))</f>
        <v>ALQUILERES</v>
      </c>
      <c r="D4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Terrenos El Volcan y El Pimental Evlqz $ 1,130.00 X 2</v>
      </c>
      <c r="E423" t="s">
        <v>445</v>
      </c>
      <c r="F423" s="78">
        <v>2260</v>
      </c>
      <c r="S423" t="s">
        <v>3187</v>
      </c>
    </row>
    <row r="424" spans="1:19" hidden="1" x14ac:dyDescent="0.25">
      <c r="A424" t="s">
        <v>1146</v>
      </c>
      <c r="B424" s="68" t="str">
        <f>MID(PRESUPUESTO[[#This Row],[CUENTA]],1,4)</f>
        <v>E-23</v>
      </c>
      <c r="C424" s="68" t="str">
        <f>INDEX(CATALOGO[Descripción],MATCH(PRESUPUESTO[[#This Row],[APLICACIÓN]]&amp;"-00-00-00",CATALOGO[Código],0))</f>
        <v>GASTOS DE VIAJE</v>
      </c>
      <c r="D4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Mensajero $ 180.00 </v>
      </c>
      <c r="E424" t="s">
        <v>698</v>
      </c>
      <c r="F424" s="78">
        <v>2160</v>
      </c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</row>
    <row r="425" spans="1:19" hidden="1" x14ac:dyDescent="0.25">
      <c r="A425" t="s">
        <v>1973</v>
      </c>
      <c r="B425" s="68" t="str">
        <f>MID(PRESUPUESTO[[#This Row],[CUENTA]],1,4)</f>
        <v>E-13</v>
      </c>
      <c r="C425" s="68" t="str">
        <f>INDEX(CATALOGO[Descripción],MATCH(PRESUPUESTO[[#This Row],[APLICACIÓN]]&amp;"-00-00-00",CATALOGO[Código],0))</f>
        <v>MAESTRIAS Y POSTGRADOS</v>
      </c>
      <c r="D4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MATERIAL DE LIMPIEZA</v>
      </c>
      <c r="E425" t="s">
        <v>3462</v>
      </c>
      <c r="F425" s="78">
        <v>2120</v>
      </c>
      <c r="S425" t="s">
        <v>3187</v>
      </c>
    </row>
    <row r="426" spans="1:19" hidden="1" x14ac:dyDescent="0.25">
      <c r="A426" t="s">
        <v>1929</v>
      </c>
      <c r="B426" s="68" t="str">
        <f>MID(PRESUPUESTO[[#This Row],[CUENTA]],1,4)</f>
        <v>E-09</v>
      </c>
      <c r="C426" s="68" t="str">
        <f>INDEX(CATALOGO[Descripción],MATCH(PRESUPUESTO[[#This Row],[APLICACIÓN]]&amp;"-00-00-00",CATALOGO[Código],0))</f>
        <v>PRESTACIONES AL PERSONAL</v>
      </c>
      <c r="D4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SEGUROS DE VEHICULO Y VIVIENDA FUNCIONARIOS</v>
      </c>
      <c r="E426" t="s">
        <v>3374</v>
      </c>
      <c r="F426" s="78">
        <v>2100</v>
      </c>
    </row>
    <row r="427" spans="1:19" hidden="1" x14ac:dyDescent="0.25">
      <c r="A427" t="s">
        <v>3419</v>
      </c>
      <c r="B427" s="68" t="str">
        <f>MID(PRESUPUESTO[[#This Row],[CUENTA]],1,4)</f>
        <v>E-12</v>
      </c>
      <c r="C427" s="68" t="str">
        <f>INDEX(CATALOGO[Descripción],MATCH(PRESUPUESTO[[#This Row],[APLICACIÓN]]&amp;"-00-00-00",CATALOGO[Código],0))</f>
        <v>PROYECCION SOCIAL</v>
      </c>
      <c r="D4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INSUMOS GENERALES</v>
      </c>
      <c r="E427" t="s">
        <v>3420</v>
      </c>
      <c r="F427" s="78">
        <v>2080</v>
      </c>
      <c r="S427" t="s">
        <v>3187</v>
      </c>
    </row>
    <row r="428" spans="1:19" hidden="1" x14ac:dyDescent="0.25">
      <c r="A428" t="s">
        <v>3770</v>
      </c>
      <c r="B428" s="68" t="str">
        <f>MID(PRESUPUESTO[[#This Row],[CUENTA]],1,4)</f>
        <v>E-22</v>
      </c>
      <c r="C428" s="68" t="str">
        <f>INDEX(CATALOGO[Descripción],MATCH(PRESUPUESTO[[#This Row],[APLICACIÓN]]&amp;"-00-00-00",CATALOGO[Código],0))</f>
        <v>CAPACITACIÓN AL PERSONAL</v>
      </c>
      <c r="D4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Contabilidad</v>
      </c>
      <c r="E428" t="s">
        <v>689</v>
      </c>
      <c r="F428" s="78">
        <v>2065</v>
      </c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</row>
    <row r="429" spans="1:19" hidden="1" x14ac:dyDescent="0.25">
      <c r="A429" t="s">
        <v>1095</v>
      </c>
      <c r="B429" s="68" t="str">
        <f>MID(PRESUPUESTO[[#This Row],[CUENTA]],1,4)</f>
        <v>E-13</v>
      </c>
      <c r="C429" s="68" t="str">
        <f>INDEX(CATALOGO[Descripción],MATCH(PRESUPUESTO[[#This Row],[APLICACIÓN]]&amp;"-00-00-00",CATALOGO[Código],0))</f>
        <v>MAESTRIAS Y POSTGRADOS</v>
      </c>
      <c r="D4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429" t="s">
        <v>3478</v>
      </c>
      <c r="F429" s="78">
        <v>2040</v>
      </c>
      <c r="S429" t="s">
        <v>3187</v>
      </c>
    </row>
    <row r="430" spans="1:19" x14ac:dyDescent="0.25">
      <c r="A430" t="s">
        <v>3270</v>
      </c>
      <c r="B430" s="68" t="str">
        <f>MID(PRESUPUESTO[[#This Row],[CUENTA]],1,4)</f>
        <v>I-05</v>
      </c>
      <c r="C430" s="68" t="str">
        <f>INDEX(CATALOGO[Descripción],MATCH(PRESUPUESTO[[#This Row],[APLICACIÓN]]&amp;"-00-00-00",CATALOGO[Código],0))</f>
        <v xml:space="preserve">MAESTRIAS, POSTGRADOS </v>
      </c>
      <c r="D4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DERECHOS DE GRADUACIÓN</v>
      </c>
      <c r="E430" t="s">
        <v>3187</v>
      </c>
      <c r="F430" s="78">
        <v>0</v>
      </c>
      <c r="S430" t="s">
        <v>3187</v>
      </c>
    </row>
    <row r="431" spans="1:19" x14ac:dyDescent="0.25">
      <c r="A431" t="s">
        <v>3273</v>
      </c>
      <c r="B431" s="68" t="str">
        <f>MID(PRESUPUESTO[[#This Row],[CUENTA]],1,4)</f>
        <v>I-05</v>
      </c>
      <c r="C431" s="68" t="str">
        <f>INDEX(CATALOGO[Descripción],MATCH(PRESUPUESTO[[#This Row],[APLICACIÓN]]&amp;"-00-00-00",CATALOGO[Código],0))</f>
        <v xml:space="preserve">MAESTRIAS, POSTGRADOS </v>
      </c>
      <c r="D4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SEMINARIO DE GRADUACIÓN </v>
      </c>
      <c r="E431" t="s">
        <v>3187</v>
      </c>
      <c r="F431" s="78">
        <v>0</v>
      </c>
      <c r="S431" t="s">
        <v>3187</v>
      </c>
    </row>
    <row r="432" spans="1:19" hidden="1" x14ac:dyDescent="0.25">
      <c r="A432" t="s">
        <v>3372</v>
      </c>
      <c r="B432" s="68" t="str">
        <f>MID(PRESUPUESTO[[#This Row],[CUENTA]],1,4)</f>
        <v>E-09</v>
      </c>
      <c r="C432" s="68" t="str">
        <f>INDEX(CATALOGO[Descripción],MATCH(PRESUPUESTO[[#This Row],[APLICACIÓN]]&amp;"-00-00-00",CATALOGO[Código],0))</f>
        <v>PRESTACIONES AL PERSONAL</v>
      </c>
      <c r="D4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Seguridad y salud ocupacional</v>
      </c>
      <c r="E432" t="s">
        <v>237</v>
      </c>
      <c r="F432" s="78">
        <v>2000</v>
      </c>
    </row>
    <row r="433" spans="1:19" hidden="1" x14ac:dyDescent="0.25">
      <c r="A433" t="s">
        <v>1027</v>
      </c>
      <c r="B433" s="68" t="str">
        <f>MID(PRESUPUESTO[[#This Row],[CUENTA]],1,4)</f>
        <v>E-12</v>
      </c>
      <c r="C433" s="68" t="str">
        <f>INDEX(CATALOGO[Descripción],MATCH(PRESUPUESTO[[#This Row],[APLICACIÓN]]&amp;"-00-00-00",CATALOGO[Código],0))</f>
        <v>PROYECCION SOCIAL</v>
      </c>
      <c r="D4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y actividades de Facultad de Informática y Ciencias Aplicadas</v>
      </c>
      <c r="E433" t="s">
        <v>3399</v>
      </c>
      <c r="F433" s="78">
        <v>2000</v>
      </c>
      <c r="S433" t="s">
        <v>3187</v>
      </c>
    </row>
    <row r="434" spans="1:19" hidden="1" x14ac:dyDescent="0.25">
      <c r="A434" t="s">
        <v>1991</v>
      </c>
      <c r="B434" s="68" t="str">
        <f>MID(PRESUPUESTO[[#This Row],[CUENTA]],1,4)</f>
        <v>E-12</v>
      </c>
      <c r="C434" s="68" t="str">
        <f>INDEX(CATALOGO[Descripción],MATCH(PRESUPUESTO[[#This Row],[APLICACIÓN]]&amp;"-00-00-00",CATALOGO[Código],0))</f>
        <v>PROYECCION SOCIAL</v>
      </c>
      <c r="D4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y actividades de Facultad Ciencias Sociales</v>
      </c>
      <c r="E434" t="s">
        <v>3400</v>
      </c>
      <c r="F434" s="78">
        <v>2000</v>
      </c>
      <c r="S434" t="s">
        <v>3187</v>
      </c>
    </row>
    <row r="435" spans="1:19" hidden="1" x14ac:dyDescent="0.25">
      <c r="A435" t="s">
        <v>3425</v>
      </c>
      <c r="B435" s="68" t="str">
        <f>MID(PRESUPUESTO[[#This Row],[CUENTA]],1,4)</f>
        <v>E-12</v>
      </c>
      <c r="C435" s="68" t="str">
        <f>INDEX(CATALOGO[Descripción],MATCH(PRESUPUESTO[[#This Row],[APLICACIÓN]]&amp;"-00-00-00",CATALOGO[Código],0))</f>
        <v>PROYECCION SOCIAL</v>
      </c>
      <c r="D4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INVERSION HERRAMIENTAS/ MAQUINARIA PARA FABRICACIÓN</v>
      </c>
      <c r="E435" t="s">
        <v>3426</v>
      </c>
      <c r="F435" s="78">
        <v>2000</v>
      </c>
      <c r="S435" t="s">
        <v>3187</v>
      </c>
    </row>
    <row r="436" spans="1:19" hidden="1" x14ac:dyDescent="0.25">
      <c r="A436" t="s">
        <v>3443</v>
      </c>
      <c r="B436" s="68" t="str">
        <f>MID(PRESUPUESTO[[#This Row],[CUENTA]],1,4)</f>
        <v>E-12</v>
      </c>
      <c r="C436" s="68" t="str">
        <f>INDEX(CATALOGO[Descripción],MATCH(PRESUPUESTO[[#This Row],[APLICACIÓN]]&amp;"-00-00-00",CATALOGO[Código],0))</f>
        <v>PROYECCION SOCIAL</v>
      </c>
      <c r="D4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Adquisicion indumentaria Danza</v>
      </c>
      <c r="E436" t="s">
        <v>3444</v>
      </c>
      <c r="F436" s="78">
        <v>2000</v>
      </c>
      <c r="S436" t="s">
        <v>3187</v>
      </c>
    </row>
    <row r="437" spans="1:19" hidden="1" x14ac:dyDescent="0.25">
      <c r="A437" t="s">
        <v>3451</v>
      </c>
      <c r="B437" s="68" t="str">
        <f>MID(PRESUPUESTO[[#This Row],[CUENTA]],1,4)</f>
        <v>E-12</v>
      </c>
      <c r="C437" s="68" t="str">
        <f>INDEX(CATALOGO[Descripción],MATCH(PRESUPUESTO[[#This Row],[APLICACIÓN]]&amp;"-00-00-00",CATALOGO[Código],0))</f>
        <v>PROYECCION SOCIAL</v>
      </c>
      <c r="D4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EXPOSICIONES PERMANTE</v>
      </c>
      <c r="E437" t="s">
        <v>3452</v>
      </c>
      <c r="F437" s="78">
        <v>2000</v>
      </c>
      <c r="S437" t="s">
        <v>3187</v>
      </c>
    </row>
    <row r="438" spans="1:19" hidden="1" x14ac:dyDescent="0.25">
      <c r="A438" t="s">
        <v>3489</v>
      </c>
      <c r="B438" s="68" t="str">
        <f>MID(PRESUPUESTO[[#This Row],[CUENTA]],1,4)</f>
        <v>E-13</v>
      </c>
      <c r="C438" s="68" t="str">
        <f>INDEX(CATALOGO[Descripción],MATCH(PRESUPUESTO[[#This Row],[APLICACIÓN]]&amp;"-00-00-00",CATALOGO[Código],0))</f>
        <v>MAESTRIAS Y POSTGRADOS</v>
      </c>
      <c r="D4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Google ADS (Adwords, YouTube, Gmail) </v>
      </c>
      <c r="E438" t="s">
        <v>358</v>
      </c>
      <c r="F438" s="78">
        <v>2000</v>
      </c>
      <c r="S438" t="s">
        <v>3187</v>
      </c>
    </row>
    <row r="439" spans="1:19" hidden="1" x14ac:dyDescent="0.25">
      <c r="A439" t="s">
        <v>1367</v>
      </c>
      <c r="B439" s="68" t="str">
        <f>MID(PRESUPUESTO[[#This Row],[CUENTA]],1,4)</f>
        <v>E-14</v>
      </c>
      <c r="C439" s="68" t="str">
        <f>INDEX(CATALOGO[Descripción],MATCH(PRESUPUESTO[[#This Row],[APLICACIÓN]]&amp;"-00-00-00",CATALOGO[Código],0))</f>
        <v>MATERIAL DIDÁCTICO</v>
      </c>
      <c r="D4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CARNET - FACULTAD DE CIENCIAS JURIDICAS</v>
      </c>
      <c r="E439" t="s">
        <v>3555</v>
      </c>
      <c r="F439" s="78">
        <v>2000</v>
      </c>
      <c r="S439" t="s">
        <v>3187</v>
      </c>
    </row>
    <row r="440" spans="1:19" hidden="1" x14ac:dyDescent="0.25">
      <c r="A440" t="s">
        <v>1359</v>
      </c>
      <c r="B440" s="68" t="str">
        <f>MID(PRESUPUESTO[[#This Row],[CUENTA]],1,4)</f>
        <v>E-19</v>
      </c>
      <c r="C440" s="68" t="str">
        <f>INDEX(CATALOGO[Descripción],MATCH(PRESUPUESTO[[#This Row],[APLICACIÓN]]&amp;"-00-00-00",CATALOGO[Código],0))</f>
        <v>MANTENIMIENTO</v>
      </c>
      <c r="D4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El Palmarcito</v>
      </c>
      <c r="E440" t="s">
        <v>3676</v>
      </c>
      <c r="F440" s="78">
        <v>2000</v>
      </c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</row>
    <row r="441" spans="1:19" hidden="1" x14ac:dyDescent="0.25">
      <c r="A441" s="37" t="s">
        <v>3684</v>
      </c>
      <c r="B441" s="68" t="str">
        <f>MID(PRESUPUESTO[[#This Row],[CUENTA]],1,4)</f>
        <v>E-19</v>
      </c>
      <c r="C441" s="68" t="str">
        <f>INDEX(CATALOGO[Descripción],MATCH(PRESUPUESTO[[#This Row],[APLICACIÓN]]&amp;"-00-00-00",CATALOGO[Código],0))</f>
        <v>MANTENIMIENTO</v>
      </c>
      <c r="D4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Mantenimiento camaras de seguridad</v>
      </c>
      <c r="E441" t="s">
        <v>567</v>
      </c>
      <c r="F441" s="78">
        <v>2000</v>
      </c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</row>
    <row r="442" spans="1:19" hidden="1" x14ac:dyDescent="0.25">
      <c r="A442" t="s">
        <v>3700</v>
      </c>
      <c r="B442" s="68" t="str">
        <f>MID(PRESUPUESTO[[#This Row],[CUENTA]],1,4)</f>
        <v>E-21</v>
      </c>
      <c r="C442" s="68" t="str">
        <f>INDEX(CATALOGO[Descripción],MATCH(PRESUPUESTO[[#This Row],[APLICACIÓN]]&amp;"-00-00-00",CATALOGO[Código],0))</f>
        <v>CENTRO DE FORMACION PROFESIONAL y EXT U</v>
      </c>
      <c r="D4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FCCE - Pago licencias AMADEUS</v>
      </c>
      <c r="E442" t="s">
        <v>3701</v>
      </c>
      <c r="F442" s="78">
        <v>2000</v>
      </c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</row>
    <row r="443" spans="1:19" hidden="1" x14ac:dyDescent="0.25">
      <c r="A443" t="s">
        <v>2697</v>
      </c>
      <c r="B443" s="68" t="str">
        <f>MID(PRESUPUESTO[[#This Row],[CUENTA]],1,4)</f>
        <v>E-21</v>
      </c>
      <c r="C443" s="68" t="str">
        <f>INDEX(CATALOGO[Descripción],MATCH(PRESUPUESTO[[#This Row],[APLICACIÓN]]&amp;"-00-00-00",CATALOGO[Código],0))</f>
        <v>CENTRO DE FORMACION PROFESIONAL y EXT U</v>
      </c>
      <c r="D4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POSTGRADO CAMPUS VIRTUAL</v>
      </c>
      <c r="E443" t="s">
        <v>3707</v>
      </c>
      <c r="F443" s="78">
        <v>2000</v>
      </c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</row>
    <row r="444" spans="1:19" hidden="1" x14ac:dyDescent="0.25">
      <c r="A444" t="s">
        <v>3706</v>
      </c>
      <c r="B444" s="68" t="str">
        <f>MID(PRESUPUESTO[[#This Row],[CUENTA]],1,4)</f>
        <v>E-21</v>
      </c>
      <c r="C444" s="68" t="str">
        <f>INDEX(CATALOGO[Descripción],MATCH(PRESUPUESTO[[#This Row],[APLICACIÓN]]&amp;"-00-00-00",CATALOGO[Código],0))</f>
        <v>CENTRO DE FORMACION PROFESIONAL y EXT U</v>
      </c>
      <c r="D4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Insumos Diplomados y Refrigerios</v>
      </c>
      <c r="E444" t="s">
        <v>3707</v>
      </c>
      <c r="F444" s="78">
        <v>2000</v>
      </c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</row>
    <row r="445" spans="1:19" hidden="1" x14ac:dyDescent="0.25">
      <c r="A445" t="s">
        <v>2866</v>
      </c>
      <c r="B445" s="68" t="str">
        <f>MID(PRESUPUESTO[[#This Row],[CUENTA]],1,4)</f>
        <v>E-22</v>
      </c>
      <c r="C445" s="68" t="str">
        <f>INDEX(CATALOGO[Descripción],MATCH(PRESUPUESTO[[#This Row],[APLICACIÓN]]&amp;"-00-00-00",CATALOGO[Código],0))</f>
        <v>CAPACITACIÓN AL PERSONAL</v>
      </c>
      <c r="D4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 - Capacitaciones personal de Maestrías</v>
      </c>
      <c r="E445" t="s">
        <v>3759</v>
      </c>
      <c r="F445" s="78">
        <v>2000</v>
      </c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</row>
    <row r="446" spans="1:19" hidden="1" x14ac:dyDescent="0.25">
      <c r="A446" t="s">
        <v>3779</v>
      </c>
      <c r="B446" s="68" t="str">
        <f>MID(PRESUPUESTO[[#This Row],[CUENTA]],1,4)</f>
        <v>E-22</v>
      </c>
      <c r="C446" s="68" t="str">
        <f>INDEX(CATALOGO[Descripción],MATCH(PRESUPUESTO[[#This Row],[APLICACIÓN]]&amp;"-00-00-00",CATALOGO[Código],0))</f>
        <v>CAPACITACIÓN AL PERSONAL</v>
      </c>
      <c r="D4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</v>
      </c>
      <c r="E446" t="s">
        <v>689</v>
      </c>
      <c r="F446" s="78">
        <v>2000</v>
      </c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</row>
    <row r="447" spans="1:19" hidden="1" x14ac:dyDescent="0.25">
      <c r="A447" t="s">
        <v>3781</v>
      </c>
      <c r="B447" s="68" t="str">
        <f>MID(PRESUPUESTO[[#This Row],[CUENTA]],1,4)</f>
        <v>E-22</v>
      </c>
      <c r="C447" s="68" t="str">
        <f>INDEX(CATALOGO[Descripción],MATCH(PRESUPUESTO[[#This Row],[APLICACIÓN]]&amp;"-00-00-00",CATALOGO[Código],0))</f>
        <v>CAPACITACIÓN AL PERSONAL</v>
      </c>
      <c r="D4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</v>
      </c>
      <c r="E447" t="s">
        <v>689</v>
      </c>
      <c r="F447" s="78">
        <v>2000</v>
      </c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</row>
    <row r="448" spans="1:19" hidden="1" x14ac:dyDescent="0.25">
      <c r="A448" t="s">
        <v>3792</v>
      </c>
      <c r="B448" s="68" t="str">
        <f>MID(PRESUPUESTO[[#This Row],[CUENTA]],1,4)</f>
        <v>E-24</v>
      </c>
      <c r="C448" s="68" t="str">
        <f>INDEX(CATALOGO[Descripción],MATCH(PRESUPUESTO[[#This Row],[APLICACIÓN]]&amp;"-00-00-00",CATALOGO[Código],0))</f>
        <v>NUEVO INGRESO</v>
      </c>
      <c r="D4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EN TWITTER</v>
      </c>
      <c r="E448" t="s">
        <v>3793</v>
      </c>
      <c r="F448" s="78">
        <v>2000</v>
      </c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</row>
    <row r="449" spans="1:19" hidden="1" x14ac:dyDescent="0.25">
      <c r="A449" t="s">
        <v>2455</v>
      </c>
      <c r="B449" s="68" t="str">
        <f>MID(PRESUPUESTO[[#This Row],[CUENTA]],1,4)</f>
        <v>E-24</v>
      </c>
      <c r="C449" s="68" t="str">
        <f>INDEX(CATALOGO[Descripción],MATCH(PRESUPUESTO[[#This Row],[APLICACIÓN]]&amp;"-00-00-00",CATALOGO[Código],0))</f>
        <v>NUEVO INGRESO</v>
      </c>
      <c r="D4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-Eventos Especiales a directores</v>
      </c>
      <c r="E449" t="s">
        <v>3814</v>
      </c>
      <c r="F449" s="78">
        <v>2000</v>
      </c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</row>
    <row r="450" spans="1:19" hidden="1" x14ac:dyDescent="0.25">
      <c r="A450" t="s">
        <v>3819</v>
      </c>
      <c r="B450" s="68" t="str">
        <f>MID(PRESUPUESTO[[#This Row],[CUENTA]],1,4)</f>
        <v>E-24</v>
      </c>
      <c r="C450" s="68" t="str">
        <f>INDEX(CATALOGO[Descripción],MATCH(PRESUPUESTO[[#This Row],[APLICACIÓN]]&amp;"-00-00-00",CATALOGO[Código],0))</f>
        <v>NUEVO INGRESO</v>
      </c>
      <c r="D4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-Capacitaciones a docentes entornos virtuales</v>
      </c>
      <c r="E450" t="s">
        <v>3820</v>
      </c>
      <c r="F450" s="78">
        <v>2000</v>
      </c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</row>
    <row r="451" spans="1:19" hidden="1" x14ac:dyDescent="0.25">
      <c r="A451" t="s">
        <v>1246</v>
      </c>
      <c r="B451" s="68" t="str">
        <f>MID(PRESUPUESTO[[#This Row],[CUENTA]],1,4)</f>
        <v>E-29</v>
      </c>
      <c r="C451" s="68" t="str">
        <f>INDEX(CATALOGO[Descripción],MATCH(PRESUPUESTO[[#This Row],[APLICACIÓN]]&amp;"-00-00-00",CATALOGO[Código],0))</f>
        <v xml:space="preserve">BIBLIOTECA </v>
      </c>
      <c r="D4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Papelería y utiles</v>
      </c>
      <c r="E451" t="s">
        <v>895</v>
      </c>
      <c r="F451" s="78">
        <v>2000</v>
      </c>
      <c r="S451" t="s">
        <v>3187</v>
      </c>
    </row>
    <row r="452" spans="1:19" hidden="1" x14ac:dyDescent="0.25">
      <c r="A452" t="s">
        <v>3989</v>
      </c>
      <c r="B452" s="68" t="str">
        <f>MID(PRESUPUESTO[[#This Row],[CUENTA]],1,4)</f>
        <v>E-30</v>
      </c>
      <c r="C452" s="68" t="str">
        <f>INDEX(CATALOGO[Descripción],MATCH(PRESUPUESTO[[#This Row],[APLICACIÓN]]&amp;"-00-00-00",CATALOGO[Código],0))</f>
        <v>MEMBRESIAS Y SUSCRIPCIONES</v>
      </c>
      <c r="D4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Renovación servicio Pay Way</v>
      </c>
      <c r="E452" t="s">
        <v>917</v>
      </c>
      <c r="F452" s="78">
        <v>2000</v>
      </c>
      <c r="S452" t="s">
        <v>3187</v>
      </c>
    </row>
    <row r="453" spans="1:19" hidden="1" x14ac:dyDescent="0.25">
      <c r="A453" t="s">
        <v>3990</v>
      </c>
      <c r="B453" s="68" t="str">
        <f>MID(PRESUPUESTO[[#This Row],[CUENTA]],1,4)</f>
        <v>E-30</v>
      </c>
      <c r="C453" s="68" t="str">
        <f>INDEX(CATALOGO[Descripción],MATCH(PRESUPUESTO[[#This Row],[APLICACIÓN]]&amp;"-00-00-00",CATALOGO[Código],0))</f>
        <v>MEMBRESIAS Y SUSCRIPCIONES</v>
      </c>
      <c r="D4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Codigo de barras</v>
      </c>
      <c r="E453" t="s">
        <v>919</v>
      </c>
      <c r="F453" s="78">
        <v>2000</v>
      </c>
      <c r="S453" t="s">
        <v>3187</v>
      </c>
    </row>
    <row r="454" spans="1:19" hidden="1" x14ac:dyDescent="0.25">
      <c r="A454" t="s">
        <v>4005</v>
      </c>
      <c r="B454" s="68" t="str">
        <f>MID(PRESUPUESTO[[#This Row],[CUENTA]],1,4)</f>
        <v>E-32</v>
      </c>
      <c r="C454" s="68" t="str">
        <f>INDEX(CATALOGO[Descripción],MATCH(PRESUPUESTO[[#This Row],[APLICACIÓN]]&amp;"-00-00-00",CATALOGO[Código],0))</f>
        <v>RELACIONES INTERNACIONALES</v>
      </c>
      <c r="D4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Programa de redes internacionales</v>
      </c>
      <c r="E454" t="s">
        <v>952</v>
      </c>
      <c r="F454" s="78">
        <v>2000</v>
      </c>
      <c r="S454" t="s">
        <v>3187</v>
      </c>
    </row>
    <row r="455" spans="1:19" hidden="1" x14ac:dyDescent="0.25">
      <c r="A455" t="s">
        <v>4010</v>
      </c>
      <c r="B455" s="68" t="str">
        <f>MID(PRESUPUESTO[[#This Row],[CUENTA]],1,4)</f>
        <v>E-32</v>
      </c>
      <c r="C455" s="68" t="str">
        <f>INDEX(CATALOGO[Descripción],MATCH(PRESUPUESTO[[#This Row],[APLICACIÓN]]&amp;"-00-00-00",CATALOGO[Código],0))</f>
        <v>RELACIONES INTERNACIONALES</v>
      </c>
      <c r="D4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Erasmus+</v>
      </c>
      <c r="E455" t="s">
        <v>960</v>
      </c>
      <c r="F455" s="78">
        <v>2000</v>
      </c>
      <c r="S455" t="s">
        <v>3187</v>
      </c>
    </row>
    <row r="456" spans="1:19" hidden="1" x14ac:dyDescent="0.25">
      <c r="A456" t="s">
        <v>3403</v>
      </c>
      <c r="B456" s="68" t="str">
        <f>MID(PRESUPUESTO[[#This Row],[CUENTA]],1,4)</f>
        <v>E-12</v>
      </c>
      <c r="C456" s="68" t="str">
        <f>INDEX(CATALOGO[Descripción],MATCH(PRESUPUESTO[[#This Row],[APLICACIÓN]]&amp;"-00-00-00",CATALOGO[Código],0))</f>
        <v>PROYECCION SOCIAL</v>
      </c>
      <c r="D4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y actividades itinerante (catedras)</v>
      </c>
      <c r="E456" t="s">
        <v>3404</v>
      </c>
      <c r="F456" s="78">
        <v>1980</v>
      </c>
      <c r="S456" t="s">
        <v>3187</v>
      </c>
    </row>
    <row r="457" spans="1:19" hidden="1" x14ac:dyDescent="0.25">
      <c r="A457" t="s">
        <v>1235</v>
      </c>
      <c r="B457" s="68" t="str">
        <f>MID(PRESUPUESTO[[#This Row],[CUENTA]],1,4)</f>
        <v>E-14</v>
      </c>
      <c r="C457" s="68" t="str">
        <f>INDEX(CATALOGO[Descripción],MATCH(PRESUPUESTO[[#This Row],[APLICACIÓN]]&amp;"-00-00-00",CATALOGO[Código],0))</f>
        <v>MATERIAL DIDÁCTICO</v>
      </c>
      <c r="D4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PAPELERIA Y UTILES - FACULTAD DE CIENCIAS EMPRESARIALES  </v>
      </c>
      <c r="E457" t="s">
        <v>3517</v>
      </c>
      <c r="F457" s="78">
        <v>1875</v>
      </c>
      <c r="S457" t="s">
        <v>3187</v>
      </c>
    </row>
    <row r="458" spans="1:19" hidden="1" x14ac:dyDescent="0.25">
      <c r="A458" t="s">
        <v>1729</v>
      </c>
      <c r="B458" s="68" t="str">
        <f>MID(PRESUPUESTO[[#This Row],[CUENTA]],1,4)</f>
        <v>E-29</v>
      </c>
      <c r="C458" s="68" t="str">
        <f>INDEX(CATALOGO[Descripción],MATCH(PRESUPUESTO[[#This Row],[APLICACIÓN]]&amp;"-00-00-00",CATALOGO[Código],0))</f>
        <v xml:space="preserve">BIBLIOTECA </v>
      </c>
      <c r="D4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Separadores de libros</v>
      </c>
      <c r="E458" t="s">
        <v>896</v>
      </c>
      <c r="F458" s="78">
        <v>1800</v>
      </c>
      <c r="S458" t="s">
        <v>3187</v>
      </c>
    </row>
    <row r="459" spans="1:19" hidden="1" x14ac:dyDescent="0.25">
      <c r="A459" t="s">
        <v>3767</v>
      </c>
      <c r="B459" s="68" t="str">
        <f>MID(PRESUPUESTO[[#This Row],[CUENTA]],1,4)</f>
        <v>E-22</v>
      </c>
      <c r="C459" s="68" t="str">
        <f>INDEX(CATALOGO[Descripción],MATCH(PRESUPUESTO[[#This Row],[APLICACIÓN]]&amp;"-00-00-00",CATALOGO[Código],0))</f>
        <v>CAPACITACIÓN AL PERSONAL</v>
      </c>
      <c r="D4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Maestría en Gestión Estratégica de Marketing . Lic. Giovanni Mejía Martínez</v>
      </c>
      <c r="E459" t="s">
        <v>667</v>
      </c>
      <c r="F459" s="83">
        <v>1778</v>
      </c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</row>
    <row r="460" spans="1:19" hidden="1" x14ac:dyDescent="0.25">
      <c r="A460" t="s">
        <v>3733</v>
      </c>
      <c r="B460" s="68" t="str">
        <f>MID(PRESUPUESTO[[#This Row],[CUENTA]],1,4)</f>
        <v>E-22</v>
      </c>
      <c r="C460" s="68" t="str">
        <f>INDEX(CATALOGO[Descripción],MATCH(PRESUPUESTO[[#This Row],[APLICACIÓN]]&amp;"-00-00-00",CATALOGO[Código],0))</f>
        <v>CAPACITACIÓN AL PERSONAL</v>
      </c>
      <c r="D4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Seminarios y congresos externos</v>
      </c>
      <c r="E460" t="s">
        <v>3734</v>
      </c>
      <c r="F460" s="78">
        <v>1764.45</v>
      </c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</row>
    <row r="461" spans="1:19" hidden="1" x14ac:dyDescent="0.25">
      <c r="A461" t="s">
        <v>3350</v>
      </c>
      <c r="B461" s="68" t="str">
        <f>MID(PRESUPUESTO[[#This Row],[CUENTA]],1,4)</f>
        <v>E-08</v>
      </c>
      <c r="C461" s="68" t="str">
        <f>INDEX(CATALOGO[Descripción],MATCH(PRESUPUESTO[[#This Row],[APLICACIÓN]]&amp;"-00-00-00",CATALOGO[Código],0))</f>
        <v>INVERSIONES Y PROYECTOS ESPECIALES</v>
      </c>
      <c r="D4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461" t="s">
        <v>3354</v>
      </c>
      <c r="F461" s="78">
        <v>1750</v>
      </c>
    </row>
    <row r="462" spans="1:19" hidden="1" x14ac:dyDescent="0.25">
      <c r="A462" t="s">
        <v>3984</v>
      </c>
      <c r="B462" s="68" t="str">
        <f>MID(PRESUPUESTO[[#This Row],[CUENTA]],1,4)</f>
        <v>E-29</v>
      </c>
      <c r="C462" s="68" t="str">
        <f>INDEX(CATALOGO[Descripción],MATCH(PRESUPUESTO[[#This Row],[APLICACIÓN]]&amp;"-00-00-00",CATALOGO[Código],0))</f>
        <v xml:space="preserve">BIBLIOTECA </v>
      </c>
      <c r="D4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Herramientas trabajo lista encabezamiento</v>
      </c>
      <c r="E462" t="s">
        <v>905</v>
      </c>
      <c r="F462" s="78">
        <v>1714</v>
      </c>
      <c r="S462" t="s">
        <v>3187</v>
      </c>
    </row>
    <row r="463" spans="1:19" hidden="1" x14ac:dyDescent="0.25">
      <c r="A463" t="s">
        <v>1962</v>
      </c>
      <c r="B463" s="68" t="str">
        <f>MID(PRESUPUESTO[[#This Row],[CUENTA]],1,4)</f>
        <v>E-22</v>
      </c>
      <c r="C463" s="68" t="str">
        <f>INDEX(CATALOGO[Descripción],MATCH(PRESUPUESTO[[#This Row],[APLICACIÓN]]&amp;"-00-00-00",CATALOGO[Código],0))</f>
        <v>CAPACITACIÓN AL PERSONAL</v>
      </c>
      <c r="D4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Vr. Investigaciones y Proyección Social</v>
      </c>
      <c r="E463" t="s">
        <v>689</v>
      </c>
      <c r="F463" s="78">
        <v>1700</v>
      </c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</row>
    <row r="464" spans="1:19" hidden="1" x14ac:dyDescent="0.25">
      <c r="A464" t="s">
        <v>3980</v>
      </c>
      <c r="B464" s="68" t="str">
        <f>MID(PRESUPUESTO[[#This Row],[CUENTA]],1,4)</f>
        <v>E-29</v>
      </c>
      <c r="C464" s="68" t="str">
        <f>INDEX(CATALOGO[Descripción],MATCH(PRESUPUESTO[[#This Row],[APLICACIÓN]]&amp;"-00-00-00",CATALOGO[Código],0))</f>
        <v xml:space="preserve">BIBLIOTECA </v>
      </c>
      <c r="D4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Restauracion libros</v>
      </c>
      <c r="E464" t="s">
        <v>897</v>
      </c>
      <c r="F464" s="78">
        <v>1650</v>
      </c>
      <c r="S464" t="s">
        <v>3187</v>
      </c>
    </row>
    <row r="465" spans="1:19" hidden="1" x14ac:dyDescent="0.25">
      <c r="A465" t="s">
        <v>3290</v>
      </c>
      <c r="B465" s="68" t="str">
        <f>MID(PRESUPUESTO[[#This Row],[CUENTA]],1,4)</f>
        <v>E-01</v>
      </c>
      <c r="C465" s="68" t="str">
        <f>INDEX(CATALOGO[Descripción],MATCH(PRESUPUESTO[[#This Row],[APLICACIÓN]]&amp;"-00-00-00",CATALOGO[Código],0))</f>
        <v>SERVICIOS PROFESIONALES</v>
      </c>
      <c r="D4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Honorarios asesoría demanda alumnos</v>
      </c>
      <c r="E465" t="s">
        <v>127</v>
      </c>
      <c r="F465" s="78">
        <v>1600</v>
      </c>
      <c r="S465" t="s">
        <v>3187</v>
      </c>
    </row>
    <row r="466" spans="1:19" hidden="1" x14ac:dyDescent="0.25">
      <c r="A466" t="s">
        <v>2054</v>
      </c>
      <c r="B466" s="68" t="str">
        <f>MID(PRESUPUESTO[[#This Row],[CUENTA]],1,4)</f>
        <v>E-13</v>
      </c>
      <c r="C466" s="68" t="str">
        <f>INDEX(CATALOGO[Descripción],MATCH(PRESUPUESTO[[#This Row],[APLICACIÓN]]&amp;"-00-00-00",CATALOGO[Código],0))</f>
        <v>MAESTRIAS Y POSTGRADOS</v>
      </c>
      <c r="D4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Actividades de Promoción </v>
      </c>
      <c r="E466" t="s">
        <v>3491</v>
      </c>
      <c r="F466" s="78">
        <v>1600</v>
      </c>
      <c r="S466" t="s">
        <v>3187</v>
      </c>
    </row>
    <row r="467" spans="1:19" hidden="1" x14ac:dyDescent="0.25">
      <c r="A467" s="37" t="s">
        <v>3643</v>
      </c>
      <c r="B467" s="68" t="str">
        <f>MID(PRESUPUESTO[[#This Row],[CUENTA]],1,4)</f>
        <v>E-18</v>
      </c>
      <c r="C467" s="68" t="str">
        <f>INDEX(CATALOGO[Descripción],MATCH(PRESUPUESTO[[#This Row],[APLICACIÓN]]&amp;"-00-00-00",CATALOGO[Código],0))</f>
        <v>COMUNICACIÓN INSTITUCIONAL</v>
      </c>
      <c r="D4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Drone para producciones audiovisuales</v>
      </c>
      <c r="E467" t="s">
        <v>511</v>
      </c>
      <c r="F467" s="78">
        <v>1600</v>
      </c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</row>
    <row r="468" spans="1:19" hidden="1" x14ac:dyDescent="0.25">
      <c r="A468" t="s">
        <v>3994</v>
      </c>
      <c r="B468" s="68" t="str">
        <f>MID(PRESUPUESTO[[#This Row],[CUENTA]],1,4)</f>
        <v>E-31</v>
      </c>
      <c r="C468" s="68" t="str">
        <f>INDEX(CATALOGO[Descripción],MATCH(PRESUPUESTO[[#This Row],[APLICACIÓN]]&amp;"-00-00-00",CATALOGO[Código],0))</f>
        <v>DONACIONES</v>
      </c>
      <c r="D4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Teen Challenge</v>
      </c>
      <c r="E468" t="s">
        <v>928</v>
      </c>
      <c r="F468" s="78">
        <v>1600</v>
      </c>
      <c r="S468" t="s">
        <v>3187</v>
      </c>
    </row>
    <row r="469" spans="1:19" hidden="1" x14ac:dyDescent="0.25">
      <c r="A469" t="s">
        <v>3514</v>
      </c>
      <c r="B469" s="68" t="str">
        <f>MID(PRESUPUESTO[[#This Row],[CUENTA]],1,4)</f>
        <v>E-13</v>
      </c>
      <c r="C469" s="68" t="str">
        <f>INDEX(CATALOGO[Descripción],MATCH(PRESUPUESTO[[#This Row],[APLICACIÓN]]&amp;"-00-00-00",CATALOGO[Código],0))</f>
        <v>MAESTRIAS Y POSTGRADOS</v>
      </c>
      <c r="D4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GASTOS GRADUACIONES  POSTGRADOS</v>
      </c>
      <c r="E469" t="s">
        <v>3415</v>
      </c>
      <c r="F469" s="78">
        <v>1584</v>
      </c>
      <c r="S469" t="s">
        <v>3187</v>
      </c>
    </row>
    <row r="470" spans="1:19" hidden="1" x14ac:dyDescent="0.25">
      <c r="A470" t="s">
        <v>1695</v>
      </c>
      <c r="B470" s="68" t="str">
        <f>MID(PRESUPUESTO[[#This Row],[CUENTA]],1,4)</f>
        <v>E-25</v>
      </c>
      <c r="C470" s="68" t="str">
        <f>INDEX(CATALOGO[Descripción],MATCH(PRESUPUESTO[[#This Row],[APLICACIÓN]]&amp;"-00-00-00",CATALOGO[Código],0))</f>
        <v>DECANATO DE ESTUDIANTES</v>
      </c>
      <c r="D4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MEMBRESIAS</v>
      </c>
      <c r="E470" t="s">
        <v>3870</v>
      </c>
      <c r="F470" s="78">
        <v>1530</v>
      </c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</row>
    <row r="471" spans="1:19" hidden="1" x14ac:dyDescent="0.25">
      <c r="A471" t="s">
        <v>3328</v>
      </c>
      <c r="B471" s="68" t="str">
        <f>MID(PRESUPUESTO[[#This Row],[CUENTA]],1,4)</f>
        <v>E-07</v>
      </c>
      <c r="C471" s="68" t="str">
        <f>INDEX(CATALOGO[Descripción],MATCH(PRESUPUESTO[[#This Row],[APLICACIÓN]]&amp;"-00-00-00",CATALOGO[Código],0))</f>
        <v>SERVICIOS TECNOLOGICOS</v>
      </c>
      <c r="D4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NextGenesis Technology </v>
      </c>
      <c r="E471" t="s">
        <v>187</v>
      </c>
      <c r="F471" s="78">
        <v>1500</v>
      </c>
    </row>
    <row r="472" spans="1:19" hidden="1" x14ac:dyDescent="0.25">
      <c r="A472" t="s">
        <v>1615</v>
      </c>
      <c r="B472" s="68" t="str">
        <f>MID(PRESUPUESTO[[#This Row],[CUENTA]],1,4)</f>
        <v>E-09</v>
      </c>
      <c r="C472" s="68" t="str">
        <f>INDEX(CATALOGO[Descripción],MATCH(PRESUPUESTO[[#This Row],[APLICACIÓN]]&amp;"-00-00-00",CATALOGO[Código],0))</f>
        <v>PRESTACIONES AL PERSONAL</v>
      </c>
      <c r="D4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CLINICA EMPRESARIAL</v>
      </c>
      <c r="E472" t="s">
        <v>3374</v>
      </c>
      <c r="F472" s="78">
        <v>1500</v>
      </c>
      <c r="S472" t="s">
        <v>3187</v>
      </c>
    </row>
    <row r="473" spans="1:19" hidden="1" x14ac:dyDescent="0.25">
      <c r="A473" t="s">
        <v>3388</v>
      </c>
      <c r="B473" s="68" t="str">
        <f>MID(PRESUPUESTO[[#This Row],[CUENTA]],1,4)</f>
        <v>E-11</v>
      </c>
      <c r="C473" s="68" t="str">
        <f>INDEX(CATALOGO[Descripción],MATCH(PRESUPUESTO[[#This Row],[APLICACIÓN]]&amp;"-00-00-00",CATALOGO[Código],0))</f>
        <v>INVESTIGACIONES</v>
      </c>
      <c r="D4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Brochures convocatorias</v>
      </c>
      <c r="E473" t="s">
        <v>263</v>
      </c>
      <c r="F473" s="78">
        <v>1500</v>
      </c>
      <c r="S473" t="s">
        <v>3187</v>
      </c>
    </row>
    <row r="474" spans="1:19" hidden="1" x14ac:dyDescent="0.25">
      <c r="A474" t="s">
        <v>3429</v>
      </c>
      <c r="B474" s="68" t="str">
        <f>MID(PRESUPUESTO[[#This Row],[CUENTA]],1,4)</f>
        <v>E-12</v>
      </c>
      <c r="C474" s="68" t="str">
        <f>INDEX(CATALOGO[Descripción],MATCH(PRESUPUESTO[[#This Row],[APLICACIÓN]]&amp;"-00-00-00",CATALOGO[Código],0))</f>
        <v>PROYECCION SOCIAL</v>
      </c>
      <c r="D4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PASANTIAS Y PROYECCIÓN 3DLAB UTEC</v>
      </c>
      <c r="E474" t="s">
        <v>3430</v>
      </c>
      <c r="F474" s="78">
        <v>1500</v>
      </c>
      <c r="S474" t="s">
        <v>3187</v>
      </c>
    </row>
    <row r="475" spans="1:19" hidden="1" x14ac:dyDescent="0.25">
      <c r="A475" t="s">
        <v>3433</v>
      </c>
      <c r="B475" s="68" t="str">
        <f>MID(PRESUPUESTO[[#This Row],[CUENTA]],1,4)</f>
        <v>E-12</v>
      </c>
      <c r="C475" s="68" t="str">
        <f>INDEX(CATALOGO[Descripción],MATCH(PRESUPUESTO[[#This Row],[APLICACIÓN]]&amp;"-00-00-00",CATALOGO[Código],0))</f>
        <v>PROYECCION SOCIAL</v>
      </c>
      <c r="D4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Materiales  e invitaciones</v>
      </c>
      <c r="E475" t="s">
        <v>3434</v>
      </c>
      <c r="F475" s="78">
        <v>1500</v>
      </c>
      <c r="S475" t="s">
        <v>3187</v>
      </c>
    </row>
    <row r="476" spans="1:19" hidden="1" x14ac:dyDescent="0.25">
      <c r="A476" t="s">
        <v>2085</v>
      </c>
      <c r="B476" s="68" t="str">
        <f>MID(PRESUPUESTO[[#This Row],[CUENTA]],1,4)</f>
        <v>E-13</v>
      </c>
      <c r="C476" s="68" t="str">
        <f>INDEX(CATALOGO[Descripción],MATCH(PRESUPUESTO[[#This Row],[APLICACIÓN]]&amp;"-00-00-00",CATALOGO[Código],0))</f>
        <v>MAESTRIAS Y POSTGRADOS</v>
      </c>
      <c r="D4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Artículos promocionales</v>
      </c>
      <c r="E476" t="s">
        <v>362</v>
      </c>
      <c r="F476" s="78">
        <v>1500</v>
      </c>
      <c r="S476" t="s">
        <v>3187</v>
      </c>
    </row>
    <row r="477" spans="1:19" hidden="1" x14ac:dyDescent="0.25">
      <c r="A477" t="s">
        <v>1236</v>
      </c>
      <c r="B477" s="68" t="str">
        <f>MID(PRESUPUESTO[[#This Row],[CUENTA]],1,4)</f>
        <v>E-14</v>
      </c>
      <c r="C477" s="68" t="str">
        <f>INDEX(CATALOGO[Descripción],MATCH(PRESUPUESTO[[#This Row],[APLICACIÓN]]&amp;"-00-00-00",CATALOGO[Código],0))</f>
        <v>MATERIAL DIDÁCTICO</v>
      </c>
      <c r="D4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INFORMATICA Y CC APLICADAS</v>
      </c>
      <c r="E477" t="s">
        <v>3518</v>
      </c>
      <c r="F477" s="78">
        <v>1500</v>
      </c>
      <c r="S477" t="s">
        <v>3187</v>
      </c>
    </row>
    <row r="478" spans="1:19" hidden="1" x14ac:dyDescent="0.25">
      <c r="A478" t="s">
        <v>3694</v>
      </c>
      <c r="B478" s="68" t="str">
        <f>MID(PRESUPUESTO[[#This Row],[CUENTA]],1,4)</f>
        <v>E-21</v>
      </c>
      <c r="C478" s="68" t="str">
        <f>INDEX(CATALOGO[Descripción],MATCH(PRESUPUESTO[[#This Row],[APLICACIÓN]]&amp;"-00-00-00",CATALOGO[Código],0))</f>
        <v>CENTRO DE FORMACION PROFESIONAL y EXT U</v>
      </c>
      <c r="D4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Insumos de oficina varios </v>
      </c>
      <c r="E478" t="s">
        <v>595</v>
      </c>
      <c r="F478" s="78">
        <v>1500</v>
      </c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</row>
    <row r="479" spans="1:19" hidden="1" x14ac:dyDescent="0.25">
      <c r="A479" t="s">
        <v>3723</v>
      </c>
      <c r="B479" s="68" t="str">
        <f>MID(PRESUPUESTO[[#This Row],[CUENTA]],1,4)</f>
        <v>E-22</v>
      </c>
      <c r="C479" s="68" t="str">
        <f>INDEX(CATALOGO[Descripción],MATCH(PRESUPUESTO[[#This Row],[APLICACIÓN]]&amp;"-00-00-00",CATALOGO[Código],0))</f>
        <v>CAPACITACIÓN AL PERSONAL</v>
      </c>
      <c r="D4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Modelo de formación de competencias, Nivel 2</v>
      </c>
      <c r="E479" t="s">
        <v>3724</v>
      </c>
      <c r="F479" s="78">
        <v>1500</v>
      </c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</row>
    <row r="480" spans="1:19" hidden="1" x14ac:dyDescent="0.25">
      <c r="A480" t="s">
        <v>3725</v>
      </c>
      <c r="B480" s="68" t="str">
        <f>MID(PRESUPUESTO[[#This Row],[CUENTA]],1,4)</f>
        <v>E-22</v>
      </c>
      <c r="C480" s="68" t="str">
        <f>INDEX(CATALOGO[Descripción],MATCH(PRESUPUESTO[[#This Row],[APLICACIÓN]]&amp;"-00-00-00",CATALOGO[Código],0))</f>
        <v>CAPACITACIÓN AL PERSONAL</v>
      </c>
      <c r="D4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Metodología de investigación para las ciencias Económmicas</v>
      </c>
      <c r="E480" t="s">
        <v>3726</v>
      </c>
      <c r="F480" s="78">
        <v>1500</v>
      </c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</row>
    <row r="481" spans="1:19" hidden="1" x14ac:dyDescent="0.25">
      <c r="A481" t="s">
        <v>3727</v>
      </c>
      <c r="B481" s="68" t="str">
        <f>MID(PRESUPUESTO[[#This Row],[CUENTA]],1,4)</f>
        <v>E-22</v>
      </c>
      <c r="C481" s="68" t="str">
        <f>INDEX(CATALOGO[Descripción],MATCH(PRESUPUESTO[[#This Row],[APLICACIÓN]]&amp;"-00-00-00",CATALOGO[Código],0))</f>
        <v>CAPACITACIÓN AL PERSONAL</v>
      </c>
      <c r="D4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Eiqueta, protocolo e imagen profesional</v>
      </c>
      <c r="E481" t="s">
        <v>3728</v>
      </c>
      <c r="F481" s="78">
        <v>1500</v>
      </c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</row>
    <row r="482" spans="1:19" hidden="1" x14ac:dyDescent="0.25">
      <c r="A482" t="s">
        <v>3738</v>
      </c>
      <c r="B482" s="68" t="str">
        <f>MID(PRESUPUESTO[[#This Row],[CUENTA]],1,4)</f>
        <v>E-22</v>
      </c>
      <c r="C482" s="68" t="str">
        <f>INDEX(CATALOGO[Descripción],MATCH(PRESUPUESTO[[#This Row],[APLICACIÓN]]&amp;"-00-00-00",CATALOGO[Código],0))</f>
        <v>CAPACITACIÓN AL PERSONAL</v>
      </c>
      <c r="D4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Uso de herramientas de Inteligencia Artificial y aprendizaje automático</v>
      </c>
      <c r="E482" t="s">
        <v>3739</v>
      </c>
      <c r="F482" s="78">
        <v>1500</v>
      </c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</row>
    <row r="483" spans="1:19" hidden="1" x14ac:dyDescent="0.25">
      <c r="A483" t="s">
        <v>3740</v>
      </c>
      <c r="B483" s="68" t="str">
        <f>MID(PRESUPUESTO[[#This Row],[CUENTA]],1,4)</f>
        <v>E-22</v>
      </c>
      <c r="C483" s="68" t="str">
        <f>INDEX(CATALOGO[Descripción],MATCH(PRESUPUESTO[[#This Row],[APLICACIÓN]]&amp;"-00-00-00",CATALOGO[Código],0))</f>
        <v>CAPACITACIÓN AL PERSONAL</v>
      </c>
      <c r="D4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Aplicaciones prácticas de la Inteligencia Artificial en la Ingeniería</v>
      </c>
      <c r="E483" t="s">
        <v>3741</v>
      </c>
      <c r="F483" s="78">
        <v>1500</v>
      </c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</row>
    <row r="484" spans="1:19" hidden="1" x14ac:dyDescent="0.25">
      <c r="A484" t="s">
        <v>3742</v>
      </c>
      <c r="B484" s="68" t="str">
        <f>MID(PRESUPUESTO[[#This Row],[CUENTA]],1,4)</f>
        <v>E-22</v>
      </c>
      <c r="C484" s="68" t="str">
        <f>INDEX(CATALOGO[Descripción],MATCH(PRESUPUESTO[[#This Row],[APLICACIÓN]]&amp;"-00-00-00",CATALOGO[Código],0))</f>
        <v>CAPACITACIÓN AL PERSONAL</v>
      </c>
      <c r="D4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Prevención de amenazas y ataques cibernéticos</v>
      </c>
      <c r="E484" t="s">
        <v>3743</v>
      </c>
      <c r="F484" s="78">
        <v>1500</v>
      </c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</row>
    <row r="485" spans="1:19" hidden="1" x14ac:dyDescent="0.25">
      <c r="A485" t="s">
        <v>3776</v>
      </c>
      <c r="B485" s="68" t="str">
        <f>MID(PRESUPUESTO[[#This Row],[CUENTA]],1,4)</f>
        <v>E-22</v>
      </c>
      <c r="C485" s="68" t="str">
        <f>INDEX(CATALOGO[Descripción],MATCH(PRESUPUESTO[[#This Row],[APLICACIÓN]]&amp;"-00-00-00",CATALOGO[Código],0))</f>
        <v>CAPACITACIÓN AL PERSONAL</v>
      </c>
      <c r="D4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Maestría en Gestión de Recursos Humanos. Lic. Héctor Duque</v>
      </c>
      <c r="E485" t="s">
        <v>686</v>
      </c>
      <c r="F485" s="78">
        <v>1500</v>
      </c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</row>
    <row r="486" spans="1:19" hidden="1" x14ac:dyDescent="0.25">
      <c r="A486" t="s">
        <v>2823</v>
      </c>
      <c r="B486" s="68" t="str">
        <f>MID(PRESUPUESTO[[#This Row],[CUENTA]],1,4)</f>
        <v>E-22</v>
      </c>
      <c r="C486" s="68" t="str">
        <f>INDEX(CATALOGO[Descripción],MATCH(PRESUPUESTO[[#This Row],[APLICACIÓN]]&amp;"-00-00-00",CATALOGO[Código],0))</f>
        <v>CAPACITACIÓN AL PERSONAL</v>
      </c>
      <c r="D4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Seguridad y Salud Ocupacional</v>
      </c>
      <c r="E486" t="s">
        <v>688</v>
      </c>
      <c r="F486" s="78">
        <v>1500</v>
      </c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</row>
    <row r="487" spans="1:19" hidden="1" x14ac:dyDescent="0.25">
      <c r="A487" t="s">
        <v>2274</v>
      </c>
      <c r="B487" s="68" t="str">
        <f>MID(PRESUPUESTO[[#This Row],[CUENTA]],1,4)</f>
        <v>E-24</v>
      </c>
      <c r="C487" s="68" t="str">
        <f>INDEX(CATALOGO[Descripción],MATCH(PRESUPUESTO[[#This Row],[APLICACIÓN]]&amp;"-00-00-00",CATALOGO[Código],0))</f>
        <v>NUEVO INGRESO</v>
      </c>
      <c r="D4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-Refrigerios</v>
      </c>
      <c r="E487" t="s">
        <v>3823</v>
      </c>
      <c r="F487" s="78">
        <v>1500</v>
      </c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</row>
    <row r="488" spans="1:19" hidden="1" x14ac:dyDescent="0.25">
      <c r="A488" t="s">
        <v>3907</v>
      </c>
      <c r="B488" s="68" t="str">
        <f>MID(PRESUPUESTO[[#This Row],[CUENTA]],1,4)</f>
        <v>E-26</v>
      </c>
      <c r="C488" s="68" t="str">
        <f>INDEX(CATALOGO[Descripción],MATCH(PRESUPUESTO[[#This Row],[APLICACIÓN]]&amp;"-00-00-00",CATALOGO[Código],0))</f>
        <v>EVENTOS ACADEMICOS, CULTURALES  E INSTITUCIONALES</v>
      </c>
      <c r="D4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Eventos administrativos -Festejo navideño a hijos de empleados </v>
      </c>
      <c r="E488" t="s">
        <v>3908</v>
      </c>
      <c r="F488" s="78">
        <v>1500</v>
      </c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</row>
    <row r="489" spans="1:19" hidden="1" x14ac:dyDescent="0.25">
      <c r="A489" t="s">
        <v>1052</v>
      </c>
      <c r="B489" s="68" t="str">
        <f>MID(PRESUPUESTO[[#This Row],[CUENTA]],1,4)</f>
        <v>E-32</v>
      </c>
      <c r="C489" s="68" t="str">
        <f>INDEX(CATALOGO[Descripción],MATCH(PRESUPUESTO[[#This Row],[APLICACIÓN]]&amp;"-00-00-00",CATALOGO[Código],0))</f>
        <v>RELACIONES INTERNACIONALES</v>
      </c>
      <c r="D4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Asamblea RLCU</v>
      </c>
      <c r="E489" t="s">
        <v>962</v>
      </c>
      <c r="F489" s="78">
        <v>1500</v>
      </c>
      <c r="S489" t="s">
        <v>3187</v>
      </c>
    </row>
    <row r="490" spans="1:19" x14ac:dyDescent="0.25">
      <c r="A490" t="s">
        <v>3274</v>
      </c>
      <c r="B490" s="68" t="str">
        <f>MID(PRESUPUESTO[[#This Row],[CUENTA]],1,4)</f>
        <v>I-05</v>
      </c>
      <c r="C490" s="68" t="str">
        <f>INDEX(CATALOGO[Descripción],MATCH(PRESUPUESTO[[#This Row],[APLICACIÓN]]&amp;"-00-00-00",CATALOGO[Código],0))</f>
        <v xml:space="preserve">MAESTRIAS, POSTGRADOS </v>
      </c>
      <c r="D4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</v>
      </c>
      <c r="E490" t="s">
        <v>3187</v>
      </c>
      <c r="F490" s="78">
        <v>0</v>
      </c>
      <c r="S490" t="s">
        <v>3187</v>
      </c>
    </row>
    <row r="491" spans="1:19" hidden="1" x14ac:dyDescent="0.25">
      <c r="A491" t="s">
        <v>1622</v>
      </c>
      <c r="B491" s="68" t="str">
        <f>MID(PRESUPUESTO[[#This Row],[CUENTA]],1,4)</f>
        <v>E-19</v>
      </c>
      <c r="C491" s="68" t="str">
        <f>INDEX(CATALOGO[Descripción],MATCH(PRESUPUESTO[[#This Row],[APLICACIÓN]]&amp;"-00-00-00",CATALOGO[Código],0))</f>
        <v>MANTENIMIENTO</v>
      </c>
      <c r="D4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de Jardines</v>
      </c>
      <c r="E491" t="s">
        <v>3675</v>
      </c>
      <c r="F491" s="78">
        <v>1400</v>
      </c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</row>
    <row r="492" spans="1:19" hidden="1" x14ac:dyDescent="0.25">
      <c r="A492" t="s">
        <v>1603</v>
      </c>
      <c r="B492" s="68" t="str">
        <f>MID(PRESUPUESTO[[#This Row],[CUENTA]],1,4)</f>
        <v>E-22</v>
      </c>
      <c r="C492" s="68" t="str">
        <f>INDEX(CATALOGO[Descripción],MATCH(PRESUPUESTO[[#This Row],[APLICACIÓN]]&amp;"-00-00-00",CATALOGO[Código],0))</f>
        <v>CAPACITACIÓN AL PERSONAL</v>
      </c>
      <c r="D4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Maestría Beatríaz Martínez</v>
      </c>
      <c r="E492" t="s">
        <v>3751</v>
      </c>
      <c r="F492" s="78">
        <v>1400</v>
      </c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</row>
    <row r="493" spans="1:19" hidden="1" x14ac:dyDescent="0.25">
      <c r="A493" t="s">
        <v>3931</v>
      </c>
      <c r="B493" s="68" t="str">
        <f>MID(PRESUPUESTO[[#This Row],[CUENTA]],1,4)</f>
        <v>E-26</v>
      </c>
      <c r="C493" s="68" t="str">
        <f>INDEX(CATALOGO[Descripción],MATCH(PRESUPUESTO[[#This Row],[APLICACIÓN]]&amp;"-00-00-00",CATALOGO[Código],0))</f>
        <v>EVENTOS ACADEMICOS, CULTURALES  E INSTITUCIONALES</v>
      </c>
      <c r="D4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reuniones con docentes  - FICA</v>
      </c>
      <c r="E493" t="s">
        <v>3310</v>
      </c>
      <c r="F493" s="78">
        <v>1400</v>
      </c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</row>
    <row r="494" spans="1:19" hidden="1" x14ac:dyDescent="0.25">
      <c r="A494" t="s">
        <v>3937</v>
      </c>
      <c r="B494" s="68" t="str">
        <f>MID(PRESUPUESTO[[#This Row],[CUENTA]],1,4)</f>
        <v>E-26</v>
      </c>
      <c r="C494" s="68" t="str">
        <f>INDEX(CATALOGO[Descripción],MATCH(PRESUPUESTO[[#This Row],[APLICACIÓN]]&amp;"-00-00-00",CATALOGO[Código],0))</f>
        <v>EVENTOS ACADEMICOS, CULTURALES  E INSTITUCIONALES</v>
      </c>
      <c r="D4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Reunión Comité Estudiantil- FICA</v>
      </c>
      <c r="E494" t="s">
        <v>3310</v>
      </c>
      <c r="F494" s="78">
        <v>1400</v>
      </c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</row>
    <row r="495" spans="1:19" hidden="1" x14ac:dyDescent="0.25">
      <c r="A495" t="s">
        <v>1118</v>
      </c>
      <c r="B495" s="68" t="str">
        <f>MID(PRESUPUESTO[[#This Row],[CUENTA]],1,4)</f>
        <v>E-32</v>
      </c>
      <c r="C495" s="68" t="str">
        <f>INDEX(CATALOGO[Descripción],MATCH(PRESUPUESTO[[#This Row],[APLICACIÓN]]&amp;"-00-00-00",CATALOGO[Código],0))</f>
        <v>RELACIONES INTERNACIONALES</v>
      </c>
      <c r="D4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</v>
      </c>
      <c r="E495" t="s">
        <v>940</v>
      </c>
      <c r="F495" s="78">
        <v>1400</v>
      </c>
      <c r="S495" t="s">
        <v>3187</v>
      </c>
    </row>
    <row r="496" spans="1:19" hidden="1" x14ac:dyDescent="0.25">
      <c r="A496" t="s">
        <v>3763</v>
      </c>
      <c r="B496" s="68" t="str">
        <f>MID(PRESUPUESTO[[#This Row],[CUENTA]],1,4)</f>
        <v>E-22</v>
      </c>
      <c r="C496" s="68" t="str">
        <f>INDEX(CATALOGO[Descripción],MATCH(PRESUPUESTO[[#This Row],[APLICACIÓN]]&amp;"-00-00-00",CATALOGO[Código],0))</f>
        <v>CAPACITACIÓN AL PERSONAL</v>
      </c>
      <c r="D4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Maestría en Administración  de Negocios. David Segura</v>
      </c>
      <c r="E496" t="s">
        <v>658</v>
      </c>
      <c r="F496" s="78">
        <v>1380</v>
      </c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</row>
    <row r="497" spans="1:19" hidden="1" x14ac:dyDescent="0.25">
      <c r="A497" t="s">
        <v>1020</v>
      </c>
      <c r="B497" s="68" t="str">
        <f>MID(PRESUPUESTO[[#This Row],[CUENTA]],1,4)</f>
        <v>E-31</v>
      </c>
      <c r="C497" s="68" t="str">
        <f>INDEX(CATALOGO[Descripción],MATCH(PRESUPUESTO[[#This Row],[APLICACIÓN]]&amp;"-00-00-00",CATALOGO[Código],0))</f>
        <v>DONACIONES</v>
      </c>
      <c r="D4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Asociacion Padre Vito Guarato $ 114.00 x 12</v>
      </c>
      <c r="E497" t="s">
        <v>927</v>
      </c>
      <c r="F497" s="78">
        <v>1368</v>
      </c>
      <c r="S497" t="s">
        <v>3187</v>
      </c>
    </row>
    <row r="498" spans="1:19" hidden="1" x14ac:dyDescent="0.25">
      <c r="A498" t="s">
        <v>3397</v>
      </c>
      <c r="B498" s="68" t="str">
        <f>MID(PRESUPUESTO[[#This Row],[CUENTA]],1,4)</f>
        <v>E-12</v>
      </c>
      <c r="C498" s="68" t="str">
        <f>INDEX(CATALOGO[Descripción],MATCH(PRESUPUESTO[[#This Row],[APLICACIÓN]]&amp;"-00-00-00",CATALOGO[Código],0))</f>
        <v>PROYECCION SOCIAL</v>
      </c>
      <c r="D4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y actividades de Facultad Ciencias Empresariales</v>
      </c>
      <c r="E498" t="s">
        <v>3398</v>
      </c>
      <c r="F498" s="78">
        <v>1300</v>
      </c>
      <c r="S498" t="s">
        <v>3187</v>
      </c>
    </row>
    <row r="499" spans="1:19" hidden="1" x14ac:dyDescent="0.25">
      <c r="A499" t="s">
        <v>3585</v>
      </c>
      <c r="B499" s="68" t="str">
        <f>MID(PRESUPUESTO[[#This Row],[CUENTA]],1,4)</f>
        <v>E-17</v>
      </c>
      <c r="C499" s="68" t="str">
        <f>INDEX(CATALOGO[Descripción],MATCH(PRESUPUESTO[[#This Row],[APLICACIÓN]]&amp;"-00-00-00",CATALOGO[Código],0))</f>
        <v>MEDIOS DE COMUNICACIÓN</v>
      </c>
      <c r="D4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Intercomunicadores Wireless - Los actuales tienen 7 años - Estudio de TV</v>
      </c>
      <c r="E499" t="s">
        <v>3586</v>
      </c>
      <c r="F499" s="78">
        <v>1299.5</v>
      </c>
      <c r="S499" t="s">
        <v>3187</v>
      </c>
    </row>
    <row r="500" spans="1:19" hidden="1" x14ac:dyDescent="0.25">
      <c r="A500" t="s">
        <v>1514</v>
      </c>
      <c r="B500" s="68" t="str">
        <f>MID(PRESUPUESTO[[#This Row],[CUENTA]],1,4)</f>
        <v>E-13</v>
      </c>
      <c r="C500" s="68" t="str">
        <f>INDEX(CATALOGO[Descripción],MATCH(PRESUPUESTO[[#This Row],[APLICACIÓN]]&amp;"-00-00-00",CATALOGO[Código],0))</f>
        <v>MAESTRIAS Y POSTGRADOS</v>
      </c>
      <c r="D5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MANTENIMIENTO ODORIZACION BAÑOS </v>
      </c>
      <c r="E500" t="s">
        <v>3459</v>
      </c>
      <c r="F500" s="78">
        <v>1284</v>
      </c>
      <c r="S500" t="s">
        <v>3187</v>
      </c>
    </row>
    <row r="501" spans="1:19" x14ac:dyDescent="0.25">
      <c r="A501" t="s">
        <v>3189</v>
      </c>
      <c r="B501" s="68" t="str">
        <f>MID(PRESUPUESTO[[#This Row],[CUENTA]],1,4)</f>
        <v>I-02</v>
      </c>
      <c r="C501" s="68" t="str">
        <f>INDEX(CATALOGO[Descripción],MATCH(PRESUPUESTO[[#This Row],[APLICACIÓN]]&amp;"-00-00-00",CATALOGO[Código],0))</f>
        <v xml:space="preserve">MATRICULAS </v>
      </c>
      <c r="D5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FCCE PREGRADO</v>
      </c>
      <c r="E501" t="s">
        <v>3187</v>
      </c>
      <c r="F501" s="78">
        <v>1014434.12</v>
      </c>
      <c r="S501" t="s">
        <v>3187</v>
      </c>
    </row>
    <row r="502" spans="1:19" hidden="1" x14ac:dyDescent="0.25">
      <c r="A502" t="s">
        <v>3375</v>
      </c>
      <c r="B502" s="68" t="str">
        <f>MID(PRESUPUESTO[[#This Row],[CUENTA]],1,4)</f>
        <v>E-09</v>
      </c>
      <c r="C502" s="68" t="str">
        <f>INDEX(CATALOGO[Descripción],MATCH(PRESUPUESTO[[#This Row],[APLICACIÓN]]&amp;"-00-00-00",CATALOGO[Código],0))</f>
        <v>PRESTACIONES AL PERSONAL</v>
      </c>
      <c r="D5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SALA DE LACTANCIA</v>
      </c>
      <c r="E502" t="s">
        <v>3374</v>
      </c>
      <c r="F502" s="78">
        <v>1200</v>
      </c>
      <c r="S502" t="s">
        <v>3187</v>
      </c>
    </row>
    <row r="503" spans="1:19" hidden="1" x14ac:dyDescent="0.25">
      <c r="A503" t="s">
        <v>1237</v>
      </c>
      <c r="B503" s="68" t="str">
        <f>MID(PRESUPUESTO[[#This Row],[CUENTA]],1,4)</f>
        <v>E-14</v>
      </c>
      <c r="C503" s="68" t="str">
        <f>INDEX(CATALOGO[Descripción],MATCH(PRESUPUESTO[[#This Row],[APLICACIÓN]]&amp;"-00-00-00",CATALOGO[Código],0))</f>
        <v>MATERIAL DIDÁCTICO</v>
      </c>
      <c r="D5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CIENCIAS SOCIALES</v>
      </c>
      <c r="E503" t="s">
        <v>3519</v>
      </c>
      <c r="F503" s="78">
        <v>1200</v>
      </c>
      <c r="S503" t="s">
        <v>3187</v>
      </c>
    </row>
    <row r="504" spans="1:19" hidden="1" x14ac:dyDescent="0.25">
      <c r="A504" t="s">
        <v>1335</v>
      </c>
      <c r="B504" s="68" t="str">
        <f>MID(PRESUPUESTO[[#This Row],[CUENTA]],1,4)</f>
        <v>E-17</v>
      </c>
      <c r="C504" s="68" t="str">
        <f>INDEX(CATALOGO[Descripción],MATCH(PRESUPUESTO[[#This Row],[APLICACIÓN]]&amp;"-00-00-00",CATALOGO[Código],0))</f>
        <v>MEDIOS DE COMUNICACIÓN</v>
      </c>
      <c r="D5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Estipendio pasante (1) (Yuri Sosa) - Estudio de TV</v>
      </c>
      <c r="E504" t="s">
        <v>3576</v>
      </c>
      <c r="F504" s="78">
        <v>1200</v>
      </c>
      <c r="S504" t="s">
        <v>3187</v>
      </c>
    </row>
    <row r="505" spans="1:19" hidden="1" x14ac:dyDescent="0.25">
      <c r="A505" t="s">
        <v>3603</v>
      </c>
      <c r="B505" s="68" t="str">
        <f>MID(PRESUPUESTO[[#This Row],[CUENTA]],1,4)</f>
        <v>E-17</v>
      </c>
      <c r="C505" s="68" t="str">
        <f>INDEX(CATALOGO[Descripción],MATCH(PRESUPUESTO[[#This Row],[APLICACIÓN]]&amp;"-00-00-00",CATALOGO[Código],0))</f>
        <v>MEDIOS DE COMUNICACIÓN</v>
      </c>
      <c r="D5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Estipendio pasante (1) (Evelyn Guadalupe Alfaro Durán) - Centro de llamadas</v>
      </c>
      <c r="E505" t="s">
        <v>3604</v>
      </c>
      <c r="F505" s="78">
        <v>1200</v>
      </c>
      <c r="S505" t="s">
        <v>3187</v>
      </c>
    </row>
    <row r="506" spans="1:19" hidden="1" x14ac:dyDescent="0.25">
      <c r="A506" t="s">
        <v>1339</v>
      </c>
      <c r="B506" s="68" t="str">
        <f>MID(PRESUPUESTO[[#This Row],[CUENTA]],1,4)</f>
        <v>E-18</v>
      </c>
      <c r="C506" s="68" t="str">
        <f>INDEX(CATALOGO[Descripción],MATCH(PRESUPUESTO[[#This Row],[APLICACIÓN]]&amp;"-00-00-00",CATALOGO[Código],0))</f>
        <v>COMUNICACIÓN INSTITUCIONAL</v>
      </c>
      <c r="D5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Com. Interna - Estipendio pasante (Maria José Arteaga) </v>
      </c>
      <c r="E506" t="s">
        <v>3654</v>
      </c>
      <c r="F506" s="78">
        <v>1200</v>
      </c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</row>
    <row r="507" spans="1:19" hidden="1" x14ac:dyDescent="0.25">
      <c r="A507" t="s">
        <v>3744</v>
      </c>
      <c r="B507" s="68" t="str">
        <f>MID(PRESUPUESTO[[#This Row],[CUENTA]],1,4)</f>
        <v>E-22</v>
      </c>
      <c r="C507" s="68" t="str">
        <f>INDEX(CATALOGO[Descripción],MATCH(PRESUPUESTO[[#This Row],[APLICACIÓN]]&amp;"-00-00-00",CATALOGO[Código],0))</f>
        <v>CAPACITACIÓN AL PERSONAL</v>
      </c>
      <c r="D5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Maestría en Entornos Virtuales de Aprendizaje. Licda. María José Callejas</v>
      </c>
      <c r="E507" t="s">
        <v>3745</v>
      </c>
      <c r="F507" s="78">
        <v>1200</v>
      </c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</row>
    <row r="508" spans="1:19" hidden="1" x14ac:dyDescent="0.25">
      <c r="A508" t="s">
        <v>3746</v>
      </c>
      <c r="B508" s="68" t="str">
        <f>MID(PRESUPUESTO[[#This Row],[CUENTA]],1,4)</f>
        <v>E-22</v>
      </c>
      <c r="C508" s="68" t="str">
        <f>INDEX(CATALOGO[Descripción],MATCH(PRESUPUESTO[[#This Row],[APLICACIÓN]]&amp;"-00-00-00",CATALOGO[Código],0))</f>
        <v>CAPACITACIÓN AL PERSONAL</v>
      </c>
      <c r="D5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Maestría en Gestión del Curriculum, Didactiva y Evaluación. Licda. Cecilia Méndez de Romero</v>
      </c>
      <c r="E508" t="s">
        <v>3747</v>
      </c>
      <c r="F508" s="78">
        <v>1200</v>
      </c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</row>
    <row r="509" spans="1:19" hidden="1" x14ac:dyDescent="0.25">
      <c r="A509" t="s">
        <v>3831</v>
      </c>
      <c r="B509" s="68" t="str">
        <f>MID(PRESUPUESTO[[#This Row],[CUENTA]],1,4)</f>
        <v>E-24</v>
      </c>
      <c r="C509" s="68" t="str">
        <f>INDEX(CATALOGO[Descripción],MATCH(PRESUPUESTO[[#This Row],[APLICACIÓN]]&amp;"-00-00-00",CATALOGO[Código],0))</f>
        <v>NUEVO INGRESO</v>
      </c>
      <c r="D5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-Suscripción anual ZOOM y  Webbinar</v>
      </c>
      <c r="E509" t="s">
        <v>3832</v>
      </c>
      <c r="F509" s="78">
        <v>1200</v>
      </c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</row>
    <row r="510" spans="1:19" hidden="1" x14ac:dyDescent="0.25">
      <c r="A510" t="s">
        <v>3891</v>
      </c>
      <c r="B510" s="68" t="str">
        <f>MID(PRESUPUESTO[[#This Row],[CUENTA]],1,4)</f>
        <v>E-25</v>
      </c>
      <c r="C510" s="68" t="str">
        <f>INDEX(CATALOGO[Descripción],MATCH(PRESUPUESTO[[#This Row],[APLICACIÓN]]&amp;"-00-00-00",CATALOGO[Código],0))</f>
        <v>DECANATO DE ESTUDIANTES</v>
      </c>
      <c r="D5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Alquiler de cancha futbol 11</v>
      </c>
      <c r="E510" t="s">
        <v>3892</v>
      </c>
      <c r="F510" s="78">
        <v>1200</v>
      </c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</row>
    <row r="511" spans="1:19" hidden="1" x14ac:dyDescent="0.25">
      <c r="A511" t="s">
        <v>1035</v>
      </c>
      <c r="B511" s="68" t="str">
        <f>MID(PRESUPUESTO[[#This Row],[CUENTA]],1,4)</f>
        <v>E-25</v>
      </c>
      <c r="C511" s="68" t="str">
        <f>INDEX(CATALOGO[Descripción],MATCH(PRESUPUESTO[[#This Row],[APLICACIÓN]]&amp;"-00-00-00",CATALOGO[Código],0))</f>
        <v>DECANATO DE ESTUDIANTES</v>
      </c>
      <c r="D5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Servicio de agua cristal</v>
      </c>
      <c r="E511" t="s">
        <v>3893</v>
      </c>
      <c r="F511" s="78">
        <v>1200</v>
      </c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</row>
    <row r="512" spans="1:19" hidden="1" x14ac:dyDescent="0.25">
      <c r="A512" t="s">
        <v>1684</v>
      </c>
      <c r="B512" s="68" t="str">
        <f>MID(PRESUPUESTO[[#This Row],[CUENTA]],1,4)</f>
        <v>E-13</v>
      </c>
      <c r="C512" s="68" t="str">
        <f>INDEX(CATALOGO[Descripción],MATCH(PRESUPUESTO[[#This Row],[APLICACIÓN]]&amp;"-00-00-00",CATALOGO[Código],0))</f>
        <v>MAESTRIAS Y POSTGRADOS</v>
      </c>
      <c r="D5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de cafeteria y Agua</v>
      </c>
      <c r="E512" t="s">
        <v>321</v>
      </c>
      <c r="F512" s="78">
        <v>1140</v>
      </c>
      <c r="S512" t="s">
        <v>3187</v>
      </c>
    </row>
    <row r="513" spans="1:19" hidden="1" x14ac:dyDescent="0.25">
      <c r="A513" t="s">
        <v>1406</v>
      </c>
      <c r="B513" s="68" t="str">
        <f>MID(PRESUPUESTO[[#This Row],[CUENTA]],1,4)</f>
        <v>E-22</v>
      </c>
      <c r="C513" s="68" t="str">
        <f>INDEX(CATALOGO[Descripción],MATCH(PRESUPUESTO[[#This Row],[APLICACIÓN]]&amp;"-00-00-00",CATALOGO[Código],0))</f>
        <v>CAPACITACIÓN AL PERSONAL</v>
      </c>
      <c r="D5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FICA - Maestría Lic. Henry  Cerritos</v>
      </c>
      <c r="E513" t="s">
        <v>3737</v>
      </c>
      <c r="F513" s="78">
        <v>1125</v>
      </c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</row>
    <row r="514" spans="1:19" hidden="1" x14ac:dyDescent="0.25">
      <c r="A514" t="s">
        <v>3935</v>
      </c>
      <c r="B514" s="68" t="str">
        <f>MID(PRESUPUESTO[[#This Row],[CUENTA]],1,4)</f>
        <v>E-26</v>
      </c>
      <c r="C514" s="68" t="str">
        <f>INDEX(CATALOGO[Descripción],MATCH(PRESUPUESTO[[#This Row],[APLICACIÓN]]&amp;"-00-00-00",CATALOGO[Código],0))</f>
        <v>EVENTOS ACADEMICOS, CULTURALES  E INSTITUCIONALES</v>
      </c>
      <c r="D5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Vinculación padres de familia  - FCCJ</v>
      </c>
      <c r="E514" t="s">
        <v>3312</v>
      </c>
      <c r="F514" s="78">
        <v>1050</v>
      </c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</row>
    <row r="515" spans="1:19" hidden="1" x14ac:dyDescent="0.25">
      <c r="A515" t="s">
        <v>3503</v>
      </c>
      <c r="B515" s="68" t="str">
        <f>MID(PRESUPUESTO[[#This Row],[CUENTA]],1,4)</f>
        <v>E-13</v>
      </c>
      <c r="C515" s="68" t="str">
        <f>INDEX(CATALOGO[Descripción],MATCH(PRESUPUESTO[[#This Row],[APLICACIÓN]]&amp;"-00-00-00",CATALOGO[Código],0))</f>
        <v>MAESTRIAS Y POSTGRADOS</v>
      </c>
      <c r="D5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Títulos Maestrías</v>
      </c>
      <c r="E515" t="s">
        <v>3504</v>
      </c>
      <c r="F515" s="78">
        <v>1020</v>
      </c>
      <c r="S515" t="s">
        <v>3187</v>
      </c>
    </row>
    <row r="516" spans="1:19" x14ac:dyDescent="0.25">
      <c r="A516" t="s">
        <v>3195</v>
      </c>
      <c r="B516" s="68" t="str">
        <f>MID(PRESUPUESTO[[#This Row],[CUENTA]],1,4)</f>
        <v>I-02</v>
      </c>
      <c r="C516" s="68" t="str">
        <f>INDEX(CATALOGO[Descripción],MATCH(PRESUPUESTO[[#This Row],[APLICACIÓN]]&amp;"-00-00-00",CATALOGO[Código],0))</f>
        <v xml:space="preserve">MATRICULAS </v>
      </c>
      <c r="D5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FICA PREGRADO</v>
      </c>
      <c r="E516" t="s">
        <v>3187</v>
      </c>
      <c r="F516" s="78">
        <v>950750.74</v>
      </c>
      <c r="S516" t="s">
        <v>3187</v>
      </c>
    </row>
    <row r="517" spans="1:19" hidden="1" x14ac:dyDescent="0.25">
      <c r="A517" t="s">
        <v>3326</v>
      </c>
      <c r="B517" s="68" t="str">
        <f>MID(PRESUPUESTO[[#This Row],[CUENTA]],1,4)</f>
        <v>E-07</v>
      </c>
      <c r="C517" s="68" t="str">
        <f>INDEX(CATALOGO[Descripción],MATCH(PRESUPUESTO[[#This Row],[APLICACIÓN]]&amp;"-00-00-00",CATALOGO[Código],0))</f>
        <v>SERVICIOS TECNOLOGICOS</v>
      </c>
      <c r="D5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Puntos de red (nuevo y modificaciones)</v>
      </c>
      <c r="E517" t="s">
        <v>182</v>
      </c>
      <c r="F517" s="78">
        <v>1000</v>
      </c>
      <c r="S517" t="s">
        <v>3187</v>
      </c>
    </row>
    <row r="518" spans="1:19" hidden="1" x14ac:dyDescent="0.25">
      <c r="A518" t="s">
        <v>2498</v>
      </c>
      <c r="B518" s="68" t="str">
        <f>MID(PRESUPUESTO[[#This Row],[CUENTA]],1,4)</f>
        <v>E-09</v>
      </c>
      <c r="C518" s="68" t="str">
        <f>INDEX(CATALOGO[Descripción],MATCH(PRESUPUESTO[[#This Row],[APLICACIÓN]]&amp;"-00-00-00",CATALOGO[Código],0))</f>
        <v>PRESTACIONES AL PERSONAL</v>
      </c>
      <c r="D5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Atención floral   por defunción familiar</v>
      </c>
      <c r="E518" t="s">
        <v>233</v>
      </c>
      <c r="F518" s="78">
        <v>1000</v>
      </c>
    </row>
    <row r="519" spans="1:19" hidden="1" x14ac:dyDescent="0.25">
      <c r="A519" t="s">
        <v>3389</v>
      </c>
      <c r="B519" s="68" t="str">
        <f>MID(PRESUPUESTO[[#This Row],[CUENTA]],1,4)</f>
        <v>E-11</v>
      </c>
      <c r="C519" s="68" t="str">
        <f>INDEX(CATALOGO[Descripción],MATCH(PRESUPUESTO[[#This Row],[APLICACIÓN]]&amp;"-00-00-00",CATALOGO[Código],0))</f>
        <v>INVESTIGACIONES</v>
      </c>
      <c r="D5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Plan de divulgación</v>
      </c>
      <c r="E519" t="s">
        <v>264</v>
      </c>
      <c r="F519" s="78">
        <v>1000</v>
      </c>
    </row>
    <row r="520" spans="1:19" hidden="1" x14ac:dyDescent="0.25">
      <c r="A520" t="s">
        <v>3392</v>
      </c>
      <c r="B520" s="68" t="str">
        <f>MID(PRESUPUESTO[[#This Row],[CUENTA]],1,4)</f>
        <v>E-11</v>
      </c>
      <c r="C520" s="68" t="str">
        <f>INDEX(CATALOGO[Descripción],MATCH(PRESUPUESTO[[#This Row],[APLICACIÓN]]&amp;"-00-00-00",CATALOGO[Código],0))</f>
        <v>INVESTIGACIONES</v>
      </c>
      <c r="D5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Incentivos por publicación a Investigadores y Docentes Investigadores</v>
      </c>
      <c r="E520" t="s">
        <v>266</v>
      </c>
      <c r="F520" s="78">
        <v>1000</v>
      </c>
    </row>
    <row r="521" spans="1:19" hidden="1" x14ac:dyDescent="0.25">
      <c r="A521" t="s">
        <v>3395</v>
      </c>
      <c r="B521" s="68" t="str">
        <f>MID(PRESUPUESTO[[#This Row],[CUENTA]],1,4)</f>
        <v>E-12</v>
      </c>
      <c r="C521" s="68" t="str">
        <f>INDEX(CATALOGO[Descripción],MATCH(PRESUPUESTO[[#This Row],[APLICACIÓN]]&amp;"-00-00-00",CATALOGO[Código],0))</f>
        <v>PROYECCION SOCIAL</v>
      </c>
      <c r="D5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RSU Cursos sabatinos 2024</v>
      </c>
      <c r="E521" t="s">
        <v>271</v>
      </c>
      <c r="F521" s="78">
        <v>1000</v>
      </c>
      <c r="S521" t="s">
        <v>3187</v>
      </c>
    </row>
    <row r="522" spans="1:19" hidden="1" x14ac:dyDescent="0.25">
      <c r="A522" t="s">
        <v>3401</v>
      </c>
      <c r="B522" s="68" t="str">
        <f>MID(PRESUPUESTO[[#This Row],[CUENTA]],1,4)</f>
        <v>E-12</v>
      </c>
      <c r="C522" s="68" t="str">
        <f>INDEX(CATALOGO[Descripción],MATCH(PRESUPUESTO[[#This Row],[APLICACIÓN]]&amp;"-00-00-00",CATALOGO[Código],0))</f>
        <v>PROYECCION SOCIAL</v>
      </c>
      <c r="D5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Proyectos y actividades de Facultad de Derecho</v>
      </c>
      <c r="E522" t="s">
        <v>3402</v>
      </c>
      <c r="F522" s="78">
        <v>1000</v>
      </c>
      <c r="S522" t="s">
        <v>3187</v>
      </c>
    </row>
    <row r="523" spans="1:19" hidden="1" x14ac:dyDescent="0.25">
      <c r="A523" t="s">
        <v>1652</v>
      </c>
      <c r="B523" s="68" t="str">
        <f>MID(PRESUPUESTO[[#This Row],[CUENTA]],1,4)</f>
        <v>E-12</v>
      </c>
      <c r="C523" s="68" t="str">
        <f>INDEX(CATALOGO[Descripción],MATCH(PRESUPUESTO[[#This Row],[APLICACIÓN]]&amp;"-00-00-00",CATALOGO[Código],0))</f>
        <v>PROYECCION SOCIAL</v>
      </c>
      <c r="D5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Lavado y planchado chalecos</v>
      </c>
      <c r="E523" t="s">
        <v>290</v>
      </c>
      <c r="F523" s="78">
        <v>1000</v>
      </c>
      <c r="S523" t="s">
        <v>3187</v>
      </c>
    </row>
    <row r="524" spans="1:19" hidden="1" x14ac:dyDescent="0.25">
      <c r="A524" t="s">
        <v>3411</v>
      </c>
      <c r="B524" s="68" t="str">
        <f>MID(PRESUPUESTO[[#This Row],[CUENTA]],1,4)</f>
        <v>E-12</v>
      </c>
      <c r="C524" s="68" t="str">
        <f>INDEX(CATALOGO[Descripción],MATCH(PRESUPUESTO[[#This Row],[APLICACIÓN]]&amp;"-00-00-00",CATALOGO[Código],0))</f>
        <v>PROYECCION SOCIAL</v>
      </c>
      <c r="D5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Elaboración chalecos nuevos</v>
      </c>
      <c r="E524" t="s">
        <v>291</v>
      </c>
      <c r="F524" s="78">
        <v>1000</v>
      </c>
      <c r="S524" t="s">
        <v>3187</v>
      </c>
    </row>
    <row r="525" spans="1:19" hidden="1" x14ac:dyDescent="0.25">
      <c r="A525" t="s">
        <v>3414</v>
      </c>
      <c r="B525" s="68" t="str">
        <f>MID(PRESUPUESTO[[#This Row],[CUENTA]],1,4)</f>
        <v>E-12</v>
      </c>
      <c r="C525" s="68" t="str">
        <f>INDEX(CATALOGO[Descripción],MATCH(PRESUPUESTO[[#This Row],[APLICACIÓN]]&amp;"-00-00-00",CATALOGO[Código],0))</f>
        <v>PROYECCION SOCIAL</v>
      </c>
      <c r="D5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Lab. Nucleo - Diplomas</v>
      </c>
      <c r="E525" t="s">
        <v>3415</v>
      </c>
      <c r="F525" s="78">
        <v>1000</v>
      </c>
      <c r="S525" t="s">
        <v>3187</v>
      </c>
    </row>
    <row r="526" spans="1:19" hidden="1" x14ac:dyDescent="0.25">
      <c r="A526" t="s">
        <v>1058</v>
      </c>
      <c r="B526" s="68" t="str">
        <f>MID(PRESUPUESTO[[#This Row],[CUENTA]],1,4)</f>
        <v>E-13</v>
      </c>
      <c r="C526" s="68" t="str">
        <f>INDEX(CATALOGO[Descripción],MATCH(PRESUPUESTO[[#This Row],[APLICACIÓN]]&amp;"-00-00-00",CATALOGO[Código],0))</f>
        <v>MAESTRIAS Y POSTGRADOS</v>
      </c>
      <c r="D5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MANTENIMIENTO AIRE ACONDICIONADO </v>
      </c>
      <c r="E526" t="s">
        <v>3458</v>
      </c>
      <c r="F526" s="78">
        <v>1000</v>
      </c>
      <c r="S526" t="s">
        <v>3187</v>
      </c>
    </row>
    <row r="527" spans="1:19" hidden="1" x14ac:dyDescent="0.25">
      <c r="A527" t="s">
        <v>1810</v>
      </c>
      <c r="B527" s="68" t="str">
        <f>MID(PRESUPUESTO[[#This Row],[CUENTA]],1,4)</f>
        <v>E-17</v>
      </c>
      <c r="C527" s="68" t="str">
        <f>INDEX(CATALOGO[Descripción],MATCH(PRESUPUESTO[[#This Row],[APLICACIÓN]]&amp;"-00-00-00",CATALOGO[Código],0))</f>
        <v>MEDIOS DE COMUNICACIÓN</v>
      </c>
      <c r="D5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Mantenimiento equipo - Estudio de TV</v>
      </c>
      <c r="E527" t="s">
        <v>3573</v>
      </c>
      <c r="F527" s="78">
        <v>1000</v>
      </c>
      <c r="S527" t="s">
        <v>3187</v>
      </c>
    </row>
    <row r="528" spans="1:19" hidden="1" x14ac:dyDescent="0.25">
      <c r="A528" s="37" t="s">
        <v>3641</v>
      </c>
      <c r="B528" s="68" t="str">
        <f>MID(PRESUPUESTO[[#This Row],[CUENTA]],1,4)</f>
        <v>E-18</v>
      </c>
      <c r="C528" s="68" t="str">
        <f>INDEX(CATALOGO[Descripción],MATCH(PRESUPUESTO[[#This Row],[APLICACIÓN]]&amp;"-00-00-00",CATALOGO[Código],0))</f>
        <v>COMUNICACIÓN INSTITUCIONAL</v>
      </c>
      <c r="D5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Prod. Material publicitario - Almuerzos y refrigerios para modelos</v>
      </c>
      <c r="E528" t="s">
        <v>3642</v>
      </c>
      <c r="F528" s="78">
        <v>1000</v>
      </c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</row>
    <row r="529" spans="1:19" hidden="1" x14ac:dyDescent="0.25">
      <c r="A529" t="s">
        <v>3647</v>
      </c>
      <c r="B529" s="68" t="str">
        <f>MID(PRESUPUESTO[[#This Row],[CUENTA]],1,4)</f>
        <v>E-18</v>
      </c>
      <c r="C529" s="68" t="str">
        <f>INDEX(CATALOGO[Descripción],MATCH(PRESUPUESTO[[#This Row],[APLICACIÓN]]&amp;"-00-00-00",CATALOGO[Código],0))</f>
        <v>COMUNICACIÓN INSTITUCIONAL</v>
      </c>
      <c r="D5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Com. Interna - Afiches, banner, mupis y roll-ups </v>
      </c>
      <c r="E529" t="s">
        <v>3648</v>
      </c>
      <c r="F529" s="78">
        <v>1000</v>
      </c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</row>
    <row r="530" spans="1:19" hidden="1" x14ac:dyDescent="0.25">
      <c r="A530" t="s">
        <v>3668</v>
      </c>
      <c r="B530" s="68" t="str">
        <f>MID(PRESUPUESTO[[#This Row],[CUENTA]],1,4)</f>
        <v>E-19</v>
      </c>
      <c r="C530" s="68" t="str">
        <f>INDEX(CATALOGO[Descripción],MATCH(PRESUPUESTO[[#This Row],[APLICACIÓN]]&amp;"-00-00-00",CATALOGO[Código],0))</f>
        <v>MANTENIMIENTO</v>
      </c>
      <c r="D5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Mantenimiento cisternas</v>
      </c>
      <c r="E530" t="s">
        <v>3669</v>
      </c>
      <c r="F530" s="78">
        <v>1000</v>
      </c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</row>
    <row r="531" spans="1:19" hidden="1" x14ac:dyDescent="0.25">
      <c r="A531" t="s">
        <v>3692</v>
      </c>
      <c r="B531" s="68" t="str">
        <f>MID(PRESUPUESTO[[#This Row],[CUENTA]],1,4)</f>
        <v>E-19</v>
      </c>
      <c r="C531" s="68" t="str">
        <f>INDEX(CATALOGO[Descripción],MATCH(PRESUPUESTO[[#This Row],[APLICACIÓN]]&amp;"-00-00-00",CATALOGO[Código],0))</f>
        <v>MANTENIMIENTO</v>
      </c>
      <c r="D5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Decoración navideña en campus </v>
      </c>
      <c r="E531" t="s">
        <v>577</v>
      </c>
      <c r="F531" s="78">
        <v>1000</v>
      </c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</row>
    <row r="532" spans="1:19" hidden="1" x14ac:dyDescent="0.25">
      <c r="A532" t="s">
        <v>3729</v>
      </c>
      <c r="B532" s="68" t="str">
        <f>MID(PRESUPUESTO[[#This Row],[CUENTA]],1,4)</f>
        <v>E-22</v>
      </c>
      <c r="C532" s="68" t="str">
        <f>INDEX(CATALOGO[Descripción],MATCH(PRESUPUESTO[[#This Row],[APLICACIÓN]]&amp;"-00-00-00",CATALOGO[Código],0))</f>
        <v>CAPACITACIÓN AL PERSONAL</v>
      </c>
      <c r="D5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Power BI e Inteligencia de negocios</v>
      </c>
      <c r="E532" t="s">
        <v>3730</v>
      </c>
      <c r="F532" s="78">
        <v>1000</v>
      </c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</row>
    <row r="533" spans="1:19" hidden="1" x14ac:dyDescent="0.25">
      <c r="A533" t="s">
        <v>3771</v>
      </c>
      <c r="B533" s="68" t="str">
        <f>MID(PRESUPUESTO[[#This Row],[CUENTA]],1,4)</f>
        <v>E-22</v>
      </c>
      <c r="C533" s="68" t="str">
        <f>INDEX(CATALOGO[Descripción],MATCH(PRESUPUESTO[[#This Row],[APLICACIÓN]]&amp;"-00-00-00",CATALOGO[Código],0))</f>
        <v>CAPACITACIÓN AL PERSONAL</v>
      </c>
      <c r="D5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presidencia</v>
      </c>
      <c r="E533" t="s">
        <v>689</v>
      </c>
      <c r="F533" s="78">
        <v>1000</v>
      </c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</row>
    <row r="534" spans="1:19" hidden="1" x14ac:dyDescent="0.25">
      <c r="A534" t="s">
        <v>3785</v>
      </c>
      <c r="B534" s="68" t="str">
        <f>MID(PRESUPUESTO[[#This Row],[CUENTA]],1,4)</f>
        <v>E-24</v>
      </c>
      <c r="C534" s="68" t="str">
        <f>INDEX(CATALOGO[Descripción],MATCH(PRESUPUESTO[[#This Row],[APLICACIÓN]]&amp;"-00-00-00",CATALOGO[Código],0))</f>
        <v>NUEVO INGRESO</v>
      </c>
      <c r="D5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Alumno promotor  $ 20.00</v>
      </c>
      <c r="E534" t="s">
        <v>706</v>
      </c>
      <c r="F534" s="78">
        <v>1000</v>
      </c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</row>
    <row r="535" spans="1:19" hidden="1" x14ac:dyDescent="0.25">
      <c r="A535" s="37" t="s">
        <v>3804</v>
      </c>
      <c r="B535" s="68" t="str">
        <f>MID(PRESUPUESTO[[#This Row],[CUENTA]],1,4)</f>
        <v>E-24</v>
      </c>
      <c r="C535" s="68" t="str">
        <f>INDEX(CATALOGO[Descripción],MATCH(PRESUPUESTO[[#This Row],[APLICACIÓN]]&amp;"-00-00-00",CATALOGO[Código],0))</f>
        <v>NUEVO INGRESO</v>
      </c>
      <c r="D5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(Promocionales / Vales combustible/Diplomados)</v>
      </c>
      <c r="E535" t="s">
        <v>724</v>
      </c>
      <c r="F535" s="78">
        <v>1000</v>
      </c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</row>
    <row r="536" spans="1:19" hidden="1" x14ac:dyDescent="0.25">
      <c r="A536" t="s">
        <v>3824</v>
      </c>
      <c r="B536" s="68" t="str">
        <f>MID(PRESUPUESTO[[#This Row],[CUENTA]],1,4)</f>
        <v>E-24</v>
      </c>
      <c r="C536" s="68" t="str">
        <f>INDEX(CATALOGO[Descripción],MATCH(PRESUPUESTO[[#This Row],[APLICACIÓN]]&amp;"-00-00-00",CATALOGO[Código],0))</f>
        <v>NUEVO INGRESO</v>
      </c>
      <c r="D5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Red de colegios -Diplomas y cartapacios para certificados</v>
      </c>
      <c r="E536" t="s">
        <v>3825</v>
      </c>
      <c r="F536" s="78">
        <v>1000</v>
      </c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</row>
    <row r="537" spans="1:19" hidden="1" x14ac:dyDescent="0.25">
      <c r="A537" t="s">
        <v>3873</v>
      </c>
      <c r="B537" s="68" t="str">
        <f>MID(PRESUPUESTO[[#This Row],[CUENTA]],1,4)</f>
        <v>E-25</v>
      </c>
      <c r="C537" s="68" t="str">
        <f>INDEX(CATALOGO[Descripción],MATCH(PRESUPUESTO[[#This Row],[APLICACIÓN]]&amp;"-00-00-00",CATALOGO[Código],0))</f>
        <v>DECANATO DE ESTUDIANTES</v>
      </c>
      <c r="D5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UNIDAD DE TUTORES- BIENVENIDA A ESTUDIANTES DE NUEVO INGRESO</v>
      </c>
      <c r="E537" t="s">
        <v>3874</v>
      </c>
      <c r="F537" s="78">
        <v>1000</v>
      </c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</row>
    <row r="538" spans="1:19" hidden="1" x14ac:dyDescent="0.25">
      <c r="A538" t="s">
        <v>3875</v>
      </c>
      <c r="B538" s="68" t="str">
        <f>MID(PRESUPUESTO[[#This Row],[CUENTA]],1,4)</f>
        <v>E-25</v>
      </c>
      <c r="C538" s="68" t="str">
        <f>INDEX(CATALOGO[Descripción],MATCH(PRESUPUESTO[[#This Row],[APLICACIÓN]]&amp;"-00-00-00",CATALOGO[Código],0))</f>
        <v>DECANATO DE ESTUDIANTES</v>
      </c>
      <c r="D5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UNIDAD DE TUTORES- CONGRESO DE TUTORES E INSTRUCTORES</v>
      </c>
      <c r="E538" t="s">
        <v>3876</v>
      </c>
      <c r="F538" s="78">
        <v>1000</v>
      </c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</row>
    <row r="539" spans="1:19" hidden="1" x14ac:dyDescent="0.25">
      <c r="A539" t="s">
        <v>2114</v>
      </c>
      <c r="B539" s="68" t="str">
        <f>MID(PRESUPUESTO[[#This Row],[CUENTA]],1,4)</f>
        <v>E-26</v>
      </c>
      <c r="C539" s="68" t="str">
        <f>INDEX(CATALOGO[Descripción],MATCH(PRESUPUESTO[[#This Row],[APLICACIÓN]]&amp;"-00-00-00",CATALOGO[Código],0))</f>
        <v>EVENTOS ACADEMICOS, CULTURALES  E INSTITUCIONALES</v>
      </c>
      <c r="D5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Vinculación padres de familia  - FICA</v>
      </c>
      <c r="E539" t="s">
        <v>3310</v>
      </c>
      <c r="F539" s="78">
        <v>1000</v>
      </c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</row>
    <row r="540" spans="1:19" hidden="1" x14ac:dyDescent="0.25">
      <c r="A540" t="s">
        <v>3957</v>
      </c>
      <c r="B540" s="68" t="str">
        <f>MID(PRESUPUESTO[[#This Row],[CUENTA]],1,4)</f>
        <v>E-26</v>
      </c>
      <c r="C540" s="68" t="str">
        <f>INDEX(CATALOGO[Descripción],MATCH(PRESUPUESTO[[#This Row],[APLICACIÓN]]&amp;"-00-00-00",CATALOGO[Código],0))</f>
        <v>EVENTOS ACADEMICOS, CULTURALES  E INSTITUCIONALES</v>
      </c>
      <c r="D5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Chalecos</v>
      </c>
      <c r="E540" t="s">
        <v>3958</v>
      </c>
      <c r="F540" s="78">
        <v>1000</v>
      </c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</row>
    <row r="541" spans="1:19" hidden="1" x14ac:dyDescent="0.25">
      <c r="A541" t="s">
        <v>3971</v>
      </c>
      <c r="B541" s="68" t="str">
        <f>MID(PRESUPUESTO[[#This Row],[CUENTA]],1,4)</f>
        <v>E-26</v>
      </c>
      <c r="C541" s="68" t="str">
        <f>INDEX(CATALOGO[Descripción],MATCH(PRESUPUESTO[[#This Row],[APLICACIÓN]]&amp;"-00-00-00",CATALOGO[Código],0))</f>
        <v>EVENTOS ACADEMICOS, CULTURALES  E INSTITUCIONALES</v>
      </c>
      <c r="D5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Linea de souvenirs</v>
      </c>
      <c r="E541" t="s">
        <v>3972</v>
      </c>
      <c r="F541" s="78">
        <v>1000</v>
      </c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</row>
    <row r="542" spans="1:19" hidden="1" x14ac:dyDescent="0.25">
      <c r="A542" t="s">
        <v>2922</v>
      </c>
      <c r="B542" s="68" t="str">
        <f>MID(PRESUPUESTO[[#This Row],[CUENTA]],1,4)</f>
        <v>E-29</v>
      </c>
      <c r="C542" s="68" t="str">
        <f>INDEX(CATALOGO[Descripción],MATCH(PRESUPUESTO[[#This Row],[APLICACIÓN]]&amp;"-00-00-00",CATALOGO[Código],0))</f>
        <v xml:space="preserve">BIBLIOTECA </v>
      </c>
      <c r="D5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Reserch for life</v>
      </c>
      <c r="E542" t="s">
        <v>903</v>
      </c>
      <c r="F542" s="78">
        <v>1000</v>
      </c>
      <c r="S542" t="s">
        <v>3187</v>
      </c>
    </row>
    <row r="543" spans="1:19" hidden="1" x14ac:dyDescent="0.25">
      <c r="A543" t="s">
        <v>3985</v>
      </c>
      <c r="B543" s="68" t="str">
        <f>MID(PRESUPUESTO[[#This Row],[CUENTA]],1,4)</f>
        <v>E-29</v>
      </c>
      <c r="C543" s="68" t="str">
        <f>INDEX(CATALOGO[Descripción],MATCH(PRESUPUESTO[[#This Row],[APLICACIÓN]]&amp;"-00-00-00",CATALOGO[Código],0))</f>
        <v xml:space="preserve">BIBLIOTECA </v>
      </c>
      <c r="D5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Compra DOI para revistas</v>
      </c>
      <c r="E543" t="s">
        <v>906</v>
      </c>
      <c r="F543" s="78">
        <v>1000</v>
      </c>
      <c r="S543" t="s">
        <v>3187</v>
      </c>
    </row>
    <row r="544" spans="1:19" hidden="1" x14ac:dyDescent="0.25">
      <c r="A544" t="s">
        <v>3997</v>
      </c>
      <c r="B544" s="68" t="str">
        <f>MID(PRESUPUESTO[[#This Row],[CUENTA]],1,4)</f>
        <v>E-31</v>
      </c>
      <c r="C544" s="68" t="str">
        <f>INDEX(CATALOGO[Descripción],MATCH(PRESUPUESTO[[#This Row],[APLICACIÓN]]&amp;"-00-00-00",CATALOGO[Código],0))</f>
        <v>DONACIONES</v>
      </c>
      <c r="D5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Asociacion Amor y Amistad</v>
      </c>
      <c r="E544" t="s">
        <v>931</v>
      </c>
      <c r="F544" s="78">
        <v>1000</v>
      </c>
      <c r="S544" t="s">
        <v>3187</v>
      </c>
    </row>
    <row r="545" spans="1:19" hidden="1" x14ac:dyDescent="0.25">
      <c r="A545" t="s">
        <v>1680</v>
      </c>
      <c r="B545" s="68" t="str">
        <f>MID(PRESUPUESTO[[#This Row],[CUENTA]],1,4)</f>
        <v>E-32</v>
      </c>
      <c r="C545" s="68" t="str">
        <f>INDEX(CATALOGO[Descripción],MATCH(PRESUPUESTO[[#This Row],[APLICACIÓN]]&amp;"-00-00-00",CATALOGO[Código],0))</f>
        <v>RELACIONES INTERNACIONALES</v>
      </c>
      <c r="D5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Correo internacional (DHL)</v>
      </c>
      <c r="E545" t="s">
        <v>948</v>
      </c>
      <c r="F545" s="78">
        <v>1000</v>
      </c>
      <c r="S545" t="s">
        <v>3187</v>
      </c>
    </row>
    <row r="546" spans="1:19" hidden="1" x14ac:dyDescent="0.25">
      <c r="A546" t="s">
        <v>3777</v>
      </c>
      <c r="B546" s="68" t="str">
        <f>MID(PRESUPUESTO[[#This Row],[CUENTA]],1,4)</f>
        <v>E-22</v>
      </c>
      <c r="C546" s="68" t="str">
        <f>INDEX(CATALOGO[Descripción],MATCH(PRESUPUESTO[[#This Row],[APLICACIÓN]]&amp;"-00-00-00",CATALOGO[Código],0))</f>
        <v>CAPACITACIÓN AL PERSONAL</v>
      </c>
      <c r="D5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Maestría en Gestión de Recursos Humanos. Xiomara Sosa</v>
      </c>
      <c r="E546" t="s">
        <v>687</v>
      </c>
      <c r="F546" s="78">
        <v>965</v>
      </c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</row>
    <row r="547" spans="1:19" hidden="1" x14ac:dyDescent="0.25">
      <c r="A547" t="s">
        <v>3464</v>
      </c>
      <c r="B547" s="68" t="str">
        <f>MID(PRESUPUESTO[[#This Row],[CUENTA]],1,4)</f>
        <v>E-13</v>
      </c>
      <c r="C547" s="68" t="str">
        <f>INDEX(CATALOGO[Descripción],MATCH(PRESUPUESTO[[#This Row],[APLICACIÓN]]&amp;"-00-00-00",CATALOGO[Código],0))</f>
        <v>MAESTRIAS Y POSTGRADOS</v>
      </c>
      <c r="D5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MATERIAL DE JARDINERIA</v>
      </c>
      <c r="E547" t="s">
        <v>3465</v>
      </c>
      <c r="F547" s="78">
        <v>960</v>
      </c>
      <c r="S547" t="s">
        <v>3187</v>
      </c>
    </row>
    <row r="548" spans="1:19" hidden="1" x14ac:dyDescent="0.25">
      <c r="A548" t="s">
        <v>3886</v>
      </c>
      <c r="B548" s="68" t="str">
        <f>MID(PRESUPUESTO[[#This Row],[CUENTA]],1,4)</f>
        <v>E-25</v>
      </c>
      <c r="C548" s="68" t="str">
        <f>INDEX(CATALOGO[Descripción],MATCH(PRESUPUESTO[[#This Row],[APLICACIÓN]]&amp;"-00-00-00",CATALOGO[Código],0))</f>
        <v>DECANATO DE ESTUDIANTES</v>
      </c>
      <c r="D5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U. recreación y deportes - Trofeos y premiaciones</v>
      </c>
      <c r="E548" t="s">
        <v>3887</v>
      </c>
      <c r="F548" s="78">
        <v>900</v>
      </c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</row>
    <row r="549" spans="1:19" hidden="1" x14ac:dyDescent="0.25">
      <c r="A549" t="s">
        <v>3605</v>
      </c>
      <c r="B549" s="68" t="str">
        <f>MID(PRESUPUESTO[[#This Row],[CUENTA]],1,4)</f>
        <v>E-17</v>
      </c>
      <c r="C549" s="68" t="str">
        <f>INDEX(CATALOGO[Descripción],MATCH(PRESUPUESTO[[#This Row],[APLICACIÓN]]&amp;"-00-00-00",CATALOGO[Código],0))</f>
        <v>MEDIOS DE COMUNICACIÓN</v>
      </c>
      <c r="D5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- 3 diademas pata atención - Centro de llamadas</v>
      </c>
      <c r="E549" t="s">
        <v>3606</v>
      </c>
      <c r="F549" s="78">
        <v>895.91</v>
      </c>
      <c r="S549" t="s">
        <v>3187</v>
      </c>
    </row>
    <row r="550" spans="1:19" hidden="1" x14ac:dyDescent="0.25">
      <c r="A550" t="s">
        <v>3350</v>
      </c>
      <c r="B550" s="68" t="str">
        <f>MID(PRESUPUESTO[[#This Row],[CUENTA]],1,4)</f>
        <v>E-08</v>
      </c>
      <c r="C550" s="68" t="str">
        <f>INDEX(CATALOGO[Descripción],MATCH(PRESUPUESTO[[#This Row],[APLICACIÓN]]&amp;"-00-00-00",CATALOGO[Código],0))</f>
        <v>INVERSIONES Y PROYECTOS ESPECIALES</v>
      </c>
      <c r="D5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550" t="s">
        <v>3361</v>
      </c>
      <c r="F550" s="78">
        <v>875</v>
      </c>
    </row>
    <row r="551" spans="1:19" hidden="1" x14ac:dyDescent="0.25">
      <c r="A551" t="s">
        <v>3607</v>
      </c>
      <c r="B551" s="68" t="str">
        <f>MID(PRESUPUESTO[[#This Row],[CUENTA]],1,4)</f>
        <v>E-17</v>
      </c>
      <c r="C551" s="68" t="str">
        <f>INDEX(CATALOGO[Descripción],MATCH(PRESUPUESTO[[#This Row],[APLICACIÓN]]&amp;"-00-00-00",CATALOGO[Código],0))</f>
        <v>MEDIOS DE COMUNICACIÓN</v>
      </c>
      <c r="D5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- 5 sillas secretariales con malla - Centro de llamadas</v>
      </c>
      <c r="E551" t="s">
        <v>3608</v>
      </c>
      <c r="F551" s="78">
        <v>875</v>
      </c>
      <c r="S551" t="s">
        <v>3187</v>
      </c>
    </row>
    <row r="552" spans="1:19" hidden="1" x14ac:dyDescent="0.25">
      <c r="A552" t="s">
        <v>3918</v>
      </c>
      <c r="B552" s="68" t="str">
        <f>MID(PRESUPUESTO[[#This Row],[CUENTA]],1,4)</f>
        <v>E-26</v>
      </c>
      <c r="C552" s="68" t="str">
        <f>INDEX(CATALOGO[Descripción],MATCH(PRESUPUESTO[[#This Row],[APLICACIÓN]]&amp;"-00-00-00",CATALOGO[Código],0))</f>
        <v>EVENTOS ACADEMICOS, CULTURALES  E INSTITUCIONALES</v>
      </c>
      <c r="D5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Musica</v>
      </c>
      <c r="E552" t="s">
        <v>3919</v>
      </c>
      <c r="F552" s="78">
        <v>850</v>
      </c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</row>
    <row r="553" spans="1:19" hidden="1" x14ac:dyDescent="0.25">
      <c r="A553" t="s">
        <v>3350</v>
      </c>
      <c r="B553" s="68" t="str">
        <f>MID(PRESUPUESTO[[#This Row],[CUENTA]],1,4)</f>
        <v>E-08</v>
      </c>
      <c r="C553" s="68" t="str">
        <f>INDEX(CATALOGO[Descripción],MATCH(PRESUPUESTO[[#This Row],[APLICACIÓN]]&amp;"-00-00-00",CATALOGO[Código],0))</f>
        <v>INVERSIONES Y PROYECTOS ESPECIALES</v>
      </c>
      <c r="D5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553" t="s">
        <v>3353</v>
      </c>
      <c r="F553" s="78">
        <v>835</v>
      </c>
    </row>
    <row r="554" spans="1:19" hidden="1" x14ac:dyDescent="0.25">
      <c r="A554" t="s">
        <v>1233</v>
      </c>
      <c r="B554" s="68" t="str">
        <f>MID(PRESUPUESTO[[#This Row],[CUENTA]],1,4)</f>
        <v>E-12</v>
      </c>
      <c r="C554" s="68" t="str">
        <f>INDEX(CATALOGO[Descripción],MATCH(PRESUPUESTO[[#This Row],[APLICACIÓN]]&amp;"-00-00-00",CATALOGO[Código],0))</f>
        <v>PROYECCION SOCIAL</v>
      </c>
      <c r="D5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Papelería y útiles</v>
      </c>
      <c r="E554" t="s">
        <v>280</v>
      </c>
      <c r="F554" s="78">
        <v>800</v>
      </c>
      <c r="S554" t="s">
        <v>3187</v>
      </c>
    </row>
    <row r="555" spans="1:19" hidden="1" x14ac:dyDescent="0.25">
      <c r="A555" t="s">
        <v>3431</v>
      </c>
      <c r="B555" s="68" t="str">
        <f>MID(PRESUPUESTO[[#This Row],[CUENTA]],1,4)</f>
        <v>E-12</v>
      </c>
      <c r="C555" s="68" t="str">
        <f>INDEX(CATALOGO[Descripción],MATCH(PRESUPUESTO[[#This Row],[APLICACIÓN]]&amp;"-00-00-00",CATALOGO[Código],0))</f>
        <v>PROYECCION SOCIAL</v>
      </c>
      <c r="D5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SOFTWARE Y HARDWARE</v>
      </c>
      <c r="E555" t="s">
        <v>3432</v>
      </c>
      <c r="F555" s="78">
        <v>800</v>
      </c>
      <c r="S555" t="s">
        <v>3187</v>
      </c>
    </row>
    <row r="556" spans="1:19" hidden="1" x14ac:dyDescent="0.25">
      <c r="A556" t="s">
        <v>3486</v>
      </c>
      <c r="B556" s="68" t="str">
        <f>MID(PRESUPUESTO[[#This Row],[CUENTA]],1,4)</f>
        <v>E-13</v>
      </c>
      <c r="C556" s="68" t="str">
        <f>INDEX(CATALOGO[Descripción],MATCH(PRESUPUESTO[[#This Row],[APLICACIÓN]]&amp;"-00-00-00",CATALOGO[Código],0))</f>
        <v>MAESTRIAS Y POSTGRADOS</v>
      </c>
      <c r="D5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Publicidad Radio- La Tribu</v>
      </c>
      <c r="E556" t="s">
        <v>355</v>
      </c>
      <c r="F556" s="78">
        <v>800</v>
      </c>
      <c r="S556" t="s">
        <v>3187</v>
      </c>
    </row>
    <row r="557" spans="1:19" hidden="1" x14ac:dyDescent="0.25">
      <c r="A557" t="s">
        <v>3522</v>
      </c>
      <c r="B557" s="68" t="str">
        <f>MID(PRESUPUESTO[[#This Row],[CUENTA]],1,4)</f>
        <v>E-14</v>
      </c>
      <c r="C557" s="68" t="str">
        <f>INDEX(CATALOGO[Descripción],MATCH(PRESUPUESTO[[#This Row],[APLICACIÓN]]&amp;"-00-00-00",CATALOGO[Código],0))</f>
        <v>MATERIAL DIDÁCTICO</v>
      </c>
      <c r="D5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PROFESORES - FACULTAD DE INFORMATICA Y CC APLICADAS</v>
      </c>
      <c r="E557" t="s">
        <v>3518</v>
      </c>
      <c r="F557" s="78">
        <v>800</v>
      </c>
      <c r="S557" t="s">
        <v>3187</v>
      </c>
    </row>
    <row r="558" spans="1:19" hidden="1" x14ac:dyDescent="0.25">
      <c r="A558" t="s">
        <v>3523</v>
      </c>
      <c r="B558" s="68" t="str">
        <f>MID(PRESUPUESTO[[#This Row],[CUENTA]],1,4)</f>
        <v>E-14</v>
      </c>
      <c r="C558" s="68" t="str">
        <f>INDEX(CATALOGO[Descripción],MATCH(PRESUPUESTO[[#This Row],[APLICACIÓN]]&amp;"-00-00-00",CATALOGO[Código],0))</f>
        <v>MATERIAL DIDÁCTICO</v>
      </c>
      <c r="D5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PROFESORES - FACULTAD DE CIENCIAS SOCIALES</v>
      </c>
      <c r="E558" t="s">
        <v>3519</v>
      </c>
      <c r="F558" s="78">
        <v>800</v>
      </c>
      <c r="S558" t="s">
        <v>3187</v>
      </c>
    </row>
    <row r="559" spans="1:19" hidden="1" x14ac:dyDescent="0.25">
      <c r="A559" t="s">
        <v>1661</v>
      </c>
      <c r="B559" s="68" t="str">
        <f>MID(PRESUPUESTO[[#This Row],[CUENTA]],1,4)</f>
        <v>E-18</v>
      </c>
      <c r="C559" s="68" t="str">
        <f>INDEX(CATALOGO[Descripción],MATCH(PRESUPUESTO[[#This Row],[APLICACIÓN]]&amp;"-00-00-00",CATALOGO[Código],0))</f>
        <v>COMUNICACIÓN INSTITUCIONAL</v>
      </c>
      <c r="D5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Sitio web y redes sociales - Licencia Buffer (Sotfware redes sociales) - Centro de llamadas</v>
      </c>
      <c r="E559" t="s">
        <v>3620</v>
      </c>
      <c r="F559" s="78">
        <v>800</v>
      </c>
      <c r="S559" t="s">
        <v>3187</v>
      </c>
    </row>
    <row r="560" spans="1:19" hidden="1" x14ac:dyDescent="0.25">
      <c r="A560" t="s">
        <v>3766</v>
      </c>
      <c r="B560" s="68" t="str">
        <f>MID(PRESUPUESTO[[#This Row],[CUENTA]],1,4)</f>
        <v>E-22</v>
      </c>
      <c r="C560" s="68" t="str">
        <f>INDEX(CATALOGO[Descripción],MATCH(PRESUPUESTO[[#This Row],[APLICACIÓN]]&amp;"-00-00-00",CATALOGO[Código],0))</f>
        <v>CAPACITACIÓN AL PERSONAL</v>
      </c>
      <c r="D5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Nuevo Ingresos</v>
      </c>
      <c r="E560" t="s">
        <v>689</v>
      </c>
      <c r="F560" s="78">
        <v>800</v>
      </c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</row>
    <row r="561" spans="1:19" hidden="1" x14ac:dyDescent="0.25">
      <c r="A561" t="s">
        <v>1732</v>
      </c>
      <c r="B561" s="68" t="str">
        <f>MID(PRESUPUESTO[[#This Row],[CUENTA]],1,4)</f>
        <v>E-26</v>
      </c>
      <c r="C561" s="68" t="str">
        <f>INDEX(CATALOGO[Descripción],MATCH(PRESUPUESTO[[#This Row],[APLICACIÓN]]&amp;"-00-00-00",CATALOGO[Código],0))</f>
        <v>EVENTOS ACADEMICOS, CULTURALES  E INSTITUCIONALES</v>
      </c>
      <c r="D5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Vinculación padres de familia  - FCCS</v>
      </c>
      <c r="E561" t="s">
        <v>3933</v>
      </c>
      <c r="F561" s="78">
        <v>800</v>
      </c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</row>
    <row r="562" spans="1:19" hidden="1" x14ac:dyDescent="0.25">
      <c r="A562" t="s">
        <v>3941</v>
      </c>
      <c r="B562" s="68" t="str">
        <f>MID(PRESUPUESTO[[#This Row],[CUENTA]],1,4)</f>
        <v>E-26</v>
      </c>
      <c r="C562" s="68" t="str">
        <f>INDEX(CATALOGO[Descripción],MATCH(PRESUPUESTO[[#This Row],[APLICACIÓN]]&amp;"-00-00-00",CATALOGO[Código],0))</f>
        <v>EVENTOS ACADEMICOS, CULTURALES  E INSTITUCIONALES</v>
      </c>
      <c r="D5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eventos de FICA</v>
      </c>
      <c r="E562" t="s">
        <v>856</v>
      </c>
      <c r="F562" s="78">
        <v>800</v>
      </c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</row>
    <row r="563" spans="1:19" hidden="1" x14ac:dyDescent="0.25">
      <c r="A563" t="s">
        <v>3969</v>
      </c>
      <c r="B563" s="68" t="str">
        <f>MID(PRESUPUESTO[[#This Row],[CUENTA]],1,4)</f>
        <v>E-26</v>
      </c>
      <c r="C563" s="68" t="str">
        <f>INDEX(CATALOGO[Descripción],MATCH(PRESUPUESTO[[#This Row],[APLICACIÓN]]&amp;"-00-00-00",CATALOGO[Código],0))</f>
        <v>EVENTOS ACADEMICOS, CULTURALES  E INSTITUCIONALES</v>
      </c>
      <c r="D5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Jornada de Conferencias Ambientales</v>
      </c>
      <c r="E563" t="s">
        <v>3970</v>
      </c>
      <c r="F563" s="78">
        <v>800</v>
      </c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</row>
    <row r="564" spans="1:19" hidden="1" x14ac:dyDescent="0.25">
      <c r="A564" t="s">
        <v>2192</v>
      </c>
      <c r="B564" s="68" t="str">
        <f>MID(PRESUPUESTO[[#This Row],[CUENTA]],1,4)</f>
        <v>E-30</v>
      </c>
      <c r="C564" s="68" t="str">
        <f>INDEX(CATALOGO[Descripción],MATCH(PRESUPUESTO[[#This Row],[APLICACIÓN]]&amp;"-00-00-00",CATALOGO[Código],0))</f>
        <v>MEMBRESIAS Y SUSCRIPCIONES</v>
      </c>
      <c r="D5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Periodicos Nacionales</v>
      </c>
      <c r="E564" t="s">
        <v>913</v>
      </c>
      <c r="F564" s="78">
        <v>800</v>
      </c>
      <c r="S564" t="s">
        <v>3187</v>
      </c>
    </row>
    <row r="565" spans="1:19" hidden="1" x14ac:dyDescent="0.25">
      <c r="A565" t="s">
        <v>4009</v>
      </c>
      <c r="B565" s="68" t="str">
        <f>MID(PRESUPUESTO[[#This Row],[CUENTA]],1,4)</f>
        <v>E-32</v>
      </c>
      <c r="C565" s="68" t="str">
        <f>INDEX(CATALOGO[Descripción],MATCH(PRESUPUESTO[[#This Row],[APLICACIÓN]]&amp;"-00-00-00",CATALOGO[Código],0))</f>
        <v>RELACIONES INTERNACIONALES</v>
      </c>
      <c r="D5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DAAD de intercambios interculturales</v>
      </c>
      <c r="E565" t="s">
        <v>957</v>
      </c>
      <c r="F565" s="78">
        <v>800</v>
      </c>
      <c r="S565" t="s">
        <v>3187</v>
      </c>
    </row>
    <row r="566" spans="1:19" hidden="1" x14ac:dyDescent="0.25">
      <c r="A566" t="s">
        <v>3973</v>
      </c>
      <c r="B566" s="68" t="str">
        <f>MID(PRESUPUESTO[[#This Row],[CUENTA]],1,4)</f>
        <v>E-26</v>
      </c>
      <c r="C566" s="68" t="str">
        <f>INDEX(CATALOGO[Descripción],MATCH(PRESUPUESTO[[#This Row],[APLICACIÓN]]&amp;"-00-00-00",CATALOGO[Código],0))</f>
        <v>EVENTOS ACADEMICOS, CULTURALES  E INSTITUCIONALES</v>
      </c>
      <c r="D5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Estructuras de ODS</v>
      </c>
      <c r="E566" t="s">
        <v>3974</v>
      </c>
      <c r="F566" s="78">
        <v>750</v>
      </c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</row>
    <row r="567" spans="1:19" hidden="1" x14ac:dyDescent="0.25">
      <c r="A567" t="s">
        <v>3992</v>
      </c>
      <c r="B567" s="68" t="str">
        <f>MID(PRESUPUESTO[[#This Row],[CUENTA]],1,4)</f>
        <v>E-30</v>
      </c>
      <c r="C567" s="68" t="str">
        <f>INDEX(CATALOGO[Descripción],MATCH(PRESUPUESTO[[#This Row],[APLICACIÓN]]&amp;"-00-00-00",CATALOGO[Código],0))</f>
        <v>MEMBRESIAS Y SUSCRIPCIONES</v>
      </c>
      <c r="D5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Membresia Cleai Fica </v>
      </c>
      <c r="E567" t="s">
        <v>922</v>
      </c>
      <c r="F567" s="78">
        <v>750</v>
      </c>
      <c r="S567" t="s">
        <v>3187</v>
      </c>
    </row>
    <row r="568" spans="1:19" hidden="1" x14ac:dyDescent="0.25">
      <c r="A568" t="s">
        <v>1110</v>
      </c>
      <c r="B568" s="68" t="str">
        <f>MID(PRESUPUESTO[[#This Row],[CUENTA]],1,4)</f>
        <v>E-18</v>
      </c>
      <c r="C568" s="68" t="str">
        <f>INDEX(CATALOGO[Descripción],MATCH(PRESUPUESTO[[#This Row],[APLICACIÓN]]&amp;"-00-00-00",CATALOGO[Código],0))</f>
        <v>COMUNICACIÓN INSTITUCIONAL</v>
      </c>
      <c r="D5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Protocolo y eventos (vestuario, acrílicos, bolígrafos y agua)</v>
      </c>
      <c r="E568" t="s">
        <v>3649</v>
      </c>
      <c r="F568" s="78">
        <v>740</v>
      </c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</row>
    <row r="569" spans="1:19" hidden="1" x14ac:dyDescent="0.25">
      <c r="A569" t="s">
        <v>1977</v>
      </c>
      <c r="B569" s="68" t="str">
        <f>MID(PRESUPUESTO[[#This Row],[CUENTA]],1,4)</f>
        <v>E-17</v>
      </c>
      <c r="C569" s="68" t="str">
        <f>INDEX(CATALOGO[Descripción],MATCH(PRESUPUESTO[[#This Row],[APLICACIÓN]]&amp;"-00-00-00",CATALOGO[Código],0))</f>
        <v>MEDIOS DE COMUNICACIÓN</v>
      </c>
      <c r="D5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Medios - Comunicados y esquelas</v>
      </c>
      <c r="E569" t="s">
        <v>3633</v>
      </c>
      <c r="F569" s="78">
        <v>700</v>
      </c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</row>
    <row r="570" spans="1:19" hidden="1" x14ac:dyDescent="0.25">
      <c r="A570" t="s">
        <v>3587</v>
      </c>
      <c r="B570" s="68" t="str">
        <f>MID(PRESUPUESTO[[#This Row],[CUENTA]],1,4)</f>
        <v>E-17</v>
      </c>
      <c r="C570" s="68" t="str">
        <f>INDEX(CATALOGO[Descripción],MATCH(PRESUPUESTO[[#This Row],[APLICACIÓN]]&amp;"-00-00-00",CATALOGO[Código],0))</f>
        <v>MEDIOS DE COMUNICACIÓN</v>
      </c>
      <c r="D5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Kit de luces + tripode + fuente + estabilizadores (3 luces led) - Estudio de TV</v>
      </c>
      <c r="E570" t="s">
        <v>3588</v>
      </c>
      <c r="F570" s="78">
        <v>676.87</v>
      </c>
      <c r="S570" t="s">
        <v>3187</v>
      </c>
    </row>
    <row r="571" spans="1:19" hidden="1" x14ac:dyDescent="0.25">
      <c r="A571" t="s">
        <v>3748</v>
      </c>
      <c r="B571" s="68" t="str">
        <f>MID(PRESUPUESTO[[#This Row],[CUENTA]],1,4)</f>
        <v>E-22</v>
      </c>
      <c r="C571" s="68" t="str">
        <f>INDEX(CATALOGO[Descripción],MATCH(PRESUPUESTO[[#This Row],[APLICACIÓN]]&amp;"-00-00-00",CATALOGO[Código],0))</f>
        <v>CAPACITACIÓN AL PERSONAL</v>
      </c>
      <c r="D5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Ingeniera industrial Dr Ruben A. Funez $ 56.00</v>
      </c>
      <c r="E571" t="s">
        <v>3749</v>
      </c>
      <c r="F571" s="78">
        <v>672</v>
      </c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</row>
    <row r="572" spans="1:19" hidden="1" x14ac:dyDescent="0.25">
      <c r="A572" t="s">
        <v>1095</v>
      </c>
      <c r="B572" s="68" t="str">
        <f>MID(PRESUPUESTO[[#This Row],[CUENTA]],1,4)</f>
        <v>E-13</v>
      </c>
      <c r="C572" s="68" t="str">
        <f>INDEX(CATALOGO[Descripción],MATCH(PRESUPUESTO[[#This Row],[APLICACIÓN]]&amp;"-00-00-00",CATALOGO[Código],0))</f>
        <v>MAESTRIAS Y POSTGRADOS</v>
      </c>
      <c r="D5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572" t="s">
        <v>3473</v>
      </c>
      <c r="F572" s="78">
        <v>660</v>
      </c>
      <c r="S572" t="s">
        <v>3187</v>
      </c>
    </row>
    <row r="573" spans="1:19" hidden="1" x14ac:dyDescent="0.25">
      <c r="A573" t="s">
        <v>1169</v>
      </c>
      <c r="B573" s="68" t="str">
        <f>MID(PRESUPUESTO[[#This Row],[CUENTA]],1,4)</f>
        <v>E-24</v>
      </c>
      <c r="C573" s="68" t="str">
        <f>INDEX(CATALOGO[Descripción],MATCH(PRESUPUESTO[[#This Row],[APLICACIÓN]]&amp;"-00-00-00",CATALOGO[Código],0))</f>
        <v>NUEVO INGRESO</v>
      </c>
      <c r="D5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Aromatización $ 55.00 * 12</v>
      </c>
      <c r="E573" t="s">
        <v>3846</v>
      </c>
      <c r="F573" s="78">
        <v>660</v>
      </c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</row>
    <row r="574" spans="1:19" hidden="1" x14ac:dyDescent="0.25">
      <c r="A574" t="s">
        <v>1295</v>
      </c>
      <c r="B574" s="68" t="str">
        <f>MID(PRESUPUESTO[[#This Row],[CUENTA]],1,4)</f>
        <v>E-24</v>
      </c>
      <c r="C574" s="68" t="str">
        <f>INDEX(CATALOGO[Descripción],MATCH(PRESUPUESTO[[#This Row],[APLICACIÓN]]&amp;"-00-00-00",CATALOGO[Código],0))</f>
        <v>NUEVO INGRESO</v>
      </c>
      <c r="D5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Aromatización $ 55.00 * 12</v>
      </c>
      <c r="E574" t="s">
        <v>3846</v>
      </c>
      <c r="F574" s="78">
        <v>660</v>
      </c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</row>
    <row r="575" spans="1:19" hidden="1" x14ac:dyDescent="0.25">
      <c r="A575" t="s">
        <v>1283</v>
      </c>
      <c r="B575" s="68" t="str">
        <f>MID(PRESUPUESTO[[#This Row],[CUENTA]],1,4)</f>
        <v>E-24</v>
      </c>
      <c r="C575" s="68" t="str">
        <f>INDEX(CATALOGO[Descripción],MATCH(PRESUPUESTO[[#This Row],[APLICACIÓN]]&amp;"-00-00-00",CATALOGO[Código],0))</f>
        <v>NUEVO INGRESO</v>
      </c>
      <c r="D5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Fumigación</v>
      </c>
      <c r="E575" t="s">
        <v>3865</v>
      </c>
      <c r="F575" s="78">
        <v>660</v>
      </c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</row>
    <row r="576" spans="1:19" hidden="1" x14ac:dyDescent="0.25">
      <c r="A576" t="s">
        <v>3341</v>
      </c>
      <c r="B576" s="68" t="str">
        <f>MID(PRESUPUESTO[[#This Row],[CUENTA]],1,4)</f>
        <v>E-08</v>
      </c>
      <c r="C576" s="68" t="str">
        <f>INDEX(CATALOGO[Descripción],MATCH(PRESUPUESTO[[#This Row],[APLICACIÓN]]&amp;"-00-00-00",CATALOGO[Código],0))</f>
        <v>INVERSIONES Y PROYECTOS ESPECIALES</v>
      </c>
      <c r="D5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576" t="s">
        <v>3342</v>
      </c>
      <c r="F576" s="78">
        <v>600</v>
      </c>
    </row>
    <row r="577" spans="1:19" hidden="1" x14ac:dyDescent="0.25">
      <c r="A577" s="37" t="s">
        <v>1557</v>
      </c>
      <c r="B577" s="68" t="str">
        <f>MID(PRESUPUESTO[[#This Row],[CUENTA]],1,4)</f>
        <v>E-11</v>
      </c>
      <c r="C577" s="68" t="str">
        <f>INDEX(CATALOGO[Descripción],MATCH(PRESUPUESTO[[#This Row],[APLICACIÓN]]&amp;"-00-00-00",CATALOGO[Código],0))</f>
        <v>INVESTIGACIONES</v>
      </c>
      <c r="D5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GASTOS</v>
      </c>
      <c r="E577" t="s">
        <v>3393</v>
      </c>
      <c r="F577" s="78">
        <v>600</v>
      </c>
      <c r="S577" t="s">
        <v>3187</v>
      </c>
    </row>
    <row r="578" spans="1:19" hidden="1" x14ac:dyDescent="0.25">
      <c r="A578" t="s">
        <v>3396</v>
      </c>
      <c r="B578" s="68" t="str">
        <f>MID(PRESUPUESTO[[#This Row],[CUENTA]],1,4)</f>
        <v>E-12</v>
      </c>
      <c r="C578" s="68" t="str">
        <f>INDEX(CATALOGO[Descripción],MATCH(PRESUPUESTO[[#This Row],[APLICACIÓN]]&amp;"-00-00-00",CATALOGO[Código],0))</f>
        <v>PROYECCION SOCIAL</v>
      </c>
      <c r="D5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y congresos de RSU</v>
      </c>
      <c r="E578" t="s">
        <v>272</v>
      </c>
      <c r="F578" s="78">
        <v>600</v>
      </c>
      <c r="S578" t="s">
        <v>3187</v>
      </c>
    </row>
    <row r="579" spans="1:19" hidden="1" x14ac:dyDescent="0.25">
      <c r="A579" t="s">
        <v>1966</v>
      </c>
      <c r="B579" s="68" t="str">
        <f>MID(PRESUPUESTO[[#This Row],[CUENTA]],1,4)</f>
        <v>E-12</v>
      </c>
      <c r="C579" s="68" t="str">
        <f>INDEX(CATALOGO[Descripción],MATCH(PRESUPUESTO[[#This Row],[APLICACIÓN]]&amp;"-00-00-00",CATALOGO[Código],0))</f>
        <v>PROYECCION SOCIAL</v>
      </c>
      <c r="D5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MEMBRESIAS FUNDEMAS</v>
      </c>
      <c r="E579" t="s">
        <v>3407</v>
      </c>
      <c r="F579" s="78">
        <v>600</v>
      </c>
      <c r="S579" t="s">
        <v>3187</v>
      </c>
    </row>
    <row r="580" spans="1:19" hidden="1" x14ac:dyDescent="0.25">
      <c r="A580" t="s">
        <v>1140</v>
      </c>
      <c r="B580" s="68" t="str">
        <f>MID(PRESUPUESTO[[#This Row],[CUENTA]],1,4)</f>
        <v>E-12</v>
      </c>
      <c r="C580" s="68" t="str">
        <f>INDEX(CATALOGO[Descripción],MATCH(PRESUPUESTO[[#This Row],[APLICACIÓN]]&amp;"-00-00-00",CATALOGO[Código],0))</f>
        <v>PROYECCION SOCIAL</v>
      </c>
      <c r="D5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SEGUIMIENTOS Y EVALUACIÓN A PROYECTOS</v>
      </c>
      <c r="E580" t="s">
        <v>3410</v>
      </c>
      <c r="F580" s="78">
        <v>600</v>
      </c>
      <c r="S580" t="s">
        <v>3187</v>
      </c>
    </row>
    <row r="581" spans="1:19" hidden="1" x14ac:dyDescent="0.25">
      <c r="A581" t="s">
        <v>3493</v>
      </c>
      <c r="B581" s="68" t="str">
        <f>MID(PRESUPUESTO[[#This Row],[CUENTA]],1,4)</f>
        <v>E-13</v>
      </c>
      <c r="C581" s="68" t="str">
        <f>INDEX(CATALOGO[Descripción],MATCH(PRESUPUESTO[[#This Row],[APLICACIÓN]]&amp;"-00-00-00",CATALOGO[Código],0))</f>
        <v>MAESTRIAS Y POSTGRADOS</v>
      </c>
      <c r="D5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Campaña incentivo Utec </v>
      </c>
      <c r="E581" t="s">
        <v>364</v>
      </c>
      <c r="F581" s="78">
        <v>600</v>
      </c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</row>
    <row r="582" spans="1:19" hidden="1" x14ac:dyDescent="0.25">
      <c r="A582" t="s">
        <v>3579</v>
      </c>
      <c r="B582" s="68" t="str">
        <f>MID(PRESUPUESTO[[#This Row],[CUENTA]],1,4)</f>
        <v>E-17</v>
      </c>
      <c r="C582" s="68" t="str">
        <f>INDEX(CATALOGO[Descripción],MATCH(PRESUPUESTO[[#This Row],[APLICACIÓN]]&amp;"-00-00-00",CATALOGO[Código],0))</f>
        <v>MEDIOS DE COMUNICACIÓN</v>
      </c>
      <c r="D5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Osmo poket / Producciones TT - Estudio de TV</v>
      </c>
      <c r="E582" t="s">
        <v>3580</v>
      </c>
      <c r="F582" s="78">
        <v>600</v>
      </c>
      <c r="S582" t="s">
        <v>3187</v>
      </c>
    </row>
    <row r="583" spans="1:19" hidden="1" x14ac:dyDescent="0.25">
      <c r="A583" t="s">
        <v>3752</v>
      </c>
      <c r="B583" s="68" t="str">
        <f>MID(PRESUPUESTO[[#This Row],[CUENTA]],1,4)</f>
        <v>E-22</v>
      </c>
      <c r="C583" s="68" t="str">
        <f>INDEX(CATALOGO[Descripción],MATCH(PRESUPUESTO[[#This Row],[APLICACIÓN]]&amp;"-00-00-00",CATALOGO[Código],0))</f>
        <v>CAPACITACIÓN AL PERSONAL</v>
      </c>
      <c r="D5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FCCS - Participación en Congreso Internacional de Psicología </v>
      </c>
      <c r="E583" t="s">
        <v>3753</v>
      </c>
      <c r="F583" s="78">
        <v>600</v>
      </c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</row>
    <row r="584" spans="1:19" hidden="1" x14ac:dyDescent="0.25">
      <c r="A584" t="s">
        <v>3756</v>
      </c>
      <c r="B584" s="68" t="str">
        <f>MID(PRESUPUESTO[[#This Row],[CUENTA]],1,4)</f>
        <v>E-22</v>
      </c>
      <c r="C584" s="68" t="str">
        <f>INDEX(CATALOGO[Descripción],MATCH(PRESUPUESTO[[#This Row],[APLICACIÓN]]&amp;"-00-00-00",CATALOGO[Código],0))</f>
        <v>CAPACITACIÓN AL PERSONAL</v>
      </c>
      <c r="D5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Seminario de Autocuiodo y Arteterapia</v>
      </c>
      <c r="E584" t="s">
        <v>3757</v>
      </c>
      <c r="F584" s="78">
        <v>600</v>
      </c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</row>
    <row r="585" spans="1:19" hidden="1" x14ac:dyDescent="0.25">
      <c r="A585" t="s">
        <v>3914</v>
      </c>
      <c r="B585" s="68" t="str">
        <f>MID(PRESUPUESTO[[#This Row],[CUENTA]],1,4)</f>
        <v>E-26</v>
      </c>
      <c r="C585" s="68" t="str">
        <f>INDEX(CATALOGO[Descripción],MATCH(PRESUPUESTO[[#This Row],[APLICACIÓN]]&amp;"-00-00-00",CATALOGO[Código],0))</f>
        <v>EVENTOS ACADEMICOS, CULTURALES  E INSTITUCIONALES</v>
      </c>
      <c r="D5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Bebida</v>
      </c>
      <c r="E585" t="s">
        <v>3915</v>
      </c>
      <c r="F585" s="78">
        <v>600</v>
      </c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</row>
    <row r="586" spans="1:19" hidden="1" x14ac:dyDescent="0.25">
      <c r="A586" t="s">
        <v>4002</v>
      </c>
      <c r="B586" s="68" t="str">
        <f>MID(PRESUPUESTO[[#This Row],[CUENTA]],1,4)</f>
        <v>E-32</v>
      </c>
      <c r="C586" s="68" t="str">
        <f>INDEX(CATALOGO[Descripción],MATCH(PRESUPUESTO[[#This Row],[APLICACIÓN]]&amp;"-00-00-00",CATALOGO[Código],0))</f>
        <v>RELACIONES INTERNACIONALES</v>
      </c>
      <c r="D5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Brochure internacional Utec</v>
      </c>
      <c r="E586" t="s">
        <v>946</v>
      </c>
      <c r="F586" s="78">
        <v>600</v>
      </c>
      <c r="S586" t="s">
        <v>3187</v>
      </c>
    </row>
    <row r="587" spans="1:19" hidden="1" x14ac:dyDescent="0.25">
      <c r="A587" t="s">
        <v>4008</v>
      </c>
      <c r="B587" s="68" t="str">
        <f>MID(PRESUPUESTO[[#This Row],[CUENTA]],1,4)</f>
        <v>E-32</v>
      </c>
      <c r="C587" s="68" t="str">
        <f>INDEX(CATALOGO[Descripción],MATCH(PRESUPUESTO[[#This Row],[APLICACIÓN]]&amp;"-00-00-00",CATALOGO[Código],0))</f>
        <v>RELACIONES INTERNACIONALES</v>
      </c>
      <c r="D5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Portugues-Español con Universidad de Pernambuco, Brasil</v>
      </c>
      <c r="E587" t="s">
        <v>956</v>
      </c>
      <c r="F587" s="78">
        <v>600</v>
      </c>
      <c r="S587" t="s">
        <v>3187</v>
      </c>
    </row>
    <row r="588" spans="1:19" hidden="1" x14ac:dyDescent="0.25">
      <c r="A588" t="s">
        <v>3988</v>
      </c>
      <c r="B588" s="68" t="str">
        <f>MID(PRESUPUESTO[[#This Row],[CUENTA]],1,4)</f>
        <v>E-30</v>
      </c>
      <c r="C588" s="68" t="str">
        <f>INDEX(CATALOGO[Descripción],MATCH(PRESUPUESTO[[#This Row],[APLICACIÓN]]&amp;"-00-00-00",CATALOGO[Código],0))</f>
        <v>MEMBRESIAS Y SUSCRIPCIONES</v>
      </c>
      <c r="D5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 Camara de Comercio $574.27</v>
      </c>
      <c r="E588" t="s">
        <v>914</v>
      </c>
      <c r="F588" s="78">
        <v>574.27</v>
      </c>
      <c r="S588" t="s">
        <v>3187</v>
      </c>
    </row>
    <row r="589" spans="1:19" hidden="1" x14ac:dyDescent="0.25">
      <c r="A589" t="s">
        <v>3538</v>
      </c>
      <c r="B589" s="68" t="str">
        <f>MID(PRESUPUESTO[[#This Row],[CUENTA]],1,4)</f>
        <v>E-14</v>
      </c>
      <c r="C589" s="68" t="str">
        <f>INDEX(CATALOGO[Descripción],MATCH(PRESUPUESTO[[#This Row],[APLICACIÓN]]&amp;"-00-00-00",CATALOGO[Código],0))</f>
        <v>MATERIAL DIDÁCTICO</v>
      </c>
      <c r="D5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Fotografía - 2 Papel para impresor 6800/6R</v>
      </c>
      <c r="E589" t="s">
        <v>3539</v>
      </c>
      <c r="F589" s="78">
        <v>565</v>
      </c>
      <c r="S589" t="s">
        <v>3187</v>
      </c>
    </row>
    <row r="590" spans="1:19" hidden="1" x14ac:dyDescent="0.25">
      <c r="A590" t="s">
        <v>1238</v>
      </c>
      <c r="B590" s="68" t="str">
        <f>MID(PRESUPUESTO[[#This Row],[CUENTA]],1,4)</f>
        <v>E-14</v>
      </c>
      <c r="C590" s="68" t="str">
        <f>INDEX(CATALOGO[Descripción],MATCH(PRESUPUESTO[[#This Row],[APLICACIÓN]]&amp;"-00-00-00",CATALOGO[Código],0))</f>
        <v>MATERIAL DIDÁCTICO</v>
      </c>
      <c r="D5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PAPELERIA Y UTILES - FACULTAD DE CIENCIAS JURIDICAS</v>
      </c>
      <c r="E590" t="s">
        <v>3520</v>
      </c>
      <c r="F590" s="78">
        <v>550</v>
      </c>
      <c r="S590" t="s">
        <v>3187</v>
      </c>
    </row>
    <row r="591" spans="1:19" hidden="1" x14ac:dyDescent="0.25">
      <c r="A591" t="s">
        <v>3581</v>
      </c>
      <c r="B591" s="68" t="str">
        <f>MID(PRESUPUESTO[[#This Row],[CUENTA]],1,4)</f>
        <v>E-17</v>
      </c>
      <c r="C591" s="68" t="str">
        <f>INDEX(CATALOGO[Descripción],MATCH(PRESUPUESTO[[#This Row],[APLICACIÓN]]&amp;"-00-00-00",CATALOGO[Código],0))</f>
        <v>MEDIOS DE COMUNICACIÓN</v>
      </c>
      <c r="D5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DJI Micrófonos (2) (Estuche de carga y almacenamiento)  - Estudio de TV</v>
      </c>
      <c r="E591" t="s">
        <v>3582</v>
      </c>
      <c r="F591" s="78">
        <v>550</v>
      </c>
      <c r="S591" t="s">
        <v>3187</v>
      </c>
    </row>
    <row r="592" spans="1:19" hidden="1" x14ac:dyDescent="0.25">
      <c r="A592" t="s">
        <v>4001</v>
      </c>
      <c r="B592" s="68" t="str">
        <f>MID(PRESUPUESTO[[#This Row],[CUENTA]],1,4)</f>
        <v>E-32</v>
      </c>
      <c r="C592" s="68" t="str">
        <f>INDEX(CATALOGO[Descripción],MATCH(PRESUPUESTO[[#This Row],[APLICACIÓN]]&amp;"-00-00-00",CATALOGO[Código],0))</f>
        <v>RELACIONES INTERNACIONALES</v>
      </c>
      <c r="D5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INCA</v>
      </c>
      <c r="E592" t="s">
        <v>943</v>
      </c>
      <c r="F592" s="78">
        <v>550</v>
      </c>
      <c r="S592" t="s">
        <v>3187</v>
      </c>
    </row>
    <row r="593" spans="1:19" hidden="1" x14ac:dyDescent="0.25">
      <c r="A593" t="s">
        <v>3507</v>
      </c>
      <c r="B593" s="68" t="str">
        <f>MID(PRESUPUESTO[[#This Row],[CUENTA]],1,4)</f>
        <v>E-13</v>
      </c>
      <c r="C593" s="68" t="str">
        <f>INDEX(CATALOGO[Descripción],MATCH(PRESUPUESTO[[#This Row],[APLICACIÓN]]&amp;"-00-00-00",CATALOGO[Código],0))</f>
        <v>MAESTRIAS Y POSTGRADOS</v>
      </c>
      <c r="D5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Fotografías</v>
      </c>
      <c r="E593" t="s">
        <v>3508</v>
      </c>
      <c r="F593" s="78">
        <v>540</v>
      </c>
      <c r="S593" t="s">
        <v>3187</v>
      </c>
    </row>
    <row r="594" spans="1:19" hidden="1" x14ac:dyDescent="0.25">
      <c r="A594" t="s">
        <v>3509</v>
      </c>
      <c r="B594" s="68" t="str">
        <f>MID(PRESUPUESTO[[#This Row],[CUENTA]],1,4)</f>
        <v>E-13</v>
      </c>
      <c r="C594" s="68" t="str">
        <f>INDEX(CATALOGO[Descripción],MATCH(PRESUPUESTO[[#This Row],[APLICACIÓN]]&amp;"-00-00-00",CATALOGO[Código],0))</f>
        <v>MAESTRIAS Y POSTGRADOS</v>
      </c>
      <c r="D5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Pines</v>
      </c>
      <c r="E594" t="s">
        <v>3510</v>
      </c>
      <c r="F594" s="78">
        <v>520</v>
      </c>
      <c r="S594" t="s">
        <v>3187</v>
      </c>
    </row>
    <row r="595" spans="1:19" hidden="1" x14ac:dyDescent="0.25">
      <c r="A595" t="s">
        <v>3337</v>
      </c>
      <c r="B595" s="68" t="str">
        <f>MID(PRESUPUESTO[[#This Row],[CUENTA]],1,4)</f>
        <v>E-08</v>
      </c>
      <c r="C595" s="68" t="str">
        <f>INDEX(CATALOGO[Descripción],MATCH(PRESUPUESTO[[#This Row],[APLICACIÓN]]&amp;"-00-00-00",CATALOGO[Código],0))</f>
        <v>INVERSIONES Y PROYECTOS ESPECIALES</v>
      </c>
      <c r="D5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Orientación vocacional</v>
      </c>
      <c r="E595" t="s">
        <v>3338</v>
      </c>
      <c r="F595" s="78">
        <v>500</v>
      </c>
      <c r="S595" t="s">
        <v>3187</v>
      </c>
    </row>
    <row r="596" spans="1:19" hidden="1" x14ac:dyDescent="0.25">
      <c r="A596" t="s">
        <v>3371</v>
      </c>
      <c r="B596" s="68" t="str">
        <f>MID(PRESUPUESTO[[#This Row],[CUENTA]],1,4)</f>
        <v>E-09</v>
      </c>
      <c r="C596" s="68" t="str">
        <f>INDEX(CATALOGO[Descripción],MATCH(PRESUPUESTO[[#This Row],[APLICACIÓN]]&amp;"-00-00-00",CATALOGO[Código],0))</f>
        <v>PRESTACIONES AL PERSONAL</v>
      </c>
      <c r="D5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Licencias pruebas sicologicas</v>
      </c>
      <c r="E596" t="s">
        <v>236</v>
      </c>
      <c r="F596" s="78">
        <v>500</v>
      </c>
    </row>
    <row r="597" spans="1:19" hidden="1" x14ac:dyDescent="0.25">
      <c r="A597" t="s">
        <v>3384</v>
      </c>
      <c r="B597" s="68" t="str">
        <f>MID(PRESUPUESTO[[#This Row],[CUENTA]],1,4)</f>
        <v>E-10</v>
      </c>
      <c r="C597" s="68" t="str">
        <f>INDEX(CATALOGO[Descripción],MATCH(PRESUPUESTO[[#This Row],[APLICACIÓN]]&amp;"-00-00-00",CATALOGO[Código],0))</f>
        <v>SERVICIOS PUBLICOS</v>
      </c>
      <c r="D5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DE CURRIER</v>
      </c>
      <c r="E597" t="s">
        <v>3385</v>
      </c>
      <c r="F597" s="78">
        <v>500</v>
      </c>
      <c r="S597" t="s">
        <v>3187</v>
      </c>
    </row>
    <row r="598" spans="1:19" hidden="1" x14ac:dyDescent="0.25">
      <c r="A598" t="s">
        <v>3421</v>
      </c>
      <c r="B598" s="68" t="str">
        <f>MID(PRESUPUESTO[[#This Row],[CUENTA]],1,4)</f>
        <v>E-12</v>
      </c>
      <c r="C598" s="68" t="str">
        <f>INDEX(CATALOGO[Descripción],MATCH(PRESUPUESTO[[#This Row],[APLICACIÓN]]&amp;"-00-00-00",CATALOGO[Código],0))</f>
        <v>PROYECCION SOCIAL</v>
      </c>
      <c r="D5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CORTE Y GRABADO LASER</v>
      </c>
      <c r="E598" t="s">
        <v>3422</v>
      </c>
      <c r="F598" s="78">
        <v>500</v>
      </c>
      <c r="S598" t="s">
        <v>3187</v>
      </c>
    </row>
    <row r="599" spans="1:19" hidden="1" x14ac:dyDescent="0.25">
      <c r="A599" t="s">
        <v>3423</v>
      </c>
      <c r="B599" s="68" t="str">
        <f>MID(PRESUPUESTO[[#This Row],[CUENTA]],1,4)</f>
        <v>E-12</v>
      </c>
      <c r="C599" s="68" t="str">
        <f>INDEX(CATALOGO[Descripción],MATCH(PRESUPUESTO[[#This Row],[APLICACIÓN]]&amp;"-00-00-00",CATALOGO[Código],0))</f>
        <v>PROYECCION SOCIAL</v>
      </c>
      <c r="D5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ELECTRONICA</v>
      </c>
      <c r="E599" t="s">
        <v>3424</v>
      </c>
      <c r="F599" s="78">
        <v>500</v>
      </c>
      <c r="S599" t="s">
        <v>3187</v>
      </c>
    </row>
    <row r="600" spans="1:19" hidden="1" x14ac:dyDescent="0.25">
      <c r="A600" t="s">
        <v>3427</v>
      </c>
      <c r="B600" s="68" t="str">
        <f>MID(PRESUPUESTO[[#This Row],[CUENTA]],1,4)</f>
        <v>E-12</v>
      </c>
      <c r="C600" s="68" t="str">
        <f>INDEX(CATALOGO[Descripción],MATCH(PRESUPUESTO[[#This Row],[APLICACIÓN]]&amp;"-00-00-00",CATALOGO[Código],0))</f>
        <v>PROYECCION SOCIAL</v>
      </c>
      <c r="D6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PROYECTOS DE INVESTIGACIÓN APLICADA</v>
      </c>
      <c r="E600" t="s">
        <v>3428</v>
      </c>
      <c r="F600" s="78">
        <v>500</v>
      </c>
      <c r="S600" t="s">
        <v>3187</v>
      </c>
    </row>
    <row r="601" spans="1:19" hidden="1" x14ac:dyDescent="0.25">
      <c r="A601" t="s">
        <v>3439</v>
      </c>
      <c r="B601" s="68" t="str">
        <f>MID(PRESUPUESTO[[#This Row],[CUENTA]],1,4)</f>
        <v>E-12</v>
      </c>
      <c r="C601" s="68" t="str">
        <f>INDEX(CATALOGO[Descripción],MATCH(PRESUPUESTO[[#This Row],[APLICACIÓN]]&amp;"-00-00-00",CATALOGO[Código],0))</f>
        <v>PROYECCION SOCIAL</v>
      </c>
      <c r="D6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Día de la Cruz- incluye vinil</v>
      </c>
      <c r="E601" t="s">
        <v>3440</v>
      </c>
      <c r="F601" s="78">
        <v>500</v>
      </c>
      <c r="S601" t="s">
        <v>3187</v>
      </c>
    </row>
    <row r="602" spans="1:19" hidden="1" x14ac:dyDescent="0.25">
      <c r="A602" t="s">
        <v>3441</v>
      </c>
      <c r="B602" s="68" t="str">
        <f>MID(PRESUPUESTO[[#This Row],[CUENTA]],1,4)</f>
        <v>E-12</v>
      </c>
      <c r="C602" s="68" t="str">
        <f>INDEX(CATALOGO[Descripción],MATCH(PRESUPUESTO[[#This Row],[APLICACIÓN]]&amp;"-00-00-00",CATALOGO[Código],0))</f>
        <v>PROYECCION SOCIAL</v>
      </c>
      <c r="D6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Día de los Museos y de los Muertos</v>
      </c>
      <c r="E602" t="s">
        <v>3442</v>
      </c>
      <c r="F602" s="78">
        <v>500</v>
      </c>
      <c r="S602" t="s">
        <v>3187</v>
      </c>
    </row>
    <row r="603" spans="1:19" hidden="1" x14ac:dyDescent="0.25">
      <c r="A603" t="s">
        <v>3447</v>
      </c>
      <c r="B603" s="68" t="str">
        <f>MID(PRESUPUESTO[[#This Row],[CUENTA]],1,4)</f>
        <v>E-12</v>
      </c>
      <c r="C603" s="68" t="str">
        <f>INDEX(CATALOGO[Descripción],MATCH(PRESUPUESTO[[#This Row],[APLICACIÓN]]&amp;"-00-00-00",CATALOGO[Código],0))</f>
        <v>PROYECCION SOCIAL</v>
      </c>
      <c r="D6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Dirección de cultura - Festivales, concursos de arte y literatura</v>
      </c>
      <c r="E603" t="s">
        <v>3448</v>
      </c>
      <c r="F603" s="78">
        <v>500</v>
      </c>
      <c r="S603" t="s">
        <v>3187</v>
      </c>
    </row>
    <row r="604" spans="1:19" hidden="1" x14ac:dyDescent="0.25">
      <c r="A604" t="s">
        <v>2814</v>
      </c>
      <c r="B604" s="68" t="str">
        <f>MID(PRESUPUESTO[[#This Row],[CUENTA]],1,4)</f>
        <v>E-17</v>
      </c>
      <c r="C604" s="68" t="str">
        <f>INDEX(CATALOGO[Descripción],MATCH(PRESUPUESTO[[#This Row],[APLICACIÓN]]&amp;"-00-00-00",CATALOGO[Código],0))</f>
        <v>MEDIOS DE COMUNICACIÓN</v>
      </c>
      <c r="D6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Material estudio (cables, conectores y accesorios) - Estudio de TV</v>
      </c>
      <c r="E604" t="s">
        <v>3571</v>
      </c>
      <c r="F604" s="78">
        <v>500</v>
      </c>
      <c r="S604" t="s">
        <v>3187</v>
      </c>
    </row>
    <row r="605" spans="1:19" hidden="1" x14ac:dyDescent="0.25">
      <c r="A605" t="s">
        <v>1548</v>
      </c>
      <c r="B605" s="68" t="str">
        <f>MID(PRESUPUESTO[[#This Row],[CUENTA]],1,4)</f>
        <v>E-21</v>
      </c>
      <c r="C605" s="68" t="str">
        <f>INDEX(CATALOGO[Descripción],MATCH(PRESUPUESTO[[#This Row],[APLICACIÓN]]&amp;"-00-00-00",CATALOGO[Código],0))</f>
        <v>CENTRO DE FORMACION PROFESIONAL y EXT U</v>
      </c>
      <c r="D6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de despensa</v>
      </c>
      <c r="E605" t="s">
        <v>594</v>
      </c>
      <c r="F605" s="78">
        <v>500</v>
      </c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</row>
    <row r="606" spans="1:19" hidden="1" x14ac:dyDescent="0.25">
      <c r="A606" t="s">
        <v>2701</v>
      </c>
      <c r="B606" s="68" t="str">
        <f>MID(PRESUPUESTO[[#This Row],[CUENTA]],1,4)</f>
        <v>E-22</v>
      </c>
      <c r="C606" s="68" t="str">
        <f>INDEX(CATALOGO[Descripción],MATCH(PRESUPUESTO[[#This Row],[APLICACIÓN]]&amp;"-00-00-00",CATALOGO[Código],0))</f>
        <v>CAPACITACIÓN AL PERSONAL</v>
      </c>
      <c r="D6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Capacitaciones varias</v>
      </c>
      <c r="E606" t="s">
        <v>689</v>
      </c>
      <c r="F606" s="78">
        <v>500</v>
      </c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</row>
    <row r="607" spans="1:19" hidden="1" x14ac:dyDescent="0.25">
      <c r="A607" t="s">
        <v>3762</v>
      </c>
      <c r="B607" s="68" t="str">
        <f>MID(PRESUPUESTO[[#This Row],[CUENTA]],1,4)</f>
        <v>E-22</v>
      </c>
      <c r="C607" s="68" t="str">
        <f>INDEX(CATALOGO[Descripción],MATCH(PRESUPUESTO[[#This Row],[APLICACIÓN]]&amp;"-00-00-00",CATALOGO[Código],0))</f>
        <v>CAPACITACIÓN AL PERSONAL</v>
      </c>
      <c r="D6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varias-EDUTEC</v>
      </c>
      <c r="E607" t="s">
        <v>689</v>
      </c>
      <c r="F607" s="78">
        <v>500</v>
      </c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</row>
    <row r="608" spans="1:19" hidden="1" x14ac:dyDescent="0.25">
      <c r="A608" t="s">
        <v>3769</v>
      </c>
      <c r="B608" s="68" t="str">
        <f>MID(PRESUPUESTO[[#This Row],[CUENTA]],1,4)</f>
        <v>E-22</v>
      </c>
      <c r="C608" s="68" t="str">
        <f>INDEX(CATALOGO[Descripción],MATCH(PRESUPUESTO[[#This Row],[APLICACIÓN]]&amp;"-00-00-00",CATALOGO[Código],0))</f>
        <v>CAPACITACIÓN AL PERSONAL</v>
      </c>
      <c r="D6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Decanato de estudiantes</v>
      </c>
      <c r="E608" t="s">
        <v>689</v>
      </c>
      <c r="F608" s="78">
        <v>500</v>
      </c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</row>
    <row r="609" spans="1:19" hidden="1" x14ac:dyDescent="0.25">
      <c r="A609" t="s">
        <v>3773</v>
      </c>
      <c r="B609" s="68" t="str">
        <f>MID(PRESUPUESTO[[#This Row],[CUENTA]],1,4)</f>
        <v>E-22</v>
      </c>
      <c r="C609" s="68" t="str">
        <f>INDEX(CATALOGO[Descripción],MATCH(PRESUPUESTO[[#This Row],[APLICACIÓN]]&amp;"-00-00-00",CATALOGO[Código],0))</f>
        <v>CAPACITACIÓN AL PERSONAL</v>
      </c>
      <c r="D6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Gerencia de Cumplimiento</v>
      </c>
      <c r="E609" t="s">
        <v>689</v>
      </c>
      <c r="F609" s="78">
        <v>500</v>
      </c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</row>
    <row r="610" spans="1:19" hidden="1" x14ac:dyDescent="0.25">
      <c r="A610" t="s">
        <v>3778</v>
      </c>
      <c r="B610" s="68" t="str">
        <f>MID(PRESUPUESTO[[#This Row],[CUENTA]],1,4)</f>
        <v>E-22</v>
      </c>
      <c r="C610" s="68" t="str">
        <f>INDEX(CATALOGO[Descripción],MATCH(PRESUPUESTO[[#This Row],[APLICACIÓN]]&amp;"-00-00-00",CATALOGO[Código],0))</f>
        <v>CAPACITACIÓN AL PERSONAL</v>
      </c>
      <c r="D6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</v>
      </c>
      <c r="E610" t="s">
        <v>689</v>
      </c>
      <c r="F610" s="78">
        <v>500</v>
      </c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</row>
    <row r="611" spans="1:19" hidden="1" x14ac:dyDescent="0.25">
      <c r="A611" t="s">
        <v>3780</v>
      </c>
      <c r="B611" s="68" t="str">
        <f>MID(PRESUPUESTO[[#This Row],[CUENTA]],1,4)</f>
        <v>E-22</v>
      </c>
      <c r="C611" s="68" t="str">
        <f>INDEX(CATALOGO[Descripción],MATCH(PRESUPUESTO[[#This Row],[APLICACIÓN]]&amp;"-00-00-00",CATALOGO[Código],0))</f>
        <v>CAPACITACIÓN AL PERSONAL</v>
      </c>
      <c r="D6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</v>
      </c>
      <c r="E611" t="s">
        <v>689</v>
      </c>
      <c r="F611" s="78">
        <v>500</v>
      </c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</row>
    <row r="612" spans="1:19" hidden="1" x14ac:dyDescent="0.25">
      <c r="A612" t="s">
        <v>3811</v>
      </c>
      <c r="B612" s="68" t="str">
        <f>MID(PRESUPUESTO[[#This Row],[CUENTA]],1,4)</f>
        <v>E-24</v>
      </c>
      <c r="C612" s="68" t="str">
        <f>INDEX(CATALOGO[Descripción],MATCH(PRESUPUESTO[[#This Row],[APLICACIÓN]]&amp;"-00-00-00",CATALOGO[Código],0))</f>
        <v>NUEVO INGRESO</v>
      </c>
      <c r="D6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Membresía ALTHES </v>
      </c>
      <c r="E612" t="s">
        <v>734</v>
      </c>
      <c r="F612" s="78">
        <v>500</v>
      </c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</row>
    <row r="613" spans="1:19" hidden="1" x14ac:dyDescent="0.25">
      <c r="A613" t="s">
        <v>1244</v>
      </c>
      <c r="B613" s="68" t="str">
        <f>MID(PRESUPUESTO[[#This Row],[CUENTA]],1,4)</f>
        <v>E-25</v>
      </c>
      <c r="C613" s="68" t="str">
        <f>INDEX(CATALOGO[Descripción],MATCH(PRESUPUESTO[[#This Row],[APLICACIÓN]]&amp;"-00-00-00",CATALOGO[Código],0))</f>
        <v>DECANATO DE ESTUDIANTES</v>
      </c>
      <c r="D6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PAPELERIA Y UTILES </v>
      </c>
      <c r="E613" t="s">
        <v>3871</v>
      </c>
      <c r="F613" s="78">
        <v>500</v>
      </c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</row>
    <row r="614" spans="1:19" hidden="1" x14ac:dyDescent="0.25">
      <c r="A614" t="s">
        <v>3905</v>
      </c>
      <c r="B614" s="68" t="str">
        <f>MID(PRESUPUESTO[[#This Row],[CUENTA]],1,4)</f>
        <v>E-26</v>
      </c>
      <c r="C614" s="68" t="str">
        <f>INDEX(CATALOGO[Descripción],MATCH(PRESUPUESTO[[#This Row],[APLICACIÓN]]&amp;"-00-00-00",CATALOGO[Código],0))</f>
        <v>EVENTOS ACADEMICOS, CULTURALES  E INSTITUCIONALES</v>
      </c>
      <c r="D6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Eventos administrativos -Socializando clima laboral</v>
      </c>
      <c r="E614" t="s">
        <v>3906</v>
      </c>
      <c r="F614" s="78">
        <v>500</v>
      </c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</row>
    <row r="615" spans="1:19" hidden="1" x14ac:dyDescent="0.25">
      <c r="A615" t="s">
        <v>1607</v>
      </c>
      <c r="B615" s="68" t="str">
        <f>MID(PRESUPUESTO[[#This Row],[CUENTA]],1,4)</f>
        <v>E-26</v>
      </c>
      <c r="C615" s="68" t="str">
        <f>INDEX(CATALOGO[Descripción],MATCH(PRESUPUESTO[[#This Row],[APLICACIÓN]]&amp;"-00-00-00",CATALOGO[Código],0))</f>
        <v>EVENTOS ACADEMICOS, CULTURALES  E INSTITUCIONALES</v>
      </c>
      <c r="D6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Vinculación padres de familia  - FACE</v>
      </c>
      <c r="E615" t="s">
        <v>3309</v>
      </c>
      <c r="F615" s="78">
        <v>500</v>
      </c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</row>
    <row r="616" spans="1:19" hidden="1" x14ac:dyDescent="0.25">
      <c r="A616" t="s">
        <v>3947</v>
      </c>
      <c r="B616" s="68" t="str">
        <f>MID(PRESUPUESTO[[#This Row],[CUENTA]],1,4)</f>
        <v>E-26</v>
      </c>
      <c r="C616" s="68" t="str">
        <f>INDEX(CATALOGO[Descripción],MATCH(PRESUPUESTO[[#This Row],[APLICACIÓN]]&amp;"-00-00-00",CATALOGO[Código],0))</f>
        <v>EVENTOS ACADEMICOS, CULTURALES  E INSTITUCIONALES</v>
      </c>
      <c r="D6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Activación relaciones externas- FACE</v>
      </c>
      <c r="E616" t="s">
        <v>3948</v>
      </c>
      <c r="F616" s="78">
        <v>500</v>
      </c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</row>
    <row r="617" spans="1:19" hidden="1" x14ac:dyDescent="0.25">
      <c r="A617" t="s">
        <v>3947</v>
      </c>
      <c r="B617" s="68" t="str">
        <f>MID(PRESUPUESTO[[#This Row],[CUENTA]],1,4)</f>
        <v>E-26</v>
      </c>
      <c r="C617" s="68" t="str">
        <f>INDEX(CATALOGO[Descripción],MATCH(PRESUPUESTO[[#This Row],[APLICACIÓN]]&amp;"-00-00-00",CATALOGO[Código],0))</f>
        <v>EVENTOS ACADEMICOS, CULTURALES  E INSTITUCIONALES</v>
      </c>
      <c r="D6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Activación relaciones externas- FACE</v>
      </c>
      <c r="E617" t="s">
        <v>3949</v>
      </c>
      <c r="F617" s="78">
        <v>500</v>
      </c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</row>
    <row r="618" spans="1:19" hidden="1" x14ac:dyDescent="0.25">
      <c r="A618" t="s">
        <v>3947</v>
      </c>
      <c r="B618" s="68" t="str">
        <f>MID(PRESUPUESTO[[#This Row],[CUENTA]],1,4)</f>
        <v>E-26</v>
      </c>
      <c r="C618" s="68" t="str">
        <f>INDEX(CATALOGO[Descripción],MATCH(PRESUPUESTO[[#This Row],[APLICACIÓN]]&amp;"-00-00-00",CATALOGO[Código],0))</f>
        <v>EVENTOS ACADEMICOS, CULTURALES  E INSTITUCIONALES</v>
      </c>
      <c r="D6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Activación relaciones externas- FACE</v>
      </c>
      <c r="E618" t="s">
        <v>3950</v>
      </c>
      <c r="F618" s="78">
        <v>500</v>
      </c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</row>
    <row r="619" spans="1:19" hidden="1" x14ac:dyDescent="0.25">
      <c r="A619" t="s">
        <v>3953</v>
      </c>
      <c r="B619" s="68" t="str">
        <f>MID(PRESUPUESTO[[#This Row],[CUENTA]],1,4)</f>
        <v>E-26</v>
      </c>
      <c r="C619" s="68" t="str">
        <f>INDEX(CATALOGO[Descripción],MATCH(PRESUPUESTO[[#This Row],[APLICACIÓN]]&amp;"-00-00-00",CATALOGO[Código],0))</f>
        <v>EVENTOS ACADEMICOS, CULTURALES  E INSTITUCIONALES</v>
      </c>
      <c r="D6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Activación relaciones externas- FCCJ</v>
      </c>
      <c r="E619" t="s">
        <v>3954</v>
      </c>
      <c r="F619" s="78">
        <v>500</v>
      </c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</row>
    <row r="620" spans="1:19" hidden="1" x14ac:dyDescent="0.25">
      <c r="A620" t="s">
        <v>3959</v>
      </c>
      <c r="B620" s="68" t="str">
        <f>MID(PRESUPUESTO[[#This Row],[CUENTA]],1,4)</f>
        <v>E-26</v>
      </c>
      <c r="C620" s="68" t="str">
        <f>INDEX(CATALOGO[Descripción],MATCH(PRESUPUESTO[[#This Row],[APLICACIÓN]]&amp;"-00-00-00",CATALOGO[Código],0))</f>
        <v>EVENTOS ACADEMICOS, CULTURALES  E INSTITUCIONALES</v>
      </c>
      <c r="D6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Adquisición de insumos operación vivero</v>
      </c>
      <c r="E620" t="s">
        <v>3960</v>
      </c>
      <c r="F620" s="78">
        <v>500</v>
      </c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</row>
    <row r="621" spans="1:19" hidden="1" x14ac:dyDescent="0.25">
      <c r="A621" t="s">
        <v>3963</v>
      </c>
      <c r="B621" s="68" t="str">
        <f>MID(PRESUPUESTO[[#This Row],[CUENTA]],1,4)</f>
        <v>E-26</v>
      </c>
      <c r="C621" s="68" t="str">
        <f>INDEX(CATALOGO[Descripción],MATCH(PRESUPUESTO[[#This Row],[APLICACIÓN]]&amp;"-00-00-00",CATALOGO[Código],0))</f>
        <v>EVENTOS ACADEMICOS, CULTURALES  E INSTITUCIONALES</v>
      </c>
      <c r="D6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Recursos publicitarios para posicionamiento Utec Verde (Rollups, brochures)</v>
      </c>
      <c r="E621" t="s">
        <v>3964</v>
      </c>
      <c r="F621" s="78">
        <v>500</v>
      </c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</row>
    <row r="622" spans="1:19" hidden="1" x14ac:dyDescent="0.25">
      <c r="A622" t="s">
        <v>3979</v>
      </c>
      <c r="B622" s="68" t="str">
        <f>MID(PRESUPUESTO[[#This Row],[CUENTA]],1,4)</f>
        <v>E-28</v>
      </c>
      <c r="C622" s="68" t="str">
        <f>INDEX(CATALOGO[Descripción],MATCH(PRESUPUESTO[[#This Row],[APLICACIÓN]]&amp;"-00-00-00",CATALOGO[Código],0))</f>
        <v>INSTITUTO DE GRADUADOS</v>
      </c>
      <c r="D6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Evento presencial a graduados</v>
      </c>
      <c r="E622" t="s">
        <v>890</v>
      </c>
      <c r="F622" s="78">
        <v>500</v>
      </c>
      <c r="S622" t="s">
        <v>3187</v>
      </c>
    </row>
    <row r="623" spans="1:19" hidden="1" x14ac:dyDescent="0.25">
      <c r="A623" t="s">
        <v>2919</v>
      </c>
      <c r="B623" s="68" t="str">
        <f>MID(PRESUPUESTO[[#This Row],[CUENTA]],1,4)</f>
        <v>E-32</v>
      </c>
      <c r="C623" s="68" t="str">
        <f>INDEX(CATALOGO[Descripción],MATCH(PRESUPUESTO[[#This Row],[APLICACIÓN]]&amp;"-00-00-00",CATALOGO[Código],0))</f>
        <v>RELACIONES INTERNACIONALES</v>
      </c>
      <c r="D6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Promocionales para visitas</v>
      </c>
      <c r="E623" t="s">
        <v>947</v>
      </c>
      <c r="F623" s="78">
        <v>500</v>
      </c>
      <c r="S623" t="s">
        <v>3187</v>
      </c>
    </row>
    <row r="624" spans="1:19" hidden="1" x14ac:dyDescent="0.25">
      <c r="A624" t="s">
        <v>2482</v>
      </c>
      <c r="B624" s="68" t="str">
        <f>MID(PRESUPUESTO[[#This Row],[CUENTA]],1,4)</f>
        <v>E-32</v>
      </c>
      <c r="C624" s="68" t="str">
        <f>INDEX(CATALOGO[Descripción],MATCH(PRESUPUESTO[[#This Row],[APLICACIÓN]]&amp;"-00-00-00",CATALOGO[Código],0))</f>
        <v>RELACIONES INTERNACIONALES</v>
      </c>
      <c r="D6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Atenciones a visitantes internacionales</v>
      </c>
      <c r="E624" t="s">
        <v>955</v>
      </c>
      <c r="F624" s="78">
        <v>500</v>
      </c>
      <c r="S624" t="s">
        <v>3187</v>
      </c>
    </row>
    <row r="625" spans="1:19" hidden="1" x14ac:dyDescent="0.25">
      <c r="A625" t="s">
        <v>4013</v>
      </c>
      <c r="B625" s="68" t="str">
        <f>MID(PRESUPUESTO[[#This Row],[CUENTA]],1,4)</f>
        <v>E-32</v>
      </c>
      <c r="C625" s="68" t="str">
        <f>INDEX(CATALOGO[Descripción],MATCH(PRESUPUESTO[[#This Row],[APLICACIÓN]]&amp;"-00-00-00",CATALOGO[Código],0))</f>
        <v>RELACIONES INTERNACIONALES</v>
      </c>
      <c r="D6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Ferias de movilidades: mueble de demonstración y banners</v>
      </c>
      <c r="E625" t="s">
        <v>964</v>
      </c>
      <c r="F625" s="78">
        <v>500</v>
      </c>
      <c r="S625" t="s">
        <v>3187</v>
      </c>
    </row>
    <row r="626" spans="1:19" hidden="1" x14ac:dyDescent="0.25">
      <c r="A626" t="s">
        <v>3611</v>
      </c>
      <c r="B626" s="68" t="str">
        <f>MID(PRESUPUESTO[[#This Row],[CUENTA]],1,4)</f>
        <v>E-17</v>
      </c>
      <c r="C626" s="68" t="str">
        <f>INDEX(CATALOGO[Descripción],MATCH(PRESUPUESTO[[#This Row],[APLICACIÓN]]&amp;"-00-00-00",CATALOGO[Código],0))</f>
        <v>MEDIOS DE COMUNICACIÓN</v>
      </c>
      <c r="D6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Celular Honor 90.5G - Producciones TIKTOK - Centro de llamadas</v>
      </c>
      <c r="E626" t="s">
        <v>3612</v>
      </c>
      <c r="F626" s="78">
        <v>499</v>
      </c>
      <c r="S626" t="s">
        <v>3187</v>
      </c>
    </row>
    <row r="627" spans="1:19" hidden="1" x14ac:dyDescent="0.25">
      <c r="A627" t="s">
        <v>3350</v>
      </c>
      <c r="B627" s="68" t="str">
        <f>MID(PRESUPUESTO[[#This Row],[CUENTA]],1,4)</f>
        <v>E-08</v>
      </c>
      <c r="C627" s="68" t="str">
        <f>INDEX(CATALOGO[Descripción],MATCH(PRESUPUESTO[[#This Row],[APLICACIÓN]]&amp;"-00-00-00",CATALOGO[Código],0))</f>
        <v>INVERSIONES Y PROYECTOS ESPECIALES</v>
      </c>
      <c r="D6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627" t="s">
        <v>3356</v>
      </c>
      <c r="F627" s="78">
        <v>490</v>
      </c>
    </row>
    <row r="628" spans="1:19" hidden="1" x14ac:dyDescent="0.25">
      <c r="A628" t="s">
        <v>3801</v>
      </c>
      <c r="B628" s="68" t="str">
        <f>MID(PRESUPUESTO[[#This Row],[CUENTA]],1,4)</f>
        <v>E-24</v>
      </c>
      <c r="C628" s="68" t="str">
        <f>INDEX(CATALOGO[Descripción],MATCH(PRESUPUESTO[[#This Row],[APLICACIÓN]]&amp;"-00-00-00",CATALOGO[Código],0))</f>
        <v>NUEVO INGRESO</v>
      </c>
      <c r="D6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CONSUMOS MOVIL </v>
      </c>
      <c r="E628" t="s">
        <v>3802</v>
      </c>
      <c r="F628" s="78">
        <v>480</v>
      </c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</row>
    <row r="629" spans="1:19" hidden="1" x14ac:dyDescent="0.25">
      <c r="A629" t="s">
        <v>1175</v>
      </c>
      <c r="B629" s="68" t="str">
        <f>MID(PRESUPUESTO[[#This Row],[CUENTA]],1,4)</f>
        <v>E-24</v>
      </c>
      <c r="C629" s="68" t="str">
        <f>INDEX(CATALOGO[Descripción],MATCH(PRESUPUESTO[[#This Row],[APLICACIÓN]]&amp;"-00-00-00",CATALOGO[Código],0))</f>
        <v>NUEVO INGRESO</v>
      </c>
      <c r="D6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Parqueo vehículos del personal $ 40</v>
      </c>
      <c r="E629" t="s">
        <v>3844</v>
      </c>
      <c r="F629" s="78">
        <v>480</v>
      </c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</row>
    <row r="630" spans="1:19" hidden="1" x14ac:dyDescent="0.25">
      <c r="A630" t="s">
        <v>1050</v>
      </c>
      <c r="B630" s="68" t="str">
        <f>MID(PRESUPUESTO[[#This Row],[CUENTA]],1,4)</f>
        <v>E-22</v>
      </c>
      <c r="C630" s="68" t="str">
        <f>INDEX(CATALOGO[Descripción],MATCH(PRESUPUESTO[[#This Row],[APLICACIÓN]]&amp;"-00-00-00",CATALOGO[Código],0))</f>
        <v>CAPACITACIÓN AL PERSONAL</v>
      </c>
      <c r="D6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Biblioteca</v>
      </c>
      <c r="E630" t="s">
        <v>689</v>
      </c>
      <c r="F630" s="78">
        <v>470</v>
      </c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</row>
    <row r="631" spans="1:19" hidden="1" x14ac:dyDescent="0.25">
      <c r="A631" t="s">
        <v>3341</v>
      </c>
      <c r="B631" s="68" t="str">
        <f>MID(PRESUPUESTO[[#This Row],[CUENTA]],1,4)</f>
        <v>E-08</v>
      </c>
      <c r="C631" s="68" t="str">
        <f>INDEX(CATALOGO[Descripción],MATCH(PRESUPUESTO[[#This Row],[APLICACIÓN]]&amp;"-00-00-00",CATALOGO[Código],0))</f>
        <v>INVERSIONES Y PROYECTOS ESPECIALES</v>
      </c>
      <c r="D6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631" t="s">
        <v>3343</v>
      </c>
      <c r="F631" s="78">
        <v>450</v>
      </c>
    </row>
    <row r="632" spans="1:19" hidden="1" x14ac:dyDescent="0.25">
      <c r="A632" t="s">
        <v>3583</v>
      </c>
      <c r="B632" s="68" t="str">
        <f>MID(PRESUPUESTO[[#This Row],[CUENTA]],1,4)</f>
        <v>E-17</v>
      </c>
      <c r="C632" s="68" t="str">
        <f>INDEX(CATALOGO[Descripción],MATCH(PRESUPUESTO[[#This Row],[APLICACIÓN]]&amp;"-00-00-00",CATALOGO[Código],0))</f>
        <v>MEDIOS DE COMUNICACIÓN</v>
      </c>
      <c r="D6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- 2 cables HDMI (30 Metros cada uno) - Estudio de TV</v>
      </c>
      <c r="E632" t="s">
        <v>3584</v>
      </c>
      <c r="F632" s="78">
        <v>450</v>
      </c>
      <c r="S632" t="s">
        <v>3187</v>
      </c>
    </row>
    <row r="633" spans="1:19" hidden="1" x14ac:dyDescent="0.25">
      <c r="A633" t="s">
        <v>3618</v>
      </c>
      <c r="B633" s="68" t="str">
        <f>MID(PRESUPUESTO[[#This Row],[CUENTA]],1,4)</f>
        <v>E-18</v>
      </c>
      <c r="C633" s="68" t="str">
        <f>INDEX(CATALOGO[Descripción],MATCH(PRESUPUESTO[[#This Row],[APLICACIÓN]]&amp;"-00-00-00",CATALOGO[Código],0))</f>
        <v>COMUNICACIÓN INSTITUCIONAL</v>
      </c>
      <c r="D6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Sitio web y redes sociales - Manteniminto de la traducción del sitio web (Gtranslate) (abril)</v>
      </c>
      <c r="E633" t="s">
        <v>3619</v>
      </c>
      <c r="F633" s="78">
        <v>450</v>
      </c>
      <c r="S633" t="s">
        <v>3187</v>
      </c>
    </row>
    <row r="634" spans="1:19" hidden="1" x14ac:dyDescent="0.25">
      <c r="A634" t="s">
        <v>3768</v>
      </c>
      <c r="B634" s="68" t="str">
        <f>MID(PRESUPUESTO[[#This Row],[CUENTA]],1,4)</f>
        <v>E-22</v>
      </c>
      <c r="C634" s="68" t="str">
        <f>INDEX(CATALOGO[Descripción],MATCH(PRESUPUESTO[[#This Row],[APLICACIÓN]]&amp;"-00-00-00",CATALOGO[Código],0))</f>
        <v>CAPACITACIÓN AL PERSONAL</v>
      </c>
      <c r="D6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Capacitaciones varias- Admon Académica</v>
      </c>
      <c r="E634" t="s">
        <v>689</v>
      </c>
      <c r="F634" s="78">
        <v>450</v>
      </c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</row>
    <row r="635" spans="1:19" hidden="1" x14ac:dyDescent="0.25">
      <c r="A635" t="s">
        <v>3774</v>
      </c>
      <c r="B635" s="68" t="str">
        <f>MID(PRESUPUESTO[[#This Row],[CUENTA]],1,4)</f>
        <v>E-22</v>
      </c>
      <c r="C635" s="68" t="str">
        <f>INDEX(CATALOGO[Descripción],MATCH(PRESUPUESTO[[#This Row],[APLICACIÓN]]&amp;"-00-00-00",CATALOGO[Código],0))</f>
        <v>CAPACITACIÓN AL PERSONAL</v>
      </c>
      <c r="D6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Jackeline Cárcamo, proceso de Preespecialización</v>
      </c>
      <c r="E635" t="s">
        <v>684</v>
      </c>
      <c r="F635" s="78">
        <v>450</v>
      </c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</row>
    <row r="636" spans="1:19" hidden="1" x14ac:dyDescent="0.25">
      <c r="A636" t="s">
        <v>3993</v>
      </c>
      <c r="B636" s="68" t="str">
        <f>MID(PRESUPUESTO[[#This Row],[CUENTA]],1,4)</f>
        <v>E-30</v>
      </c>
      <c r="C636" s="68" t="str">
        <f>INDEX(CATALOGO[Descripción],MATCH(PRESUPUESTO[[#This Row],[APLICACIÓN]]&amp;"-00-00-00",CATALOGO[Código],0))</f>
        <v>MEMBRESIAS Y SUSCRIPCIONES</v>
      </c>
      <c r="D6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 Casa.Tic</v>
      </c>
      <c r="E636" t="s">
        <v>923</v>
      </c>
      <c r="F636" s="78">
        <v>450</v>
      </c>
      <c r="S636" t="s">
        <v>3187</v>
      </c>
    </row>
    <row r="637" spans="1:19" hidden="1" x14ac:dyDescent="0.25">
      <c r="A637" t="s">
        <v>3593</v>
      </c>
      <c r="B637" s="68" t="str">
        <f>MID(PRESUPUESTO[[#This Row],[CUENTA]],1,4)</f>
        <v>E-17</v>
      </c>
      <c r="C637" s="68" t="str">
        <f>INDEX(CATALOGO[Descripción],MATCH(PRESUPUESTO[[#This Row],[APLICACIÓN]]&amp;"-00-00-00",CATALOGO[Código],0))</f>
        <v>MEDIOS DE COMUNICACIÓN</v>
      </c>
      <c r="D6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Cable de video coaxial de 40 metros - Estudio de TV</v>
      </c>
      <c r="E637" t="s">
        <v>3594</v>
      </c>
      <c r="F637" s="78">
        <v>420</v>
      </c>
      <c r="S637" t="s">
        <v>3187</v>
      </c>
    </row>
    <row r="638" spans="1:19" hidden="1" x14ac:dyDescent="0.25">
      <c r="A638" t="s">
        <v>1773</v>
      </c>
      <c r="B638" s="68" t="str">
        <f>MID(PRESUPUESTO[[#This Row],[CUENTA]],1,4)</f>
        <v>E-24</v>
      </c>
      <c r="C638" s="68" t="str">
        <f>INDEX(CATALOGO[Descripción],MATCH(PRESUPUESTO[[#This Row],[APLICACIÓN]]&amp;"-00-00-00",CATALOGO[Código],0))</f>
        <v>NUEVO INGRESO</v>
      </c>
      <c r="D6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Centro de soluciones - Servicio telefono móvil $ 35 x 12</v>
      </c>
      <c r="E638" t="s">
        <v>3850</v>
      </c>
      <c r="F638" s="78">
        <v>420</v>
      </c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</row>
    <row r="639" spans="1:19" hidden="1" x14ac:dyDescent="0.25">
      <c r="A639" t="s">
        <v>1161</v>
      </c>
      <c r="B639" s="68" t="str">
        <f>MID(PRESUPUESTO[[#This Row],[CUENTA]],1,4)</f>
        <v>E-24</v>
      </c>
      <c r="C639" s="68" t="str">
        <f>INDEX(CATALOGO[Descripción],MATCH(PRESUPUESTO[[#This Row],[APLICACIÓN]]&amp;"-00-00-00",CATALOGO[Código],0))</f>
        <v>NUEVO INGRESO</v>
      </c>
      <c r="D6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Mtto aire acondicionado  $ 35.00</v>
      </c>
      <c r="E639" t="s">
        <v>3864</v>
      </c>
      <c r="F639" s="78">
        <v>420</v>
      </c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</row>
    <row r="640" spans="1:19" hidden="1" x14ac:dyDescent="0.25">
      <c r="A640" t="s">
        <v>3390</v>
      </c>
      <c r="B640" s="68" t="str">
        <f>MID(PRESUPUESTO[[#This Row],[CUENTA]],1,4)</f>
        <v>E-11</v>
      </c>
      <c r="C640" s="68" t="str">
        <f>INDEX(CATALOGO[Descripción],MATCH(PRESUPUESTO[[#This Row],[APLICACIÓN]]&amp;"-00-00-00",CATALOGO[Código],0))</f>
        <v>INVESTIGACIONES</v>
      </c>
      <c r="D6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Licencia (Canva y Zoom)</v>
      </c>
      <c r="E640" t="s">
        <v>3391</v>
      </c>
      <c r="F640" s="78">
        <v>400</v>
      </c>
    </row>
    <row r="641" spans="1:19" hidden="1" x14ac:dyDescent="0.25">
      <c r="A641" t="s">
        <v>3499</v>
      </c>
      <c r="B641" s="68" t="str">
        <f>MID(PRESUPUESTO[[#This Row],[CUENTA]],1,4)</f>
        <v>E-13</v>
      </c>
      <c r="C641" s="68" t="str">
        <f>INDEX(CATALOGO[Descripción],MATCH(PRESUPUESTO[[#This Row],[APLICACIÓN]]&amp;"-00-00-00",CATALOGO[Código],0))</f>
        <v>MAESTRIAS Y POSTGRADOS</v>
      </c>
      <c r="D6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Graduaciones MAE - Arreglos florales</v>
      </c>
      <c r="E641" t="s">
        <v>3500</v>
      </c>
      <c r="F641" s="78">
        <v>400</v>
      </c>
      <c r="S641" t="s">
        <v>3187</v>
      </c>
    </row>
    <row r="642" spans="1:19" hidden="1" x14ac:dyDescent="0.25">
      <c r="A642" t="s">
        <v>3524</v>
      </c>
      <c r="B642" s="68" t="str">
        <f>MID(PRESUPUESTO[[#This Row],[CUENTA]],1,4)</f>
        <v>E-14</v>
      </c>
      <c r="C642" s="68" t="str">
        <f>INDEX(CATALOGO[Descripción],MATCH(PRESUPUESTO[[#This Row],[APLICACIÓN]]&amp;"-00-00-00",CATALOGO[Código],0))</f>
        <v>MATERIAL DIDÁCTICO</v>
      </c>
      <c r="D6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INSUMOS PROFESORES - FACULTAD DE CIENCIAS JURIDICAS</v>
      </c>
      <c r="E642" t="s">
        <v>3520</v>
      </c>
      <c r="F642" s="78">
        <v>400</v>
      </c>
      <c r="S642" t="s">
        <v>3187</v>
      </c>
    </row>
    <row r="643" spans="1:19" hidden="1" x14ac:dyDescent="0.25">
      <c r="A643" t="s">
        <v>3577</v>
      </c>
      <c r="B643" s="68" t="str">
        <f>MID(PRESUPUESTO[[#This Row],[CUENTA]],1,4)</f>
        <v>E-17</v>
      </c>
      <c r="C643" s="68" t="str">
        <f>INDEX(CATALOGO[Descripción],MATCH(PRESUPUESTO[[#This Row],[APLICACIÓN]]&amp;"-00-00-00",CATALOGO[Código],0))</f>
        <v>MEDIOS DE COMUNICACIÓN</v>
      </c>
      <c r="D6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Combustible vehículo - Estudio de TV</v>
      </c>
      <c r="E643" t="s">
        <v>3578</v>
      </c>
      <c r="F643" s="78">
        <v>400</v>
      </c>
      <c r="S643" t="s">
        <v>3187</v>
      </c>
    </row>
    <row r="644" spans="1:19" hidden="1" x14ac:dyDescent="0.25">
      <c r="A644" t="s">
        <v>3903</v>
      </c>
      <c r="B644" s="68" t="str">
        <f>MID(PRESUPUESTO[[#This Row],[CUENTA]],1,4)</f>
        <v>E-26</v>
      </c>
      <c r="C644" s="68" t="str">
        <f>INDEX(CATALOGO[Descripción],MATCH(PRESUPUESTO[[#This Row],[APLICACIÓN]]&amp;"-00-00-00",CATALOGO[Código],0))</f>
        <v>EVENTOS ACADEMICOS, CULTURALES  E INSTITUCIONALES</v>
      </c>
      <c r="D6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Eventos administrativos -Día de la secretaria</v>
      </c>
      <c r="E644" t="s">
        <v>3904</v>
      </c>
      <c r="F644" s="78">
        <v>400</v>
      </c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</row>
    <row r="645" spans="1:19" hidden="1" x14ac:dyDescent="0.25">
      <c r="A645" t="s">
        <v>3521</v>
      </c>
      <c r="B645" s="68" t="str">
        <f>MID(PRESUPUESTO[[#This Row],[CUENTA]],1,4)</f>
        <v>E-14</v>
      </c>
      <c r="C645" s="68" t="str">
        <f>INDEX(CATALOGO[Descripción],MATCH(PRESUPUESTO[[#This Row],[APLICACIÓN]]&amp;"-00-00-00",CATALOGO[Código],0))</f>
        <v>MATERIAL DIDÁCTICO</v>
      </c>
      <c r="D6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INSUMOS PROFESORES - FACULTAD DE CIENCIAS EMPRESARIALES  </v>
      </c>
      <c r="E645" t="s">
        <v>3517</v>
      </c>
      <c r="F645" s="78">
        <v>365</v>
      </c>
      <c r="S645" t="s">
        <v>3187</v>
      </c>
    </row>
    <row r="646" spans="1:19" hidden="1" x14ac:dyDescent="0.25">
      <c r="A646" t="s">
        <v>3370</v>
      </c>
      <c r="B646" s="68" t="str">
        <f>MID(PRESUPUESTO[[#This Row],[CUENTA]],1,4)</f>
        <v>E-09</v>
      </c>
      <c r="C646" s="68" t="str">
        <f>INDEX(CATALOGO[Descripción],MATCH(PRESUPUESTO[[#This Row],[APLICACIÓN]]&amp;"-00-00-00",CATALOGO[Código],0))</f>
        <v>PRESTACIONES AL PERSONAL</v>
      </c>
      <c r="D6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Uniformes motorista PJGU</v>
      </c>
      <c r="E646" t="s">
        <v>235</v>
      </c>
      <c r="F646" s="78">
        <v>350</v>
      </c>
      <c r="S646" t="s">
        <v>3187</v>
      </c>
    </row>
    <row r="647" spans="1:19" hidden="1" x14ac:dyDescent="0.25">
      <c r="A647" t="s">
        <v>3574</v>
      </c>
      <c r="B647" s="68" t="str">
        <f>MID(PRESUPUESTO[[#This Row],[CUENTA]],1,4)</f>
        <v>E-17</v>
      </c>
      <c r="C647" s="68" t="str">
        <f>INDEX(CATALOGO[Descripción],MATCH(PRESUPUESTO[[#This Row],[APLICACIÓN]]&amp;"-00-00-00",CATALOGO[Código],0))</f>
        <v>MEDIOS DE COMUNICACIÓN</v>
      </c>
      <c r="D6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Estudio de TV - Transporte y viáticos al personal </v>
      </c>
      <c r="E647" t="s">
        <v>3575</v>
      </c>
      <c r="F647" s="78">
        <v>350</v>
      </c>
      <c r="S647" t="s">
        <v>3187</v>
      </c>
    </row>
    <row r="648" spans="1:19" hidden="1" x14ac:dyDescent="0.25">
      <c r="A648" t="s">
        <v>3938</v>
      </c>
      <c r="B648" s="68" t="str">
        <f>MID(PRESUPUESTO[[#This Row],[CUENTA]],1,4)</f>
        <v>E-26</v>
      </c>
      <c r="C648" s="68" t="str">
        <f>INDEX(CATALOGO[Descripción],MATCH(PRESUPUESTO[[#This Row],[APLICACIÓN]]&amp;"-00-00-00",CATALOGO[Código],0))</f>
        <v>EVENTOS ACADEMICOS, CULTURALES  E INSTITUCIONALES</v>
      </c>
      <c r="D6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Reunión Comité Estudiantil- FCCS</v>
      </c>
      <c r="E648" t="s">
        <v>3933</v>
      </c>
      <c r="F648" s="78">
        <v>350</v>
      </c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</row>
    <row r="649" spans="1:19" hidden="1" x14ac:dyDescent="0.25">
      <c r="A649" t="s">
        <v>3341</v>
      </c>
      <c r="B649" s="68" t="str">
        <f>MID(PRESUPUESTO[[#This Row],[CUENTA]],1,4)</f>
        <v>E-08</v>
      </c>
      <c r="C649" s="68" t="str">
        <f>INDEX(CATALOGO[Descripción],MATCH(PRESUPUESTO[[#This Row],[APLICACIÓN]]&amp;"-00-00-00",CATALOGO[Código],0))</f>
        <v>INVERSIONES Y PROYECTOS ESPECIALES</v>
      </c>
      <c r="D6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649" t="s">
        <v>3348</v>
      </c>
      <c r="F649" s="78">
        <v>328</v>
      </c>
    </row>
    <row r="650" spans="1:19" hidden="1" x14ac:dyDescent="0.25">
      <c r="A650" t="s">
        <v>3291</v>
      </c>
      <c r="B650" s="68" t="str">
        <f>MID(PRESUPUESTO[[#This Row],[CUENTA]],1,4)</f>
        <v>E-01</v>
      </c>
      <c r="C650" s="68" t="str">
        <f>INDEX(CATALOGO[Descripción],MATCH(PRESUPUESTO[[#This Row],[APLICACIÓN]]&amp;"-00-00-00",CATALOGO[Código],0))</f>
        <v>SERVICIOS PROFESIONALES</v>
      </c>
      <c r="D6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Seguridad GPS</v>
      </c>
      <c r="E650" t="s">
        <v>129</v>
      </c>
      <c r="F650" s="78">
        <v>300</v>
      </c>
      <c r="S650" t="s">
        <v>3187</v>
      </c>
    </row>
    <row r="651" spans="1:19" hidden="1" x14ac:dyDescent="0.25">
      <c r="A651" t="s">
        <v>3341</v>
      </c>
      <c r="B651" s="68" t="str">
        <f>MID(PRESUPUESTO[[#This Row],[CUENTA]],1,4)</f>
        <v>E-08</v>
      </c>
      <c r="C651" s="68" t="str">
        <f>INDEX(CATALOGO[Descripción],MATCH(PRESUPUESTO[[#This Row],[APLICACIÓN]]&amp;"-00-00-00",CATALOGO[Código],0))</f>
        <v>INVERSIONES Y PROYECTOS ESPECIALES</v>
      </c>
      <c r="D6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651" t="s">
        <v>3344</v>
      </c>
      <c r="F651" s="78">
        <v>300</v>
      </c>
    </row>
    <row r="652" spans="1:19" hidden="1" x14ac:dyDescent="0.25">
      <c r="A652" t="s">
        <v>3341</v>
      </c>
      <c r="B652" s="68" t="str">
        <f>MID(PRESUPUESTO[[#This Row],[CUENTA]],1,4)</f>
        <v>E-08</v>
      </c>
      <c r="C652" s="68" t="str">
        <f>INDEX(CATALOGO[Descripción],MATCH(PRESUPUESTO[[#This Row],[APLICACIÓN]]&amp;"-00-00-00",CATALOGO[Código],0))</f>
        <v>INVERSIONES Y PROYECTOS ESPECIALES</v>
      </c>
      <c r="D6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652" t="s">
        <v>3349</v>
      </c>
      <c r="F652" s="78">
        <v>300</v>
      </c>
    </row>
    <row r="653" spans="1:19" hidden="1" x14ac:dyDescent="0.25">
      <c r="A653" t="s">
        <v>1843</v>
      </c>
      <c r="B653" s="68" t="str">
        <f>MID(PRESUPUESTO[[#This Row],[CUENTA]],1,4)</f>
        <v>E-24</v>
      </c>
      <c r="C653" s="68" t="str">
        <f>INDEX(CATALOGO[Descripción],MATCH(PRESUPUESTO[[#This Row],[APLICACIÓN]]&amp;"-00-00-00",CATALOGO[Código],0))</f>
        <v>NUEVO INGRESO</v>
      </c>
      <c r="D6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Servicio telefónico $ 25 X 12</v>
      </c>
      <c r="E653" t="s">
        <v>3842</v>
      </c>
      <c r="F653" s="78">
        <v>300</v>
      </c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</row>
    <row r="654" spans="1:19" hidden="1" x14ac:dyDescent="0.25">
      <c r="A654" t="s">
        <v>1269</v>
      </c>
      <c r="B654" s="68" t="str">
        <f>MID(PRESUPUESTO[[#This Row],[CUENTA]],1,4)</f>
        <v>E-24</v>
      </c>
      <c r="C654" s="68" t="str">
        <f>INDEX(CATALOGO[Descripción],MATCH(PRESUPUESTO[[#This Row],[APLICACIÓN]]&amp;"-00-00-00",CATALOGO[Código],0))</f>
        <v>NUEVO INGRESO</v>
      </c>
      <c r="D6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Servicio telefónico  $ 20 X 12</v>
      </c>
      <c r="E654" t="s">
        <v>3860</v>
      </c>
      <c r="F654" s="78">
        <v>300</v>
      </c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</row>
    <row r="655" spans="1:19" hidden="1" x14ac:dyDescent="0.25">
      <c r="A655" t="s">
        <v>3951</v>
      </c>
      <c r="B655" s="68" t="str">
        <f>MID(PRESUPUESTO[[#This Row],[CUENTA]],1,4)</f>
        <v>E-26</v>
      </c>
      <c r="C655" s="68" t="str">
        <f>INDEX(CATALOGO[Descripción],MATCH(PRESUPUESTO[[#This Row],[APLICACIÓN]]&amp;"-00-00-00",CATALOGO[Código],0))</f>
        <v>EVENTOS ACADEMICOS, CULTURALES  E INSTITUCIONALES</v>
      </c>
      <c r="D6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Activación relaciones externas- FCCS</v>
      </c>
      <c r="E655" t="s">
        <v>3952</v>
      </c>
      <c r="F655" s="78">
        <v>300</v>
      </c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</row>
    <row r="656" spans="1:19" hidden="1" x14ac:dyDescent="0.25">
      <c r="A656" t="s">
        <v>3955</v>
      </c>
      <c r="B656" s="68" t="str">
        <f>MID(PRESUPUESTO[[#This Row],[CUENTA]],1,4)</f>
        <v>E-26</v>
      </c>
      <c r="C656" s="68" t="str">
        <f>INDEX(CATALOGO[Descripción],MATCH(PRESUPUESTO[[#This Row],[APLICACIÓN]]&amp;"-00-00-00",CATALOGO[Código],0))</f>
        <v>EVENTOS ACADEMICOS, CULTURALES  E INSTITUCIONALES</v>
      </c>
      <c r="D6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Camisetas y gorras  identificadoras becarios UTEC VERDE</v>
      </c>
      <c r="E656" t="s">
        <v>3956</v>
      </c>
      <c r="F656" s="78">
        <v>300</v>
      </c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</row>
    <row r="657" spans="1:19" hidden="1" x14ac:dyDescent="0.25">
      <c r="A657" t="s">
        <v>3995</v>
      </c>
      <c r="B657" s="68" t="str">
        <f>MID(PRESUPUESTO[[#This Row],[CUENTA]],1,4)</f>
        <v>E-31</v>
      </c>
      <c r="C657" s="68" t="str">
        <f>INDEX(CATALOGO[Descripción],MATCH(PRESUPUESTO[[#This Row],[APLICACIÓN]]&amp;"-00-00-00",CATALOGO[Código],0))</f>
        <v>DONACIONES</v>
      </c>
      <c r="D6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Guardavidas Salvadoreños</v>
      </c>
      <c r="E657" t="s">
        <v>929</v>
      </c>
      <c r="F657" s="78">
        <v>300</v>
      </c>
      <c r="S657" t="s">
        <v>3187</v>
      </c>
    </row>
    <row r="658" spans="1:19" hidden="1" x14ac:dyDescent="0.25">
      <c r="A658" t="s">
        <v>3615</v>
      </c>
      <c r="B658" s="68" t="str">
        <f>MID(PRESUPUESTO[[#This Row],[CUENTA]],1,4)</f>
        <v>E-17</v>
      </c>
      <c r="C658" s="68" t="str">
        <f>INDEX(CATALOGO[Descripción],MATCH(PRESUPUESTO[[#This Row],[APLICACIÓN]]&amp;"-00-00-00",CATALOGO[Código],0))</f>
        <v>MEDIOS DE COMUNICACIÓN</v>
      </c>
      <c r="D6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Micrófono DJI Mic - Centro de llamadas</v>
      </c>
      <c r="E658" t="s">
        <v>3616</v>
      </c>
      <c r="F658" s="78">
        <v>299</v>
      </c>
      <c r="S658" t="s">
        <v>3187</v>
      </c>
    </row>
    <row r="659" spans="1:19" hidden="1" x14ac:dyDescent="0.25">
      <c r="A659" t="s">
        <v>3595</v>
      </c>
      <c r="B659" s="68" t="str">
        <f>MID(PRESUPUESTO[[#This Row],[CUENTA]],1,4)</f>
        <v>E-17</v>
      </c>
      <c r="C659" s="68" t="str">
        <f>INDEX(CATALOGO[Descripción],MATCH(PRESUPUESTO[[#This Row],[APLICACIÓN]]&amp;"-00-00-00",CATALOGO[Código],0))</f>
        <v>MEDIOS DE COMUNICACIÓN</v>
      </c>
      <c r="D6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- 3 Black magic convertidor de SDI a HDMI - Estudio de TV</v>
      </c>
      <c r="E659" t="s">
        <v>3596</v>
      </c>
      <c r="F659" s="78">
        <v>297</v>
      </c>
      <c r="S659" t="s">
        <v>3187</v>
      </c>
    </row>
    <row r="660" spans="1:19" hidden="1" x14ac:dyDescent="0.25">
      <c r="A660" t="s">
        <v>3597</v>
      </c>
      <c r="B660" s="68" t="str">
        <f>MID(PRESUPUESTO[[#This Row],[CUENTA]],1,4)</f>
        <v>E-17</v>
      </c>
      <c r="C660" s="68" t="str">
        <f>INDEX(CATALOGO[Descripción],MATCH(PRESUPUESTO[[#This Row],[APLICACIÓN]]&amp;"-00-00-00",CATALOGO[Código],0))</f>
        <v>MEDIOS DE COMUNICACIÓN</v>
      </c>
      <c r="D6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- 3 Microvertidor HDMI a SDI - Estudio de TV</v>
      </c>
      <c r="E660" t="s">
        <v>3598</v>
      </c>
      <c r="F660" s="78">
        <v>285</v>
      </c>
      <c r="S660" t="s">
        <v>3187</v>
      </c>
    </row>
    <row r="661" spans="1:19" hidden="1" x14ac:dyDescent="0.25">
      <c r="A661" s="37" t="s">
        <v>3406</v>
      </c>
      <c r="B661" s="68" t="str">
        <f>MID(PRESUPUESTO[[#This Row],[CUENTA]],1,4)</f>
        <v>E-12</v>
      </c>
      <c r="C661" s="68" t="str">
        <f>INDEX(CATALOGO[Descripción],MATCH(PRESUPUESTO[[#This Row],[APLICACIÓN]]&amp;"-00-00-00",CATALOGO[Código],0))</f>
        <v>PROYECCION SOCIAL</v>
      </c>
      <c r="D6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Insumo de oficina ( café, azucar, vasos,etc)</v>
      </c>
      <c r="E661" t="s">
        <v>284</v>
      </c>
      <c r="F661" s="78">
        <v>255</v>
      </c>
      <c r="S661" t="s">
        <v>3187</v>
      </c>
    </row>
    <row r="662" spans="1:19" hidden="1" x14ac:dyDescent="0.25">
      <c r="A662" t="s">
        <v>3362</v>
      </c>
      <c r="B662" s="68" t="str">
        <f>MID(PRESUPUESTO[[#This Row],[CUENTA]],1,4)</f>
        <v>E-08</v>
      </c>
      <c r="C662" s="68" t="str">
        <f>INDEX(CATALOGO[Descripción],MATCH(PRESUPUESTO[[#This Row],[APLICACIÓN]]&amp;"-00-00-00",CATALOGO[Código],0))</f>
        <v>INVERSIONES Y PROYECTOS ESPECIALES</v>
      </c>
      <c r="D6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Ciencias Biológicas</v>
      </c>
      <c r="E662" t="s">
        <v>3363</v>
      </c>
      <c r="F662" s="78">
        <v>250</v>
      </c>
    </row>
    <row r="663" spans="1:19" hidden="1" x14ac:dyDescent="0.25">
      <c r="A663" t="s">
        <v>1104</v>
      </c>
      <c r="B663" s="68" t="str">
        <f>MID(PRESUPUESTO[[#This Row],[CUENTA]],1,4)</f>
        <v>E-09</v>
      </c>
      <c r="C663" s="68" t="str">
        <f>INDEX(CATALOGO[Descripción],MATCH(PRESUPUESTO[[#This Row],[APLICACIÓN]]&amp;"-00-00-00",CATALOGO[Código],0))</f>
        <v>PRESTACIONES AL PERSONAL</v>
      </c>
      <c r="D6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Carnet</v>
      </c>
      <c r="E663" t="s">
        <v>239</v>
      </c>
      <c r="F663" s="78">
        <v>250</v>
      </c>
    </row>
    <row r="664" spans="1:19" hidden="1" x14ac:dyDescent="0.25">
      <c r="A664" t="s">
        <v>3629</v>
      </c>
      <c r="B664" s="68" t="str">
        <f>MID(PRESUPUESTO[[#This Row],[CUENTA]],1,4)</f>
        <v>E-17</v>
      </c>
      <c r="C664" s="68" t="str">
        <f>INDEX(CATALOGO[Descripción],MATCH(PRESUPUESTO[[#This Row],[APLICACIÓN]]&amp;"-00-00-00",CATALOGO[Código],0))</f>
        <v>MEDIOS DE COMUNICACIÓN</v>
      </c>
      <c r="D6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Publicaciones - Librerías de imágenes, música y proyectos ( Shutterstock)</v>
      </c>
      <c r="E664" t="s">
        <v>3630</v>
      </c>
      <c r="F664" s="78">
        <v>250</v>
      </c>
      <c r="S664" t="s">
        <v>3187</v>
      </c>
    </row>
    <row r="665" spans="1:19" hidden="1" x14ac:dyDescent="0.25">
      <c r="A665" t="s">
        <v>2075</v>
      </c>
      <c r="B665" s="68" t="str">
        <f>MID(PRESUPUESTO[[#This Row],[CUENTA]],1,4)</f>
        <v>E-24</v>
      </c>
      <c r="C665" s="68" t="str">
        <f>INDEX(CATALOGO[Descripción],MATCH(PRESUPUESTO[[#This Row],[APLICACIÓN]]&amp;"-00-00-00",CATALOGO[Código],0))</f>
        <v>NUEVO INGRESO</v>
      </c>
      <c r="D6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Mantenimiento limpieza fumigaciones</v>
      </c>
      <c r="E665" t="s">
        <v>3840</v>
      </c>
      <c r="F665" s="78">
        <v>250</v>
      </c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</row>
    <row r="666" spans="1:19" hidden="1" x14ac:dyDescent="0.25">
      <c r="A666" t="s">
        <v>3920</v>
      </c>
      <c r="B666" s="68" t="str">
        <f>MID(PRESUPUESTO[[#This Row],[CUENTA]],1,4)</f>
        <v>E-26</v>
      </c>
      <c r="C666" s="68" t="str">
        <f>INDEX(CATALOGO[Descripción],MATCH(PRESUPUESTO[[#This Row],[APLICACIÓN]]&amp;"-00-00-00",CATALOGO[Código],0))</f>
        <v>EVENTOS ACADEMICOS, CULTURALES  E INSTITUCIONALES</v>
      </c>
      <c r="D6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Decoracion floral</v>
      </c>
      <c r="E666" t="s">
        <v>3921</v>
      </c>
      <c r="F666" s="78">
        <v>250</v>
      </c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</row>
    <row r="667" spans="1:19" hidden="1" x14ac:dyDescent="0.25">
      <c r="A667" t="s">
        <v>2209</v>
      </c>
      <c r="B667" s="68" t="str">
        <f>MID(PRESUPUESTO[[#This Row],[CUENTA]],1,4)</f>
        <v>E-30</v>
      </c>
      <c r="C667" s="68" t="str">
        <f>INDEX(CATALOGO[Descripción],MATCH(PRESUPUESTO[[#This Row],[APLICACIÓN]]&amp;"-00-00-00",CATALOGO[Código],0))</f>
        <v>MEMBRESIAS Y SUSCRIPCIONES</v>
      </c>
      <c r="D6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 Camara Americana Amcham</v>
      </c>
      <c r="E667" t="s">
        <v>915</v>
      </c>
      <c r="F667" s="78">
        <v>250</v>
      </c>
      <c r="S667" t="s">
        <v>3187</v>
      </c>
    </row>
    <row r="668" spans="1:19" hidden="1" x14ac:dyDescent="0.25">
      <c r="A668" t="s">
        <v>4003</v>
      </c>
      <c r="B668" s="68" t="str">
        <f>MID(PRESUPUESTO[[#This Row],[CUENTA]],1,4)</f>
        <v>E-32</v>
      </c>
      <c r="C668" s="68" t="str">
        <f>INDEX(CATALOGO[Descripción],MATCH(PRESUPUESTO[[#This Row],[APLICACIÓN]]&amp;"-00-00-00",CATALOGO[Código],0))</f>
        <v>RELACIONES INTERNACIONALES</v>
      </c>
      <c r="D6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1 Impresor tinta multifuncional</v>
      </c>
      <c r="E668" t="s">
        <v>4004</v>
      </c>
      <c r="F668" s="78">
        <v>250</v>
      </c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</row>
    <row r="669" spans="1:19" hidden="1" x14ac:dyDescent="0.25">
      <c r="A669" t="s">
        <v>4014</v>
      </c>
      <c r="B669" s="68" t="str">
        <f>MID(PRESUPUESTO[[#This Row],[CUENTA]],1,4)</f>
        <v>E-32</v>
      </c>
      <c r="C669" s="68" t="str">
        <f>INDEX(CATALOGO[Descripción],MATCH(PRESUPUESTO[[#This Row],[APLICACIÓN]]&amp;"-00-00-00",CATALOGO[Código],0))</f>
        <v>RELACIONES INTERNACIONALES</v>
      </c>
      <c r="D6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Sesión de orientación y reunión de becarios con autoridades UTEC</v>
      </c>
      <c r="E669" t="s">
        <v>965</v>
      </c>
      <c r="F669" s="78">
        <v>250</v>
      </c>
      <c r="S669" t="s">
        <v>3187</v>
      </c>
    </row>
    <row r="670" spans="1:19" hidden="1" x14ac:dyDescent="0.25">
      <c r="A670" s="37" t="s">
        <v>1034</v>
      </c>
      <c r="B670" s="68" t="str">
        <f>MID(PRESUPUESTO[[#This Row],[CUENTA]],1,4)</f>
        <v>E-12</v>
      </c>
      <c r="C670" s="68" t="str">
        <f>INDEX(CATALOGO[Descripción],MATCH(PRESUPUESTO[[#This Row],[APLICACIÓN]]&amp;"-00-00-00",CATALOGO[Código],0))</f>
        <v>PROYECCION SOCIAL</v>
      </c>
      <c r="D6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Agua cristal </v>
      </c>
      <c r="E670" t="s">
        <v>285</v>
      </c>
      <c r="F670" s="78">
        <v>245</v>
      </c>
      <c r="S670" t="s">
        <v>3187</v>
      </c>
    </row>
    <row r="671" spans="1:19" hidden="1" x14ac:dyDescent="0.25">
      <c r="A671" t="s">
        <v>3591</v>
      </c>
      <c r="B671" s="68" t="str">
        <f>MID(PRESUPUESTO[[#This Row],[CUENTA]],1,4)</f>
        <v>E-17</v>
      </c>
      <c r="C671" s="68" t="str">
        <f>INDEX(CATALOGO[Descripción],MATCH(PRESUPUESTO[[#This Row],[APLICACIÓN]]&amp;"-00-00-00",CATALOGO[Código],0))</f>
        <v>MEDIOS DE COMUNICACIÓN</v>
      </c>
      <c r="D6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Luz led para cámara de video -  Coberturas  - Estudio de TV</v>
      </c>
      <c r="E671" t="s">
        <v>3592</v>
      </c>
      <c r="F671" s="78">
        <v>242.95</v>
      </c>
      <c r="S671" t="s">
        <v>3187</v>
      </c>
    </row>
    <row r="672" spans="1:19" hidden="1" x14ac:dyDescent="0.25">
      <c r="A672" t="s">
        <v>3601</v>
      </c>
      <c r="B672" s="68" t="str">
        <f>MID(PRESUPUESTO[[#This Row],[CUENTA]],1,4)</f>
        <v>E-17</v>
      </c>
      <c r="C672" s="68" t="str">
        <f>INDEX(CATALOGO[Descripción],MATCH(PRESUPUESTO[[#This Row],[APLICACIÓN]]&amp;"-00-00-00",CATALOGO[Código],0))</f>
        <v>MEDIOS DE COMUNICACIÓN</v>
      </c>
      <c r="D6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- 4 Baterías para cámaras Nikon EN-EL14afor-D3200 - Estudio de TV</v>
      </c>
      <c r="E672" t="s">
        <v>3602</v>
      </c>
      <c r="F672" s="78">
        <v>240</v>
      </c>
      <c r="S672" t="s">
        <v>3187</v>
      </c>
    </row>
    <row r="673" spans="1:19" hidden="1" x14ac:dyDescent="0.25">
      <c r="A673" t="s">
        <v>3838</v>
      </c>
      <c r="B673" s="68" t="str">
        <f>MID(PRESUPUESTO[[#This Row],[CUENTA]],1,4)</f>
        <v>E-24</v>
      </c>
      <c r="C673" s="68" t="str">
        <f>INDEX(CATALOGO[Descripción],MATCH(PRESUPUESTO[[#This Row],[APLICACIÓN]]&amp;"-00-00-00",CATALOGO[Código],0))</f>
        <v>NUEVO INGRESO</v>
      </c>
      <c r="D6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Metrocentro - Mantenimiento equipos $ 19.* 12</v>
      </c>
      <c r="E673" t="s">
        <v>3839</v>
      </c>
      <c r="F673" s="78">
        <v>228</v>
      </c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</row>
    <row r="674" spans="1:19" hidden="1" x14ac:dyDescent="0.25">
      <c r="A674" t="s">
        <v>3754</v>
      </c>
      <c r="B674" s="68" t="str">
        <f>MID(PRESUPUESTO[[#This Row],[CUENTA]],1,4)</f>
        <v>E-22</v>
      </c>
      <c r="C674" s="68" t="str">
        <f>INDEX(CATALOGO[Descripción],MATCH(PRESUPUESTO[[#This Row],[APLICACIÓN]]&amp;"-00-00-00",CATALOGO[Código],0))</f>
        <v>CAPACITACIÓN AL PERSONAL</v>
      </c>
      <c r="D6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FCCS - Diplomado en Test Psicológicos en área clínica</v>
      </c>
      <c r="E674" t="s">
        <v>3755</v>
      </c>
      <c r="F674" s="78">
        <v>220</v>
      </c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</row>
    <row r="675" spans="1:19" hidden="1" x14ac:dyDescent="0.25">
      <c r="A675" t="s">
        <v>3613</v>
      </c>
      <c r="B675" s="68" t="str">
        <f>MID(PRESUPUESTO[[#This Row],[CUENTA]],1,4)</f>
        <v>E-17</v>
      </c>
      <c r="C675" s="68" t="str">
        <f>INDEX(CATALOGO[Descripción],MATCH(PRESUPUESTO[[#This Row],[APLICACIÓN]]&amp;"-00-00-00",CATALOGO[Código],0))</f>
        <v>MEDIOS DE COMUNICACIÓN</v>
      </c>
      <c r="D6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Estabilizador DJI Osmo - Centro de llamadas</v>
      </c>
      <c r="E675" t="s">
        <v>3614</v>
      </c>
      <c r="F675" s="78">
        <v>215</v>
      </c>
      <c r="S675" t="s">
        <v>3187</v>
      </c>
    </row>
    <row r="676" spans="1:19" hidden="1" x14ac:dyDescent="0.25">
      <c r="A676" t="s">
        <v>3337</v>
      </c>
      <c r="B676" s="68" t="str">
        <f>MID(PRESUPUESTO[[#This Row],[CUENTA]],1,4)</f>
        <v>E-08</v>
      </c>
      <c r="C676" s="68" t="str">
        <f>INDEX(CATALOGO[Descripción],MATCH(PRESUPUESTO[[#This Row],[APLICACIÓN]]&amp;"-00-00-00",CATALOGO[Código],0))</f>
        <v>INVERSIONES Y PROYECTOS ESPECIALES</v>
      </c>
      <c r="D6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Orientación vocacional</v>
      </c>
      <c r="E676" t="s">
        <v>3339</v>
      </c>
      <c r="F676" s="78">
        <v>200</v>
      </c>
    </row>
    <row r="677" spans="1:19" hidden="1" x14ac:dyDescent="0.25">
      <c r="A677" t="s">
        <v>3492</v>
      </c>
      <c r="B677" s="68" t="str">
        <f>MID(PRESUPUESTO[[#This Row],[CUENTA]],1,4)</f>
        <v>E-13</v>
      </c>
      <c r="C677" s="68" t="str">
        <f>INDEX(CATALOGO[Descripción],MATCH(PRESUPUESTO[[#This Row],[APLICACIÓN]]&amp;"-00-00-00",CATALOGO[Código],0))</f>
        <v>MAESTRIAS Y POSTGRADOS</v>
      </c>
      <c r="D6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Viaticos para asistir a eventos (alimentación)</v>
      </c>
      <c r="E677" t="s">
        <v>363</v>
      </c>
      <c r="F677" s="78">
        <v>200</v>
      </c>
      <c r="S677" t="s">
        <v>3187</v>
      </c>
    </row>
    <row r="678" spans="1:19" hidden="1" x14ac:dyDescent="0.25">
      <c r="A678" t="s">
        <v>3528</v>
      </c>
      <c r="B678" s="68" t="str">
        <f>MID(PRESUPUESTO[[#This Row],[CUENTA]],1,4)</f>
        <v>E-14</v>
      </c>
      <c r="C678" s="68" t="str">
        <f>INDEX(CATALOGO[Descripción],MATCH(PRESUPUESTO[[#This Row],[APLICACIÓN]]&amp;"-00-00-00",CATALOGO[Código],0))</f>
        <v>MATERIAL DIDÁCTICO</v>
      </c>
      <c r="D6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Televisión - 4 Kit de baterias Recargables AA</v>
      </c>
      <c r="E678" t="s">
        <v>3529</v>
      </c>
      <c r="F678" s="78">
        <v>200</v>
      </c>
      <c r="S678" t="s">
        <v>3187</v>
      </c>
    </row>
    <row r="679" spans="1:19" hidden="1" x14ac:dyDescent="0.25">
      <c r="A679" t="s">
        <v>3569</v>
      </c>
      <c r="B679" s="68" t="str">
        <f>MID(PRESUPUESTO[[#This Row],[CUENTA]],1,4)</f>
        <v>E-17</v>
      </c>
      <c r="C679" s="68" t="str">
        <f>INDEX(CATALOGO[Descripción],MATCH(PRESUPUESTO[[#This Row],[APLICACIÓN]]&amp;"-00-00-00",CATALOGO[Código],0))</f>
        <v>MEDIOS DE COMUNICACIÓN</v>
      </c>
      <c r="D6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Librerías de imágenes, música y proyectos ( Licencia Envato)</v>
      </c>
      <c r="E679" t="s">
        <v>3570</v>
      </c>
      <c r="F679" s="78">
        <v>200</v>
      </c>
      <c r="S679" t="s">
        <v>3187</v>
      </c>
    </row>
    <row r="680" spans="1:19" hidden="1" x14ac:dyDescent="0.25">
      <c r="A680" t="s">
        <v>1808</v>
      </c>
      <c r="B680" s="68" t="str">
        <f>MID(PRESUPUESTO[[#This Row],[CUENTA]],1,4)</f>
        <v>E-17</v>
      </c>
      <c r="C680" s="68" t="str">
        <f>INDEX(CATALOGO[Descripción],MATCH(PRESUPUESTO[[#This Row],[APLICACIÓN]]&amp;"-00-00-00",CATALOGO[Código],0))</f>
        <v>MEDIOS DE COMUNICACIÓN</v>
      </c>
      <c r="D6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Mantenimiento de vehículo - Estudio de TV</v>
      </c>
      <c r="E680" t="s">
        <v>3572</v>
      </c>
      <c r="F680" s="78">
        <v>200</v>
      </c>
      <c r="S680" t="s">
        <v>3187</v>
      </c>
    </row>
    <row r="681" spans="1:19" hidden="1" x14ac:dyDescent="0.25">
      <c r="A681" t="s">
        <v>3652</v>
      </c>
      <c r="B681" s="68" t="str">
        <f>MID(PRESUPUESTO[[#This Row],[CUENTA]],1,4)</f>
        <v>E-18</v>
      </c>
      <c r="C681" s="68" t="str">
        <f>INDEX(CATALOGO[Descripción],MATCH(PRESUPUESTO[[#This Row],[APLICACIÓN]]&amp;"-00-00-00",CATALOGO[Código],0))</f>
        <v>COMUNICACIÓN INSTITUCIONAL</v>
      </c>
      <c r="D6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Mantenimiento de carteleras</v>
      </c>
      <c r="E681" t="s">
        <v>3653</v>
      </c>
      <c r="F681" s="78">
        <v>200</v>
      </c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</row>
    <row r="682" spans="1:19" hidden="1" x14ac:dyDescent="0.25">
      <c r="A682" t="s">
        <v>2697</v>
      </c>
      <c r="B682" s="68" t="str">
        <f>MID(PRESUPUESTO[[#This Row],[CUENTA]],1,4)</f>
        <v>E-21</v>
      </c>
      <c r="C682" s="68" t="str">
        <f>INDEX(CATALOGO[Descripción],MATCH(PRESUPUESTO[[#This Row],[APLICACIÓN]]&amp;"-00-00-00",CATALOGO[Código],0))</f>
        <v>CENTRO DE FORMACION PROFESIONAL y EXT U</v>
      </c>
      <c r="D6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POSTGRADO CAMPUS VIRTUAL</v>
      </c>
      <c r="E682" t="s">
        <v>3697</v>
      </c>
      <c r="F682" s="78">
        <v>200</v>
      </c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</row>
    <row r="683" spans="1:19" hidden="1" x14ac:dyDescent="0.25">
      <c r="A683" t="s">
        <v>3924</v>
      </c>
      <c r="B683" s="68" t="str">
        <f>MID(PRESUPUESTO[[#This Row],[CUENTA]],1,4)</f>
        <v>E-26</v>
      </c>
      <c r="C683" s="68" t="str">
        <f>INDEX(CATALOGO[Descripción],MATCH(PRESUPUESTO[[#This Row],[APLICACIÓN]]&amp;"-00-00-00",CATALOGO[Código],0))</f>
        <v>EVENTOS ACADEMICOS, CULTURALES  E INSTITUCIONALES</v>
      </c>
      <c r="D68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Bocas para evento</v>
      </c>
      <c r="E683" t="s">
        <v>3925</v>
      </c>
      <c r="F683" s="78">
        <v>200</v>
      </c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</row>
    <row r="684" spans="1:19" hidden="1" x14ac:dyDescent="0.25">
      <c r="A684" t="s">
        <v>3926</v>
      </c>
      <c r="B684" s="68" t="str">
        <f>MID(PRESUPUESTO[[#This Row],[CUENTA]],1,4)</f>
        <v>E-26</v>
      </c>
      <c r="C684" s="68" t="str">
        <f>INDEX(CATALOGO[Descripción],MATCH(PRESUPUESTO[[#This Row],[APLICACIÓN]]&amp;"-00-00-00",CATALOGO[Código],0))</f>
        <v>EVENTOS ACADEMICOS, CULTURALES  E INSTITUCIONALES</v>
      </c>
      <c r="D68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Viaticos personal organizador</v>
      </c>
      <c r="E684" t="s">
        <v>3927</v>
      </c>
      <c r="F684" s="78">
        <v>200</v>
      </c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</row>
    <row r="685" spans="1:19" hidden="1" x14ac:dyDescent="0.25">
      <c r="A685" t="s">
        <v>3978</v>
      </c>
      <c r="B685" s="68" t="str">
        <f>MID(PRESUPUESTO[[#This Row],[CUENTA]],1,4)</f>
        <v>E-28</v>
      </c>
      <c r="C685" s="68" t="str">
        <f>INDEX(CATALOGO[Descripción],MATCH(PRESUPUESTO[[#This Row],[APLICACIÓN]]&amp;"-00-00-00",CATALOGO[Código],0))</f>
        <v>INSTITUTO DE GRADUADOS</v>
      </c>
      <c r="D68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Papelería, utiles y fotocopias</v>
      </c>
      <c r="E685" t="s">
        <v>886</v>
      </c>
      <c r="F685" s="78">
        <v>200</v>
      </c>
      <c r="S685" t="s">
        <v>3187</v>
      </c>
    </row>
    <row r="686" spans="1:19" hidden="1" x14ac:dyDescent="0.25">
      <c r="A686" t="s">
        <v>3996</v>
      </c>
      <c r="B686" s="68" t="str">
        <f>MID(PRESUPUESTO[[#This Row],[CUENTA]],1,4)</f>
        <v>E-31</v>
      </c>
      <c r="C686" s="68" t="str">
        <f>INDEX(CATALOGO[Descripción],MATCH(PRESUPUESTO[[#This Row],[APLICACIÓN]]&amp;"-00-00-00",CATALOGO[Código],0))</f>
        <v>DONACIONES</v>
      </c>
      <c r="D68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Cruz Verde Salvadoreña</v>
      </c>
      <c r="E686" t="s">
        <v>930</v>
      </c>
      <c r="F686" s="78">
        <v>200</v>
      </c>
      <c r="S686" t="s">
        <v>3187</v>
      </c>
    </row>
    <row r="687" spans="1:19" hidden="1" x14ac:dyDescent="0.25">
      <c r="A687" t="s">
        <v>3775</v>
      </c>
      <c r="B687" s="68" t="str">
        <f>MID(PRESUPUESTO[[#This Row],[CUENTA]],1,4)</f>
        <v>E-22</v>
      </c>
      <c r="C687" s="68" t="str">
        <f>INDEX(CATALOGO[Descripción],MATCH(PRESUPUESTO[[#This Row],[APLICACIÓN]]&amp;"-00-00-00",CATALOGO[Código],0))</f>
        <v>CAPACITACIÓN AL PERSONAL</v>
      </c>
      <c r="D68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Norma Díaz, proceso de Maestría</v>
      </c>
      <c r="E687" t="s">
        <v>685</v>
      </c>
      <c r="F687" s="78">
        <v>180</v>
      </c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</row>
    <row r="688" spans="1:19" hidden="1" x14ac:dyDescent="0.25">
      <c r="A688" t="s">
        <v>3621</v>
      </c>
      <c r="B688" s="68" t="str">
        <f>MID(PRESUPUESTO[[#This Row],[CUENTA]],1,4)</f>
        <v>E-18</v>
      </c>
      <c r="C688" s="68" t="str">
        <f>INDEX(CATALOGO[Descripción],MATCH(PRESUPUESTO[[#This Row],[APLICACIÓN]]&amp;"-00-00-00",CATALOGO[Código],0))</f>
        <v>COMUNICACIÓN INSTITUCIONAL</v>
      </c>
      <c r="D68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Sitio web y redes sociales - Suscripción periódicos locales LPG</v>
      </c>
      <c r="E688" t="s">
        <v>3622</v>
      </c>
      <c r="F688" s="78">
        <v>175</v>
      </c>
      <c r="S688" t="s">
        <v>3187</v>
      </c>
    </row>
    <row r="689" spans="1:19" hidden="1" x14ac:dyDescent="0.25">
      <c r="A689" t="s">
        <v>3623</v>
      </c>
      <c r="B689" s="68" t="str">
        <f>MID(PRESUPUESTO[[#This Row],[CUENTA]],1,4)</f>
        <v>E-18</v>
      </c>
      <c r="C689" s="68" t="str">
        <f>INDEX(CATALOGO[Descripción],MATCH(PRESUPUESTO[[#This Row],[APLICACIÓN]]&amp;"-00-00-00",CATALOGO[Código],0))</f>
        <v>COMUNICACIÓN INSTITUCIONAL</v>
      </c>
      <c r="D68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Sitio web y redes sociales - Suscripción periódicos locales EDH</v>
      </c>
      <c r="E689" t="s">
        <v>3624</v>
      </c>
      <c r="F689" s="78">
        <v>175</v>
      </c>
      <c r="S689" t="s">
        <v>3187</v>
      </c>
    </row>
    <row r="690" spans="1:19" hidden="1" x14ac:dyDescent="0.25">
      <c r="A690" t="s">
        <v>3934</v>
      </c>
      <c r="B690" s="68" t="str">
        <f>MID(PRESUPUESTO[[#This Row],[CUENTA]],1,4)</f>
        <v>E-26</v>
      </c>
      <c r="C690" s="68" t="str">
        <f>INDEX(CATALOGO[Descripción],MATCH(PRESUPUESTO[[#This Row],[APLICACIÓN]]&amp;"-00-00-00",CATALOGO[Código],0))</f>
        <v>EVENTOS ACADEMICOS, CULTURALES  E INSTITUCIONALES</v>
      </c>
      <c r="D69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reuniones con docentes  - FCCJ</v>
      </c>
      <c r="E690" t="s">
        <v>3312</v>
      </c>
      <c r="F690" s="78">
        <v>175</v>
      </c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</row>
    <row r="691" spans="1:19" hidden="1" x14ac:dyDescent="0.25">
      <c r="A691" t="s">
        <v>3939</v>
      </c>
      <c r="B691" s="68" t="str">
        <f>MID(PRESUPUESTO[[#This Row],[CUENTA]],1,4)</f>
        <v>E-26</v>
      </c>
      <c r="C691" s="68" t="str">
        <f>INDEX(CATALOGO[Descripción],MATCH(PRESUPUESTO[[#This Row],[APLICACIÓN]]&amp;"-00-00-00",CATALOGO[Código],0))</f>
        <v>EVENTOS ACADEMICOS, CULTURALES  E INSTITUCIONALES</v>
      </c>
      <c r="D69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Reunión Comité Estudiantil- FCCJ</v>
      </c>
      <c r="E691" t="s">
        <v>3312</v>
      </c>
      <c r="F691" s="78">
        <v>175</v>
      </c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</row>
    <row r="692" spans="1:19" hidden="1" x14ac:dyDescent="0.25">
      <c r="A692" t="s">
        <v>3405</v>
      </c>
      <c r="B692" s="68" t="str">
        <f>MID(PRESUPUESTO[[#This Row],[CUENTA]],1,4)</f>
        <v>E-12</v>
      </c>
      <c r="C692" s="68" t="str">
        <f>INDEX(CATALOGO[Descripción],MATCH(PRESUPUESTO[[#This Row],[APLICACIÓN]]&amp;"-00-00-00",CATALOGO[Código],0))</f>
        <v>PROYECCION SOCIAL</v>
      </c>
      <c r="D69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Herramienta Zoom</v>
      </c>
      <c r="E692" t="s">
        <v>282</v>
      </c>
      <c r="F692" s="78">
        <v>170</v>
      </c>
      <c r="S692" t="s">
        <v>3187</v>
      </c>
    </row>
    <row r="693" spans="1:19" hidden="1" x14ac:dyDescent="0.25">
      <c r="A693" t="s">
        <v>3861</v>
      </c>
      <c r="B693" s="68" t="str">
        <f>MID(PRESUPUESTO[[#This Row],[CUENTA]],1,4)</f>
        <v>E-24</v>
      </c>
      <c r="C693" s="68" t="str">
        <f>INDEX(CATALOGO[Descripción],MATCH(PRESUPUESTO[[#This Row],[APLICACIÓN]]&amp;"-00-00-00",CATALOGO[Código],0))</f>
        <v>NUEVO INGRESO</v>
      </c>
      <c r="D69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Imptos municipales $ 14 X 12</v>
      </c>
      <c r="E693" t="s">
        <v>3862</v>
      </c>
      <c r="F693" s="78">
        <v>168</v>
      </c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</row>
    <row r="694" spans="1:19" hidden="1" x14ac:dyDescent="0.25">
      <c r="A694" t="s">
        <v>3350</v>
      </c>
      <c r="B694" s="68" t="str">
        <f>MID(PRESUPUESTO[[#This Row],[CUENTA]],1,4)</f>
        <v>E-08</v>
      </c>
      <c r="C694" s="68" t="str">
        <f>INDEX(CATALOGO[Descripción],MATCH(PRESUPUESTO[[#This Row],[APLICACIÓN]]&amp;"-00-00-00",CATALOGO[Código],0))</f>
        <v>INVERSIONES Y PROYECTOS ESPECIALES</v>
      </c>
      <c r="D69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694" t="s">
        <v>3352</v>
      </c>
      <c r="F694" s="78">
        <v>160</v>
      </c>
    </row>
    <row r="695" spans="1:19" hidden="1" x14ac:dyDescent="0.25">
      <c r="A695" t="s">
        <v>3599</v>
      </c>
      <c r="B695" s="68" t="str">
        <f>MID(PRESUPUESTO[[#This Row],[CUENTA]],1,4)</f>
        <v>E-17</v>
      </c>
      <c r="C695" s="68" t="str">
        <f>INDEX(CATALOGO[Descripción],MATCH(PRESUPUESTO[[#This Row],[APLICACIÓN]]&amp;"-00-00-00",CATALOGO[Código],0))</f>
        <v>MEDIOS DE COMUNICACIÓN</v>
      </c>
      <c r="D69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Estudio de TV - 1 Memoria para cámara profesional </v>
      </c>
      <c r="E695" t="s">
        <v>3600</v>
      </c>
      <c r="F695" s="78">
        <v>151.99</v>
      </c>
      <c r="S695" t="s">
        <v>3187</v>
      </c>
    </row>
    <row r="696" spans="1:19" hidden="1" x14ac:dyDescent="0.25">
      <c r="A696" t="s">
        <v>3546</v>
      </c>
      <c r="B696" s="68" t="str">
        <f>MID(PRESUPUESTO[[#This Row],[CUENTA]],1,4)</f>
        <v>E-14</v>
      </c>
      <c r="C696" s="68" t="str">
        <f>INDEX(CATALOGO[Descripción],MATCH(PRESUPUESTO[[#This Row],[APLICACIÓN]]&amp;"-00-00-00",CATALOGO[Código],0))</f>
        <v>MATERIAL DIDÁCTICO</v>
      </c>
      <c r="D69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Fotografía - 5 Focos luz led blanca de 80 watts para equipo de luz continua</v>
      </c>
      <c r="E696" t="s">
        <v>3547</v>
      </c>
      <c r="F696" s="78">
        <v>150</v>
      </c>
      <c r="S696" t="s">
        <v>3187</v>
      </c>
    </row>
    <row r="697" spans="1:19" hidden="1" x14ac:dyDescent="0.25">
      <c r="A697" t="s">
        <v>1410</v>
      </c>
      <c r="B697" s="68" t="str">
        <f>MID(PRESUPUESTO[[#This Row],[CUENTA]],1,4)</f>
        <v>E-22</v>
      </c>
      <c r="C697" s="68" t="str">
        <f>INDEX(CATALOGO[Descripción],MATCH(PRESUPUESTO[[#This Row],[APLICACIÓN]]&amp;"-00-00-00",CATALOGO[Código],0))</f>
        <v>CAPACITACIÓN AL PERSONAL</v>
      </c>
      <c r="D69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MAE - Maestría: Adriana Baires</v>
      </c>
      <c r="E697" t="s">
        <v>3760</v>
      </c>
      <c r="F697" s="78">
        <v>150</v>
      </c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</row>
    <row r="698" spans="1:19" hidden="1" x14ac:dyDescent="0.25">
      <c r="A698" t="s">
        <v>3930</v>
      </c>
      <c r="B698" s="68" t="str">
        <f>MID(PRESUPUESTO[[#This Row],[CUENTA]],1,4)</f>
        <v>E-26</v>
      </c>
      <c r="C698" s="68" t="str">
        <f>INDEX(CATALOGO[Descripción],MATCH(PRESUPUESTO[[#This Row],[APLICACIÓN]]&amp;"-00-00-00",CATALOGO[Código],0))</f>
        <v>EVENTOS ACADEMICOS, CULTURALES  E INSTITUCIONALES</v>
      </c>
      <c r="D69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reuniones con docentes  - FACE</v>
      </c>
      <c r="E698" t="s">
        <v>3309</v>
      </c>
      <c r="F698" s="78">
        <v>150</v>
      </c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</row>
    <row r="699" spans="1:19" hidden="1" x14ac:dyDescent="0.25">
      <c r="A699" t="s">
        <v>3936</v>
      </c>
      <c r="B699" s="68" t="str">
        <f>MID(PRESUPUESTO[[#This Row],[CUENTA]],1,4)</f>
        <v>E-26</v>
      </c>
      <c r="C699" s="68" t="str">
        <f>INDEX(CATALOGO[Descripción],MATCH(PRESUPUESTO[[#This Row],[APLICACIÓN]]&amp;"-00-00-00",CATALOGO[Código],0))</f>
        <v>EVENTOS ACADEMICOS, CULTURALES  E INSTITUCIONALES</v>
      </c>
      <c r="D69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Reunión Comité Estudiantil- FACE</v>
      </c>
      <c r="E699" t="s">
        <v>3309</v>
      </c>
      <c r="F699" s="78">
        <v>150</v>
      </c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</row>
    <row r="700" spans="1:19" hidden="1" x14ac:dyDescent="0.25">
      <c r="A700" t="s">
        <v>3986</v>
      </c>
      <c r="B700" s="68" t="str">
        <f>MID(PRESUPUESTO[[#This Row],[CUENTA]],1,4)</f>
        <v>E-29</v>
      </c>
      <c r="C700" s="68" t="str">
        <f>INDEX(CATALOGO[Descripción],MATCH(PRESUPUESTO[[#This Row],[APLICACIÓN]]&amp;"-00-00-00",CATALOGO[Código],0))</f>
        <v xml:space="preserve">BIBLIOTECA </v>
      </c>
      <c r="D70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Diario oficial</v>
      </c>
      <c r="E700" t="s">
        <v>907</v>
      </c>
      <c r="F700" s="78">
        <v>150</v>
      </c>
      <c r="S700" t="s">
        <v>3187</v>
      </c>
    </row>
    <row r="701" spans="1:19" hidden="1" x14ac:dyDescent="0.25">
      <c r="A701" t="s">
        <v>1849</v>
      </c>
      <c r="B701" s="68" t="str">
        <f>MID(PRESUPUESTO[[#This Row],[CUENTA]],1,4)</f>
        <v>E-32</v>
      </c>
      <c r="C701" s="68" t="str">
        <f>INDEX(CATALOGO[Descripción],MATCH(PRESUPUESTO[[#This Row],[APLICACIÓN]]&amp;"-00-00-00",CATALOGO[Código],0))</f>
        <v>RELACIONES INTERNACIONALES</v>
      </c>
      <c r="D70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Herramienta Dropbok</v>
      </c>
      <c r="E701" t="s">
        <v>4000</v>
      </c>
      <c r="F701" s="78">
        <v>150</v>
      </c>
      <c r="S701" t="s">
        <v>3187</v>
      </c>
    </row>
    <row r="702" spans="1:19" hidden="1" x14ac:dyDescent="0.25">
      <c r="A702" t="s">
        <v>3650</v>
      </c>
      <c r="B702" s="68" t="str">
        <f>MID(PRESUPUESTO[[#This Row],[CUENTA]],1,4)</f>
        <v>E-18</v>
      </c>
      <c r="C702" s="68" t="str">
        <f>INDEX(CATALOGO[Descripción],MATCH(PRESUPUESTO[[#This Row],[APLICACIÓN]]&amp;"-00-00-00",CATALOGO[Código],0))</f>
        <v>COMUNICACIÓN INSTITUCIONAL</v>
      </c>
      <c r="D70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Suscripción CANVA PRO (Aumentar a 5 usuarios)</v>
      </c>
      <c r="E702" t="s">
        <v>3651</v>
      </c>
      <c r="F702" s="78">
        <v>130</v>
      </c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</row>
    <row r="703" spans="1:19" hidden="1" x14ac:dyDescent="0.25">
      <c r="A703" t="s">
        <v>3350</v>
      </c>
      <c r="B703" s="68" t="str">
        <f>MID(PRESUPUESTO[[#This Row],[CUENTA]],1,4)</f>
        <v>E-08</v>
      </c>
      <c r="C703" s="68" t="str">
        <f>INDEX(CATALOGO[Descripción],MATCH(PRESUPUESTO[[#This Row],[APLICACIÓN]]&amp;"-00-00-00",CATALOGO[Código],0))</f>
        <v>INVERSIONES Y PROYECTOS ESPECIALES</v>
      </c>
      <c r="D70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703" t="s">
        <v>3357</v>
      </c>
      <c r="F703" s="78">
        <v>120</v>
      </c>
    </row>
    <row r="704" spans="1:19" hidden="1" x14ac:dyDescent="0.25">
      <c r="A704" t="s">
        <v>1413</v>
      </c>
      <c r="B704" s="68" t="str">
        <f>MID(PRESUPUESTO[[#This Row],[CUENTA]],1,4)</f>
        <v>E-24</v>
      </c>
      <c r="C704" s="68" t="str">
        <f>INDEX(CATALOGO[Descripción],MATCH(PRESUPUESTO[[#This Row],[APLICACIÓN]]&amp;"-00-00-00",CATALOGO[Código],0))</f>
        <v>NUEVO INGRESO</v>
      </c>
      <c r="D70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Plaza Mundo - Servicio de agua $ 10.00</v>
      </c>
      <c r="E704" t="s">
        <v>3859</v>
      </c>
      <c r="F704" s="78">
        <v>120</v>
      </c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</row>
    <row r="705" spans="1:19" hidden="1" x14ac:dyDescent="0.25">
      <c r="A705" t="s">
        <v>3878</v>
      </c>
      <c r="B705" s="68" t="str">
        <f>MID(PRESUPUESTO[[#This Row],[CUENTA]],1,4)</f>
        <v>E-25</v>
      </c>
      <c r="C705" s="68" t="str">
        <f>INDEX(CATALOGO[Descripción],MATCH(PRESUPUESTO[[#This Row],[APLICACIÓN]]&amp;"-00-00-00",CATALOGO[Código],0))</f>
        <v>DECANATO DE ESTUDIANTES</v>
      </c>
      <c r="D70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PASANTIAS- REUNIONES CON COORDINADORES</v>
      </c>
      <c r="E705" t="s">
        <v>3879</v>
      </c>
      <c r="F705" s="78">
        <v>120</v>
      </c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</row>
    <row r="706" spans="1:19" hidden="1" x14ac:dyDescent="0.25">
      <c r="A706" t="s">
        <v>3799</v>
      </c>
      <c r="B706" s="68" t="str">
        <f>MID(PRESUPUESTO[[#This Row],[CUENTA]],1,4)</f>
        <v>E-24</v>
      </c>
      <c r="C706" s="68" t="str">
        <f>INDEX(CATALOGO[Descripción],MATCH(PRESUPUESTO[[#This Row],[APLICACIÓN]]&amp;"-00-00-00",CATALOGO[Código],0))</f>
        <v>NUEVO INGRESO</v>
      </c>
      <c r="D70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LICENCIAS FEEPICK</v>
      </c>
      <c r="E706" t="s">
        <v>3800</v>
      </c>
      <c r="F706" s="78">
        <v>110</v>
      </c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</row>
    <row r="707" spans="1:19" hidden="1" x14ac:dyDescent="0.25">
      <c r="A707" t="s">
        <v>3337</v>
      </c>
      <c r="B707" s="68" t="str">
        <f>MID(PRESUPUESTO[[#This Row],[CUENTA]],1,4)</f>
        <v>E-08</v>
      </c>
      <c r="C707" s="68" t="str">
        <f>INDEX(CATALOGO[Descripción],MATCH(PRESUPUESTO[[#This Row],[APLICACIÓN]]&amp;"-00-00-00",CATALOGO[Código],0))</f>
        <v>INVERSIONES Y PROYECTOS ESPECIALES</v>
      </c>
      <c r="D70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Orientación vocacional</v>
      </c>
      <c r="E707" t="s">
        <v>3340</v>
      </c>
      <c r="F707" s="78">
        <v>100</v>
      </c>
    </row>
    <row r="708" spans="1:19" hidden="1" x14ac:dyDescent="0.25">
      <c r="A708" t="s">
        <v>3341</v>
      </c>
      <c r="B708" s="68" t="str">
        <f>MID(PRESUPUESTO[[#This Row],[CUENTA]],1,4)</f>
        <v>E-08</v>
      </c>
      <c r="C708" s="68" t="str">
        <f>INDEX(CATALOGO[Descripción],MATCH(PRESUPUESTO[[#This Row],[APLICACIÓN]]&amp;"-00-00-00",CATALOGO[Código],0))</f>
        <v>INVERSIONES Y PROYECTOS ESPECIALES</v>
      </c>
      <c r="D70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708" t="s">
        <v>3347</v>
      </c>
      <c r="F708" s="78">
        <v>100</v>
      </c>
    </row>
    <row r="709" spans="1:19" hidden="1" x14ac:dyDescent="0.25">
      <c r="A709" t="s">
        <v>3350</v>
      </c>
      <c r="B709" s="68" t="str">
        <f>MID(PRESUPUESTO[[#This Row],[CUENTA]],1,4)</f>
        <v>E-08</v>
      </c>
      <c r="C709" s="68" t="str">
        <f>INDEX(CATALOGO[Descripción],MATCH(PRESUPUESTO[[#This Row],[APLICACIÓN]]&amp;"-00-00-00",CATALOGO[Código],0))</f>
        <v>INVERSIONES Y PROYECTOS ESPECIALES</v>
      </c>
      <c r="D70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709" t="s">
        <v>3358</v>
      </c>
      <c r="F709" s="78">
        <v>100</v>
      </c>
    </row>
    <row r="710" spans="1:19" hidden="1" x14ac:dyDescent="0.25">
      <c r="A710" t="s">
        <v>3350</v>
      </c>
      <c r="B710" s="68" t="str">
        <f>MID(PRESUPUESTO[[#This Row],[CUENTA]],1,4)</f>
        <v>E-08</v>
      </c>
      <c r="C710" s="68" t="str">
        <f>INDEX(CATALOGO[Descripción],MATCH(PRESUPUESTO[[#This Row],[APLICACIÓN]]&amp;"-00-00-00",CATALOGO[Código],0))</f>
        <v>INVERSIONES Y PROYECTOS ESPECIALES</v>
      </c>
      <c r="D71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710" t="s">
        <v>3359</v>
      </c>
      <c r="F710" s="78">
        <v>100</v>
      </c>
    </row>
    <row r="711" spans="1:19" hidden="1" x14ac:dyDescent="0.25">
      <c r="A711" t="s">
        <v>1688</v>
      </c>
      <c r="B711" s="68" t="str">
        <f>MID(PRESUPUESTO[[#This Row],[CUENTA]],1,4)</f>
        <v>E-13</v>
      </c>
      <c r="C711" s="68" t="str">
        <f>INDEX(CATALOGO[Descripción],MATCH(PRESUPUESTO[[#This Row],[APLICACIÓN]]&amp;"-00-00-00",CATALOGO[Código],0))</f>
        <v>MAESTRIAS Y POSTGRADOS</v>
      </c>
      <c r="D71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Papelería (Folders y Fastener)</v>
      </c>
      <c r="E711" t="s">
        <v>360</v>
      </c>
      <c r="F711" s="78">
        <v>100</v>
      </c>
      <c r="S711" t="s">
        <v>3187</v>
      </c>
    </row>
    <row r="712" spans="1:19" hidden="1" x14ac:dyDescent="0.25">
      <c r="A712" t="s">
        <v>3706</v>
      </c>
      <c r="B712" s="68" t="str">
        <f>MID(PRESUPUESTO[[#This Row],[CUENTA]],1,4)</f>
        <v>E-21</v>
      </c>
      <c r="C712" s="68" t="str">
        <f>INDEX(CATALOGO[Descripción],MATCH(PRESUPUESTO[[#This Row],[APLICACIÓN]]&amp;"-00-00-00",CATALOGO[Código],0))</f>
        <v>CENTRO DE FORMACION PROFESIONAL y EXT U</v>
      </c>
      <c r="D71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Diplomados FICA - Insumos Diplomados y Refrigerios</v>
      </c>
      <c r="E712" t="s">
        <v>3707</v>
      </c>
      <c r="F712" s="78">
        <v>100</v>
      </c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</row>
    <row r="713" spans="1:19" hidden="1" x14ac:dyDescent="0.25">
      <c r="A713" t="s">
        <v>1692</v>
      </c>
      <c r="B713" s="68" t="str">
        <f>MID(PRESUPUESTO[[#This Row],[CUENTA]],1,4)</f>
        <v>E-21</v>
      </c>
      <c r="C713" s="68" t="str">
        <f>INDEX(CATALOGO[Descripción],MATCH(PRESUPUESTO[[#This Row],[APLICACIÓN]]&amp;"-00-00-00",CATALOGO[Código],0))</f>
        <v>CENTRO DE FORMACION PROFESIONAL y EXT U</v>
      </c>
      <c r="D71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Seminario FCCE - Insumos Seminarios y refrigerios (Canvas)</v>
      </c>
      <c r="E713" t="s">
        <v>3716</v>
      </c>
      <c r="F713" s="78">
        <v>100</v>
      </c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</row>
    <row r="714" spans="1:19" hidden="1" x14ac:dyDescent="0.25">
      <c r="A714" t="s">
        <v>1243</v>
      </c>
      <c r="B714" s="68" t="str">
        <f>MID(PRESUPUESTO[[#This Row],[CUENTA]],1,4)</f>
        <v>E-24</v>
      </c>
      <c r="C714" s="68" t="str">
        <f>INDEX(CATALOGO[Descripción],MATCH(PRESUPUESTO[[#This Row],[APLICACIÓN]]&amp;"-00-00-00",CATALOGO[Código],0))</f>
        <v>NUEVO INGRESO</v>
      </c>
      <c r="D71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Plaza Mundo - Insumos de oficina- agua cristal $ 44.00 </v>
      </c>
      <c r="E714" t="s">
        <v>3866</v>
      </c>
      <c r="F714" s="78">
        <v>100</v>
      </c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</row>
    <row r="715" spans="1:19" hidden="1" x14ac:dyDescent="0.25">
      <c r="A715" t="s">
        <v>3922</v>
      </c>
      <c r="B715" s="68" t="str">
        <f>MID(PRESUPUESTO[[#This Row],[CUENTA]],1,4)</f>
        <v>E-26</v>
      </c>
      <c r="C715" s="68" t="str">
        <f>INDEX(CATALOGO[Descripción],MATCH(PRESUPUESTO[[#This Row],[APLICACIÓN]]&amp;"-00-00-00",CATALOGO[Código],0))</f>
        <v>EVENTOS ACADEMICOS, CULTURALES  E INSTITUCIONALES</v>
      </c>
      <c r="D71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celebracion dia del maestro- Papelería</v>
      </c>
      <c r="E715" t="s">
        <v>3923</v>
      </c>
      <c r="F715" s="78">
        <v>100</v>
      </c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</row>
    <row r="716" spans="1:19" hidden="1" x14ac:dyDescent="0.25">
      <c r="A716" t="s">
        <v>3998</v>
      </c>
      <c r="B716" s="68" t="str">
        <f>MID(PRESUPUESTO[[#This Row],[CUENTA]],1,4)</f>
        <v>E-31</v>
      </c>
      <c r="C716" s="68" t="str">
        <f>INDEX(CATALOGO[Descripción],MATCH(PRESUPUESTO[[#This Row],[APLICACIÓN]]&amp;"-00-00-00",CATALOGO[Código],0))</f>
        <v>DONACIONES</v>
      </c>
      <c r="D71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 Arte</v>
      </c>
      <c r="E716" t="s">
        <v>932</v>
      </c>
      <c r="F716" s="78">
        <v>100</v>
      </c>
      <c r="S716" t="s">
        <v>3187</v>
      </c>
    </row>
    <row r="717" spans="1:19" hidden="1" x14ac:dyDescent="0.25">
      <c r="A717" t="s">
        <v>3534</v>
      </c>
      <c r="B717" s="68" t="str">
        <f>MID(PRESUPUESTO[[#This Row],[CUENTA]],1,4)</f>
        <v>E-14</v>
      </c>
      <c r="C717" s="68" t="str">
        <f>INDEX(CATALOGO[Descripción],MATCH(PRESUPUESTO[[#This Row],[APLICACIÓN]]&amp;"-00-00-00",CATALOGO[Código],0))</f>
        <v>MATERIAL DIDÁCTICO</v>
      </c>
      <c r="D71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Televisión - 8 Baterias Alkalina Triple AAA</v>
      </c>
      <c r="E717" t="s">
        <v>3535</v>
      </c>
      <c r="F717" s="78">
        <v>90</v>
      </c>
      <c r="S717" t="s">
        <v>3187</v>
      </c>
    </row>
    <row r="718" spans="1:19" hidden="1" x14ac:dyDescent="0.25">
      <c r="A718" t="s">
        <v>3341</v>
      </c>
      <c r="B718" s="68" t="str">
        <f>MID(PRESUPUESTO[[#This Row],[CUENTA]],1,4)</f>
        <v>E-08</v>
      </c>
      <c r="C718" s="68" t="str">
        <f>INDEX(CATALOGO[Descripción],MATCH(PRESUPUESTO[[#This Row],[APLICACIÓN]]&amp;"-00-00-00",CATALOGO[Código],0))</f>
        <v>INVERSIONES Y PROYECTOS ESPECIALES</v>
      </c>
      <c r="D71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718" t="s">
        <v>3345</v>
      </c>
      <c r="F718" s="78">
        <v>75</v>
      </c>
    </row>
    <row r="719" spans="1:19" hidden="1" x14ac:dyDescent="0.25">
      <c r="A719" t="s">
        <v>3341</v>
      </c>
      <c r="B719" s="68" t="str">
        <f>MID(PRESUPUESTO[[#This Row],[CUENTA]],1,4)</f>
        <v>E-08</v>
      </c>
      <c r="C719" s="68" t="str">
        <f>INDEX(CATALOGO[Descripción],MATCH(PRESUPUESTO[[#This Row],[APLICACIÓN]]&amp;"-00-00-00",CATALOGO[Código],0))</f>
        <v>INVERSIONES Y PROYECTOS ESPECIALES</v>
      </c>
      <c r="D71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Clínicas Psicológicas</v>
      </c>
      <c r="E719" t="s">
        <v>3346</v>
      </c>
      <c r="F719" s="78">
        <v>75</v>
      </c>
    </row>
    <row r="720" spans="1:19" hidden="1" x14ac:dyDescent="0.25">
      <c r="A720" t="s">
        <v>3350</v>
      </c>
      <c r="B720" s="68" t="str">
        <f>MID(PRESUPUESTO[[#This Row],[CUENTA]],1,4)</f>
        <v>E-08</v>
      </c>
      <c r="C720" s="68" t="str">
        <f>INDEX(CATALOGO[Descripción],MATCH(PRESUPUESTO[[#This Row],[APLICACIÓN]]&amp;"-00-00-00",CATALOGO[Código],0))</f>
        <v>INVERSIONES Y PROYECTOS ESPECIALES</v>
      </c>
      <c r="D72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720" t="s">
        <v>3355</v>
      </c>
      <c r="F720" s="78">
        <v>75</v>
      </c>
    </row>
    <row r="721" spans="1:19" hidden="1" x14ac:dyDescent="0.25">
      <c r="A721" t="s">
        <v>3530</v>
      </c>
      <c r="B721" s="68" t="str">
        <f>MID(PRESUPUESTO[[#This Row],[CUENTA]],1,4)</f>
        <v>E-14</v>
      </c>
      <c r="C721" s="68" t="str">
        <f>INDEX(CATALOGO[Descripción],MATCH(PRESUPUESTO[[#This Row],[APLICACIÓN]]&amp;"-00-00-00",CATALOGO[Código],0))</f>
        <v>MATERIAL DIDÁCTICO</v>
      </c>
      <c r="D72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Televisión - 8 Baterias Alkalina Doble AA</v>
      </c>
      <c r="E721" t="s">
        <v>3531</v>
      </c>
      <c r="F721" s="78">
        <v>75</v>
      </c>
      <c r="S721" t="s">
        <v>3187</v>
      </c>
    </row>
    <row r="722" spans="1:19" hidden="1" x14ac:dyDescent="0.25">
      <c r="A722" t="s">
        <v>3536</v>
      </c>
      <c r="B722" s="68" t="str">
        <f>MID(PRESUPUESTO[[#This Row],[CUENTA]],1,4)</f>
        <v>E-14</v>
      </c>
      <c r="C722" s="68" t="str">
        <f>INDEX(CATALOGO[Descripción],MATCH(PRESUPUESTO[[#This Row],[APLICACIÓN]]&amp;"-00-00-00",CATALOGO[Código],0))</f>
        <v>MATERIAL DIDÁCTICO</v>
      </c>
      <c r="D72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Fotografía - 2 Kit de baterías AA recargables</v>
      </c>
      <c r="E722" t="s">
        <v>3537</v>
      </c>
      <c r="F722" s="78">
        <v>60</v>
      </c>
      <c r="S722" t="s">
        <v>3187</v>
      </c>
    </row>
    <row r="723" spans="1:19" hidden="1" x14ac:dyDescent="0.25">
      <c r="A723" t="s">
        <v>1737</v>
      </c>
      <c r="B723" s="68" t="str">
        <f>MID(PRESUPUESTO[[#This Row],[CUENTA]],1,4)</f>
        <v>E-30</v>
      </c>
      <c r="C723" s="68" t="str">
        <f>INDEX(CATALOGO[Descripción],MATCH(PRESUPUESTO[[#This Row],[APLICACIÓN]]&amp;"-00-00-00",CATALOGO[Código],0))</f>
        <v>MEMBRESIAS Y SUSCRIPCIONES</v>
      </c>
      <c r="D72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Apdo Postal</v>
      </c>
      <c r="E723" t="s">
        <v>918</v>
      </c>
      <c r="F723" s="78">
        <v>60</v>
      </c>
      <c r="S723" t="s">
        <v>3187</v>
      </c>
    </row>
    <row r="724" spans="1:19" hidden="1" x14ac:dyDescent="0.25">
      <c r="A724" t="s">
        <v>3532</v>
      </c>
      <c r="B724" s="68" t="str">
        <f>MID(PRESUPUESTO[[#This Row],[CUENTA]],1,4)</f>
        <v>E-14</v>
      </c>
      <c r="C724" s="68" t="str">
        <f>INDEX(CATALOGO[Descripción],MATCH(PRESUPUESTO[[#This Row],[APLICACIÓN]]&amp;"-00-00-00",CATALOGO[Código],0))</f>
        <v>MATERIAL DIDÁCTICO</v>
      </c>
      <c r="D72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Televisión - 8 Tirro Ancho industrial</v>
      </c>
      <c r="E724" t="s">
        <v>3533</v>
      </c>
      <c r="F724" s="78">
        <v>50</v>
      </c>
      <c r="S724" t="s">
        <v>3187</v>
      </c>
    </row>
    <row r="725" spans="1:19" hidden="1" x14ac:dyDescent="0.25">
      <c r="A725" t="s">
        <v>3540</v>
      </c>
      <c r="B725" s="68" t="str">
        <f>MID(PRESUPUESTO[[#This Row],[CUENTA]],1,4)</f>
        <v>E-14</v>
      </c>
      <c r="C725" s="68" t="str">
        <f>INDEX(CATALOGO[Descripción],MATCH(PRESUPUESTO[[#This Row],[APLICACIÓN]]&amp;"-00-00-00",CATALOGO[Código],0))</f>
        <v>MATERIAL DIDÁCTICO</v>
      </c>
      <c r="D72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Laboratorio de Fotografía - 2 Kit limpiador de camaras y lentes </v>
      </c>
      <c r="E725" t="s">
        <v>3541</v>
      </c>
      <c r="F725" s="78">
        <v>50</v>
      </c>
      <c r="S725" t="s">
        <v>3187</v>
      </c>
    </row>
    <row r="726" spans="1:19" hidden="1" x14ac:dyDescent="0.25">
      <c r="A726" t="s">
        <v>3526</v>
      </c>
      <c r="B726" s="68" t="str">
        <f>MID(PRESUPUESTO[[#This Row],[CUENTA]],1,4)</f>
        <v>E-14</v>
      </c>
      <c r="C726" s="68" t="str">
        <f>INDEX(CATALOGO[Descripción],MATCH(PRESUPUESTO[[#This Row],[APLICACIÓN]]&amp;"-00-00-00",CATALOGO[Código],0))</f>
        <v>MATERIAL DIDÁCTICO</v>
      </c>
      <c r="D72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Televisión - 10 TirroS</v>
      </c>
      <c r="E726" t="s">
        <v>3527</v>
      </c>
      <c r="F726" s="78">
        <v>45</v>
      </c>
      <c r="S726" t="s">
        <v>3187</v>
      </c>
    </row>
    <row r="727" spans="1:19" hidden="1" x14ac:dyDescent="0.25">
      <c r="A727" t="s">
        <v>3548</v>
      </c>
      <c r="B727" s="68" t="str">
        <f>MID(PRESUPUESTO[[#This Row],[CUENTA]],1,4)</f>
        <v>E-14</v>
      </c>
      <c r="C727" s="68" t="str">
        <f>INDEX(CATALOGO[Descripción],MATCH(PRESUPUESTO[[#This Row],[APLICACIÓN]]&amp;"-00-00-00",CATALOGO[Código],0))</f>
        <v>MATERIAL DIDÁCTICO</v>
      </c>
      <c r="D72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Laboratorio de Fotografía - 20 Focos para ampliadora  14 watts para ampliadora </v>
      </c>
      <c r="E727" t="s">
        <v>3549</v>
      </c>
      <c r="F727" s="78">
        <v>45</v>
      </c>
      <c r="S727" t="s">
        <v>3187</v>
      </c>
    </row>
    <row r="728" spans="1:19" hidden="1" x14ac:dyDescent="0.25">
      <c r="A728" t="s">
        <v>1625</v>
      </c>
      <c r="B728" s="68" t="str">
        <f>MID(PRESUPUESTO[[#This Row],[CUENTA]],1,4)</f>
        <v>E-30</v>
      </c>
      <c r="C728" s="68" t="str">
        <f>INDEX(CATALOGO[Descripción],MATCH(PRESUPUESTO[[#This Row],[APLICACIÓN]]&amp;"-00-00-00",CATALOGO[Código],0))</f>
        <v>MEMBRESIAS Y SUSCRIPCIONES</v>
      </c>
      <c r="D72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Membresia Price Smart Licda Marielos L.</v>
      </c>
      <c r="E728" t="s">
        <v>916</v>
      </c>
      <c r="F728" s="78">
        <v>40</v>
      </c>
      <c r="S728" t="s">
        <v>3187</v>
      </c>
    </row>
    <row r="729" spans="1:19" hidden="1" x14ac:dyDescent="0.25">
      <c r="A729" t="s">
        <v>3609</v>
      </c>
      <c r="B729" s="68" t="str">
        <f>MID(PRESUPUESTO[[#This Row],[CUENTA]],1,4)</f>
        <v>E-17</v>
      </c>
      <c r="C729" s="68" t="str">
        <f>INDEX(CATALOGO[Descripción],MATCH(PRESUPUESTO[[#This Row],[APLICACIÓN]]&amp;"-00-00-00",CATALOGO[Código],0))</f>
        <v>MEDIOS DE COMUNICACIÓN</v>
      </c>
      <c r="D72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Externa - 5 mouse pad con almoadilla de gel - Centro de llamadas</v>
      </c>
      <c r="E729" t="s">
        <v>3610</v>
      </c>
      <c r="F729" s="78">
        <v>34.5</v>
      </c>
      <c r="S729" t="s">
        <v>3187</v>
      </c>
    </row>
    <row r="730" spans="1:19" hidden="1" x14ac:dyDescent="0.25">
      <c r="A730" t="s">
        <v>3350</v>
      </c>
      <c r="B730" s="68" t="str">
        <f>MID(PRESUPUESTO[[#This Row],[CUENTA]],1,4)</f>
        <v>E-08</v>
      </c>
      <c r="C730" s="68" t="str">
        <f>INDEX(CATALOGO[Descripción],MATCH(PRESUPUESTO[[#This Row],[APLICACIÓN]]&amp;"-00-00-00",CATALOGO[Código],0))</f>
        <v>INVERSIONES Y PROYECTOS ESPECIALES</v>
      </c>
      <c r="D73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Fotografia</v>
      </c>
      <c r="E730" t="s">
        <v>3360</v>
      </c>
      <c r="F730" s="78">
        <v>25</v>
      </c>
    </row>
    <row r="731" spans="1:19" hidden="1" x14ac:dyDescent="0.25">
      <c r="A731" t="s">
        <v>3542</v>
      </c>
      <c r="B731" s="68" t="str">
        <f>MID(PRESUPUESTO[[#This Row],[CUENTA]],1,4)</f>
        <v>E-14</v>
      </c>
      <c r="C731" s="68" t="str">
        <f>INDEX(CATALOGO[Descripción],MATCH(PRESUPUESTO[[#This Row],[APLICACIÓN]]&amp;"-00-00-00",CATALOGO[Código],0))</f>
        <v>MATERIAL DIDÁCTICO</v>
      </c>
      <c r="D73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Laboratorio de Fotografía - 8 Focos de color rojo para cuarto oscuro </v>
      </c>
      <c r="E731" t="s">
        <v>3543</v>
      </c>
      <c r="F731" s="78">
        <v>20</v>
      </c>
      <c r="S731" t="s">
        <v>3187</v>
      </c>
    </row>
    <row r="732" spans="1:19" hidden="1" x14ac:dyDescent="0.25">
      <c r="A732" t="s">
        <v>3544</v>
      </c>
      <c r="B732" s="68" t="str">
        <f>MID(PRESUPUESTO[[#This Row],[CUENTA]],1,4)</f>
        <v>E-14</v>
      </c>
      <c r="C732" s="68" t="str">
        <f>INDEX(CATALOGO[Descripción],MATCH(PRESUPUESTO[[#This Row],[APLICACIÓN]]&amp;"-00-00-00",CATALOGO[Código],0))</f>
        <v>MATERIAL DIDÁCTICO</v>
      </c>
      <c r="D73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de Fotografía - 2 Aire Comprimido para limpieza de contactos</v>
      </c>
      <c r="E732" t="s">
        <v>3545</v>
      </c>
      <c r="F732" s="78">
        <v>10</v>
      </c>
      <c r="S732" t="s">
        <v>3187</v>
      </c>
    </row>
    <row r="733" spans="1:19" x14ac:dyDescent="0.25">
      <c r="A733" t="s">
        <v>3201</v>
      </c>
      <c r="B733" s="68" t="str">
        <f>MID(PRESUPUESTO[[#This Row],[CUENTA]],1,4)</f>
        <v>I-02</v>
      </c>
      <c r="C733" s="68" t="str">
        <f>INDEX(CATALOGO[Descripción],MATCH(PRESUPUESTO[[#This Row],[APLICACIÓN]]&amp;"-00-00-00",CATALOGO[Código],0))</f>
        <v xml:space="preserve">MATRICULAS </v>
      </c>
      <c r="D73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FCCS PREGRADO</v>
      </c>
      <c r="E733" t="s">
        <v>3187</v>
      </c>
      <c r="F733" s="78">
        <v>668259.69999999995</v>
      </c>
      <c r="S733" t="s">
        <v>3187</v>
      </c>
    </row>
    <row r="734" spans="1:19" x14ac:dyDescent="0.25">
      <c r="A734" t="s">
        <v>3206</v>
      </c>
      <c r="B734" s="68" t="str">
        <f>MID(PRESUPUESTO[[#This Row],[CUENTA]],1,4)</f>
        <v>I-02</v>
      </c>
      <c r="C734" s="68" t="str">
        <f>INDEX(CATALOGO[Descripción],MATCH(PRESUPUESTO[[#This Row],[APLICACIÓN]]&amp;"-00-00-00",CATALOGO[Código],0))</f>
        <v xml:space="preserve">MATRICULAS </v>
      </c>
      <c r="D73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FCCJ PREGRADO</v>
      </c>
      <c r="E734" t="s">
        <v>3187</v>
      </c>
      <c r="F734" s="78">
        <v>359444.23</v>
      </c>
      <c r="S734" t="s">
        <v>3187</v>
      </c>
    </row>
    <row r="735" spans="1:19" x14ac:dyDescent="0.25">
      <c r="A735" t="s">
        <v>3190</v>
      </c>
      <c r="B735" s="68" t="str">
        <f>MID(PRESUPUESTO[[#This Row],[CUENTA]],1,4)</f>
        <v>I-02</v>
      </c>
      <c r="C735" s="68" t="str">
        <f>INDEX(CATALOGO[Descripción],MATCH(PRESUPUESTO[[#This Row],[APLICACIÓN]]&amp;"-00-00-00",CATALOGO[Código],0))</f>
        <v xml:space="preserve">MATRICULAS </v>
      </c>
      <c r="D73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FCCE TÉCNICOS</v>
      </c>
      <c r="E735" t="s">
        <v>3187</v>
      </c>
      <c r="F735" s="194">
        <v>64563.79</v>
      </c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t="s">
        <v>3187</v>
      </c>
    </row>
    <row r="736" spans="1:19" x14ac:dyDescent="0.25">
      <c r="A736" t="s">
        <v>3196</v>
      </c>
      <c r="B736" s="68" t="str">
        <f>MID(PRESUPUESTO[[#This Row],[CUENTA]],1,4)</f>
        <v>I-02</v>
      </c>
      <c r="C736" s="68" t="str">
        <f>INDEX(CATALOGO[Descripción],MATCH(PRESUPUESTO[[#This Row],[APLICACIÓN]]&amp;"-00-00-00",CATALOGO[Código],0))</f>
        <v xml:space="preserve">MATRICULAS </v>
      </c>
      <c r="D73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FICA TÉCNICOS</v>
      </c>
      <c r="E736" t="s">
        <v>3187</v>
      </c>
      <c r="F736" s="78">
        <v>55074.87</v>
      </c>
      <c r="S736" t="s">
        <v>3187</v>
      </c>
    </row>
    <row r="737" spans="1:19" x14ac:dyDescent="0.25">
      <c r="A737" t="s">
        <v>3202</v>
      </c>
      <c r="B737" s="68" t="str">
        <f>MID(PRESUPUESTO[[#This Row],[CUENTA]],1,4)</f>
        <v>I-02</v>
      </c>
      <c r="C737" s="68" t="str">
        <f>INDEX(CATALOGO[Descripción],MATCH(PRESUPUESTO[[#This Row],[APLICACIÓN]]&amp;"-00-00-00",CATALOGO[Código],0))</f>
        <v xml:space="preserve">MATRICULAS </v>
      </c>
      <c r="D73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MATRICULAS FCCSTÉCNICOS</v>
      </c>
      <c r="E737" t="s">
        <v>3187</v>
      </c>
      <c r="F737" s="78">
        <v>12472.55</v>
      </c>
      <c r="S737" t="s">
        <v>3187</v>
      </c>
    </row>
    <row r="738" spans="1:19" x14ac:dyDescent="0.25">
      <c r="A738" t="s">
        <v>3191</v>
      </c>
      <c r="B738" s="68" t="str">
        <f>MID(PRESUPUESTO[[#This Row],[CUENTA]],1,4)</f>
        <v>I-06</v>
      </c>
      <c r="C738" s="68" t="str">
        <f>INDEX(CATALOGO[Descripción],MATCH(PRESUPUESTO[[#This Row],[APLICACIÓN]]&amp;"-00-00-00",CATALOGO[Código],0))</f>
        <v>OTROS ARANCELES</v>
      </c>
      <c r="D73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FCCE Pregrado</v>
      </c>
      <c r="E738" t="s">
        <v>3187</v>
      </c>
      <c r="F738" s="78">
        <v>305781.48</v>
      </c>
      <c r="S738" t="s">
        <v>3187</v>
      </c>
    </row>
    <row r="739" spans="1:19" x14ac:dyDescent="0.25">
      <c r="A739" t="s">
        <v>3197</v>
      </c>
      <c r="B739" s="68" t="str">
        <f>MID(PRESUPUESTO[[#This Row],[CUENTA]],1,4)</f>
        <v>I-06</v>
      </c>
      <c r="C739" s="68" t="str">
        <f>INDEX(CATALOGO[Descripción],MATCH(PRESUPUESTO[[#This Row],[APLICACIÓN]]&amp;"-00-00-00",CATALOGO[Código],0))</f>
        <v>OTROS ARANCELES</v>
      </c>
      <c r="D73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FICA Pregrado</v>
      </c>
      <c r="E739" t="s">
        <v>3187</v>
      </c>
      <c r="F739" s="78">
        <v>107394.52</v>
      </c>
      <c r="S739" t="s">
        <v>3187</v>
      </c>
    </row>
    <row r="740" spans="1:19" x14ac:dyDescent="0.25">
      <c r="A740" t="s">
        <v>3203</v>
      </c>
      <c r="B740" s="68" t="str">
        <f>MID(PRESUPUESTO[[#This Row],[CUENTA]],1,4)</f>
        <v>I-06</v>
      </c>
      <c r="C740" s="68" t="str">
        <f>INDEX(CATALOGO[Descripción],MATCH(PRESUPUESTO[[#This Row],[APLICACIÓN]]&amp;"-00-00-00",CATALOGO[Código],0))</f>
        <v>OTROS ARANCELES</v>
      </c>
      <c r="D74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FCCS Pregrado</v>
      </c>
      <c r="E740" t="s">
        <v>3187</v>
      </c>
      <c r="F740" s="78">
        <v>81489.649999999994</v>
      </c>
      <c r="S740" t="s">
        <v>3187</v>
      </c>
    </row>
    <row r="741" spans="1:19" x14ac:dyDescent="0.25">
      <c r="A741" t="s">
        <v>3207</v>
      </c>
      <c r="B741" s="68" t="str">
        <f>MID(PRESUPUESTO[[#This Row],[CUENTA]],1,4)</f>
        <v>I-06</v>
      </c>
      <c r="C741" s="68" t="str">
        <f>INDEX(CATALOGO[Descripción],MATCH(PRESUPUESTO[[#This Row],[APLICACIÓN]]&amp;"-00-00-00",CATALOGO[Código],0))</f>
        <v>OTROS ARANCELES</v>
      </c>
      <c r="D74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FCCJ Pregrado</v>
      </c>
      <c r="E741" t="s">
        <v>3187</v>
      </c>
      <c r="F741" s="78">
        <v>56740.1</v>
      </c>
      <c r="S741" t="s">
        <v>3187</v>
      </c>
    </row>
    <row r="742" spans="1:19" x14ac:dyDescent="0.25">
      <c r="A742" t="s">
        <v>3192</v>
      </c>
      <c r="B742" s="68" t="str">
        <f>MID(PRESUPUESTO[[#This Row],[CUENTA]],1,4)</f>
        <v>I-06</v>
      </c>
      <c r="C742" s="68" t="str">
        <f>INDEX(CATALOGO[Descripción],MATCH(PRESUPUESTO[[#This Row],[APLICACIÓN]]&amp;"-00-00-00",CATALOGO[Código],0))</f>
        <v>OTROS ARANCELES</v>
      </c>
      <c r="D74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FCCE Técnicos</v>
      </c>
      <c r="E742" t="s">
        <v>3187</v>
      </c>
      <c r="F742" s="78">
        <v>13766.02</v>
      </c>
      <c r="S742" t="s">
        <v>3187</v>
      </c>
    </row>
    <row r="743" spans="1:19" x14ac:dyDescent="0.25">
      <c r="A743" t="s">
        <v>3198</v>
      </c>
      <c r="B743" s="68" t="str">
        <f>MID(PRESUPUESTO[[#This Row],[CUENTA]],1,4)</f>
        <v>I-06</v>
      </c>
      <c r="C743" s="68" t="str">
        <f>INDEX(CATALOGO[Descripción],MATCH(PRESUPUESTO[[#This Row],[APLICACIÓN]]&amp;"-00-00-00",CATALOGO[Código],0))</f>
        <v>OTROS ARANCELES</v>
      </c>
      <c r="D74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FICA Técnicos</v>
      </c>
      <c r="E743" t="s">
        <v>3187</v>
      </c>
      <c r="F743" s="78">
        <v>7810.51</v>
      </c>
      <c r="S743" t="s">
        <v>3187</v>
      </c>
    </row>
    <row r="744" spans="1:19" x14ac:dyDescent="0.25">
      <c r="A744" t="s">
        <v>3204</v>
      </c>
      <c r="B744" s="68" t="str">
        <f>MID(PRESUPUESTO[[#This Row],[CUENTA]],1,4)</f>
        <v>I-06</v>
      </c>
      <c r="C744" s="68" t="str">
        <f>INDEX(CATALOGO[Descripción],MATCH(PRESUPUESTO[[#This Row],[APLICACIÓN]]&amp;"-00-00-00",CATALOGO[Código],0))</f>
        <v>OTROS ARANCELES</v>
      </c>
      <c r="D74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ARANCELES FCCS Técnicos</v>
      </c>
      <c r="E744" t="s">
        <v>3187</v>
      </c>
      <c r="F744" s="78">
        <v>2017.72</v>
      </c>
      <c r="S744" t="s">
        <v>3187</v>
      </c>
    </row>
    <row r="745" spans="1:19" x14ac:dyDescent="0.25">
      <c r="A745" t="s">
        <v>3280</v>
      </c>
      <c r="B745" s="68" t="str">
        <f>MID(PRESUPUESTO[[#This Row],[CUENTA]],1,4)</f>
        <v>I-08</v>
      </c>
      <c r="C745" s="68" t="str">
        <f>INDEX(CATALOGO[Descripción],MATCH(PRESUPUESTO[[#This Row],[APLICACIÓN]]&amp;"-00-00-00",CATALOGO[Código],0))</f>
        <v>OTROS INGRESOS</v>
      </c>
      <c r="D74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INTERESES BANCARIOS PLAZOS FIJOS</v>
      </c>
      <c r="E745" t="s">
        <v>3187</v>
      </c>
      <c r="F745" s="78">
        <v>175000</v>
      </c>
      <c r="S745" t="s">
        <v>3187</v>
      </c>
    </row>
    <row r="746" spans="1:19" x14ac:dyDescent="0.25">
      <c r="A746" t="s">
        <v>3279</v>
      </c>
      <c r="B746" s="68" t="str">
        <f>MID(PRESUPUESTO[[#This Row],[CUENTA]],1,4)</f>
        <v>I-08</v>
      </c>
      <c r="C746" s="68" t="str">
        <f>INDEX(CATALOGO[Descripción],MATCH(PRESUPUESTO[[#This Row],[APLICACIÓN]]&amp;"-00-00-00",CATALOGO[Código],0))</f>
        <v>OTROS INGRESOS</v>
      </c>
      <c r="D74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PARQUEOS</v>
      </c>
      <c r="E746" t="s">
        <v>3187</v>
      </c>
      <c r="F746" s="78">
        <v>47400</v>
      </c>
      <c r="S746" t="s">
        <v>3187</v>
      </c>
    </row>
    <row r="747" spans="1:19" x14ac:dyDescent="0.25">
      <c r="A747" t="s">
        <v>3278</v>
      </c>
      <c r="B747" s="68" t="str">
        <f>MID(PRESUPUESTO[[#This Row],[CUENTA]],1,4)</f>
        <v>I-08</v>
      </c>
      <c r="C747" s="68" t="str">
        <f>INDEX(CATALOGO[Descripción],MATCH(PRESUPUESTO[[#This Row],[APLICACIÓN]]&amp;"-00-00-00",CATALOGO[Código],0))</f>
        <v>OTROS INGRESOS</v>
      </c>
      <c r="D74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ALQUILER LOCALES</v>
      </c>
      <c r="E747" t="s">
        <v>3187</v>
      </c>
      <c r="F747" s="78">
        <v>4000</v>
      </c>
      <c r="S747" t="s">
        <v>3187</v>
      </c>
    </row>
    <row r="748" spans="1:19" x14ac:dyDescent="0.25">
      <c r="A748" t="s">
        <v>3282</v>
      </c>
      <c r="B748" s="68" t="str">
        <f>MID(PRESUPUESTO[[#This Row],[CUENTA]],1,4)</f>
        <v>I-08</v>
      </c>
      <c r="C748" s="68" t="str">
        <f>INDEX(CATALOGO[Descripción],MATCH(PRESUPUESTO[[#This Row],[APLICACIÓN]]&amp;"-00-00-00",CATALOGO[Código],0))</f>
        <v>OTROS INGRESOS</v>
      </c>
      <c r="D74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LABORATORIO 3D</v>
      </c>
      <c r="E748" t="s">
        <v>3187</v>
      </c>
      <c r="F748" s="78">
        <v>1400</v>
      </c>
      <c r="S748" t="s">
        <v>3187</v>
      </c>
    </row>
    <row r="749" spans="1:19" x14ac:dyDescent="0.25">
      <c r="A749" t="s">
        <v>3281</v>
      </c>
      <c r="B749" s="68" t="str">
        <f>MID(PRESUPUESTO[[#This Row],[CUENTA]],1,4)</f>
        <v>I-08</v>
      </c>
      <c r="C749" s="68" t="str">
        <f>INDEX(CATALOGO[Descripción],MATCH(PRESUPUESTO[[#This Row],[APLICACIÓN]]&amp;"-00-00-00",CATALOGO[Código],0))</f>
        <v>OTROS INGRESOS</v>
      </c>
      <c r="D74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</v>
      </c>
      <c r="E749" t="s">
        <v>3187</v>
      </c>
      <c r="F749" s="78">
        <v>1200</v>
      </c>
      <c r="S749" t="s">
        <v>3187</v>
      </c>
    </row>
    <row r="750" spans="1:19" x14ac:dyDescent="0.25">
      <c r="A750" t="s">
        <v>3284</v>
      </c>
      <c r="B750" s="68" t="str">
        <f>MID(PRESUPUESTO[[#This Row],[CUENTA]],1,4)</f>
        <v>I-08</v>
      </c>
      <c r="C750" s="68" t="str">
        <f>INDEX(CATALOGO[Descripción],MATCH(PRESUPUESTO[[#This Row],[APLICACIÓN]]&amp;"-00-00-00",CATALOGO[Código],0))</f>
        <v>OTROS INGRESOS</v>
      </c>
      <c r="D75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DESPERDICIOS</v>
      </c>
      <c r="E750" t="s">
        <v>3187</v>
      </c>
      <c r="F750" s="78">
        <v>1000</v>
      </c>
      <c r="S750" t="s">
        <v>3187</v>
      </c>
    </row>
    <row r="751" spans="1:19" x14ac:dyDescent="0.25">
      <c r="A751" t="s">
        <v>3285</v>
      </c>
      <c r="B751" s="68" t="str">
        <f>MID(PRESUPUESTO[[#This Row],[CUENTA]],1,4)</f>
        <v>I-08</v>
      </c>
      <c r="C751" s="68" t="str">
        <f>INDEX(CATALOGO[Descripción],MATCH(PRESUPUESTO[[#This Row],[APLICACIÓN]]&amp;"-00-00-00",CATALOGO[Código],0))</f>
        <v>OTROS INGRESOS</v>
      </c>
      <c r="D75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OTROS INGRESOS - PATROCINIOS, CURSOS Y OTROS</v>
      </c>
      <c r="E751" t="s">
        <v>3187</v>
      </c>
      <c r="F751" s="194">
        <v>0</v>
      </c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t="s">
        <v>3187</v>
      </c>
    </row>
    <row r="752" spans="1:19" x14ac:dyDescent="0.25">
      <c r="A752" t="s">
        <v>3283</v>
      </c>
      <c r="B752" s="68" t="str">
        <f>MID(PRESUPUESTO[[#This Row],[CUENTA]],1,4)</f>
        <v>I-08</v>
      </c>
      <c r="C752" s="68" t="str">
        <f>INDEX(CATALOGO[Descripción],MATCH(PRESUPUESTO[[#This Row],[APLICACIÓN]]&amp;"-00-00-00",CATALOGO[Código],0))</f>
        <v>OTROS INGRESOS</v>
      </c>
      <c r="D75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SOBRANTES/FALTANTES</v>
      </c>
      <c r="E752" t="s">
        <v>3187</v>
      </c>
      <c r="S752" t="s">
        <v>3187</v>
      </c>
    </row>
    <row r="753" spans="1:19" x14ac:dyDescent="0.25">
      <c r="A753" t="s">
        <v>3208</v>
      </c>
      <c r="B753" s="68" t="str">
        <f>MID(PRESUPUESTO[[#This Row],[CUENTA]],1,4)</f>
        <v>I-03</v>
      </c>
      <c r="C753" s="68" t="str">
        <f>INDEX(CATALOGO[Descripción],MATCH(PRESUPUESTO[[#This Row],[APLICACIÓN]]&amp;"-00-00-00",CATALOGO[Código],0))</f>
        <v xml:space="preserve">PRE ESPECIALIDAD </v>
      </c>
      <c r="D75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PRE- GRADO FACULTAD CC EMPRESARIALES</v>
      </c>
      <c r="E753" t="s">
        <v>3187</v>
      </c>
      <c r="F753" s="78">
        <v>1475933</v>
      </c>
      <c r="S753" t="s">
        <v>3187</v>
      </c>
    </row>
    <row r="754" spans="1:19" x14ac:dyDescent="0.25">
      <c r="A754" t="s">
        <v>3209</v>
      </c>
      <c r="B754" s="68" t="str">
        <f>MID(PRESUPUESTO[[#This Row],[CUENTA]],1,4)</f>
        <v>I-03</v>
      </c>
      <c r="C754" s="68" t="str">
        <f>INDEX(CATALOGO[Descripción],MATCH(PRESUPUESTO[[#This Row],[APLICACIÓN]]&amp;"-00-00-00",CATALOGO[Código],0))</f>
        <v xml:space="preserve">PRE ESPECIALIDAD </v>
      </c>
      <c r="D75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PRE- GRADO FACULTAD  INFORMATICA Y CC APLIC</v>
      </c>
      <c r="E754" t="s">
        <v>3187</v>
      </c>
      <c r="F754" s="78">
        <v>851861</v>
      </c>
      <c r="S754" t="s">
        <v>3187</v>
      </c>
    </row>
    <row r="755" spans="1:19" x14ac:dyDescent="0.25">
      <c r="A755" t="s">
        <v>3210</v>
      </c>
      <c r="B755" s="68" t="str">
        <f>MID(PRESUPUESTO[[#This Row],[CUENTA]],1,4)</f>
        <v>I-03</v>
      </c>
      <c r="C755" s="68" t="str">
        <f>INDEX(CATALOGO[Descripción],MATCH(PRESUPUESTO[[#This Row],[APLICACIÓN]]&amp;"-00-00-00",CATALOGO[Código],0))</f>
        <v xml:space="preserve">PRE ESPECIALIDAD </v>
      </c>
      <c r="D75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PRE- GRADO FACULTAD CC SOCIALES</v>
      </c>
      <c r="E755" t="s">
        <v>3187</v>
      </c>
      <c r="F755" s="78">
        <v>775567</v>
      </c>
      <c r="S755" t="s">
        <v>3187</v>
      </c>
    </row>
    <row r="756" spans="1:19" x14ac:dyDescent="0.25">
      <c r="A756" t="s">
        <v>3211</v>
      </c>
      <c r="B756" s="68" t="str">
        <f>MID(PRESUPUESTO[[#This Row],[CUENTA]],1,4)</f>
        <v>I-03</v>
      </c>
      <c r="C756" s="68" t="str">
        <f>INDEX(CATALOGO[Descripción],MATCH(PRESUPUESTO[[#This Row],[APLICACIÓN]]&amp;"-00-00-00",CATALOGO[Código],0))</f>
        <v xml:space="preserve">PRE ESPECIALIDAD </v>
      </c>
      <c r="D75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PRE- GRADO FACULTAD CC JURIDICAS</v>
      </c>
      <c r="E756" t="s">
        <v>3187</v>
      </c>
      <c r="F756" s="78">
        <v>346275</v>
      </c>
      <c r="S756" t="s">
        <v>3187</v>
      </c>
    </row>
    <row r="757" spans="1:19" x14ac:dyDescent="0.25">
      <c r="A757" t="s">
        <v>3212</v>
      </c>
      <c r="B757" s="68" t="str">
        <f>MID(PRESUPUESTO[[#This Row],[CUENTA]],1,4)</f>
        <v>I-03</v>
      </c>
      <c r="C757" s="68" t="str">
        <f>INDEX(CATALOGO[Descripción],MATCH(PRESUPUESTO[[#This Row],[APLICACIÓN]]&amp;"-00-00-00",CATALOGO[Código],0))</f>
        <v xml:space="preserve">PRE ESPECIALIDAD </v>
      </c>
      <c r="D75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CARRERAS TÉCNICAS FACULTAD CC EMPRESARIALES</v>
      </c>
      <c r="E757" t="s">
        <v>3187</v>
      </c>
      <c r="F757" s="78">
        <v>32455</v>
      </c>
      <c r="S757" t="s">
        <v>3187</v>
      </c>
    </row>
    <row r="758" spans="1:19" x14ac:dyDescent="0.25">
      <c r="A758" t="s">
        <v>3214</v>
      </c>
      <c r="B758" s="68" t="str">
        <f>MID(PRESUPUESTO[[#This Row],[CUENTA]],1,4)</f>
        <v>I-03</v>
      </c>
      <c r="C758" s="68" t="str">
        <f>INDEX(CATALOGO[Descripción],MATCH(PRESUPUESTO[[#This Row],[APLICACIÓN]]&amp;"-00-00-00",CATALOGO[Código],0))</f>
        <v xml:space="preserve">PRE ESPECIALIDAD </v>
      </c>
      <c r="D75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CARRERAS TÉCNICAS FACULTAD CC SOCIALES</v>
      </c>
      <c r="E758" t="s">
        <v>3187</v>
      </c>
      <c r="F758" s="78">
        <v>24136</v>
      </c>
      <c r="S758" t="s">
        <v>3187</v>
      </c>
    </row>
    <row r="759" spans="1:19" hidden="1" x14ac:dyDescent="0.25">
      <c r="A759" t="s">
        <v>3324</v>
      </c>
      <c r="B759" s="68" t="str">
        <f>MID(PRESUPUESTO[[#This Row],[CUENTA]],1,4)</f>
        <v>E-07</v>
      </c>
      <c r="C759" s="68" t="str">
        <f>INDEX(CATALOGO[Descripción],MATCH(PRESUPUESTO[[#This Row],[APLICACIÓN]]&amp;"-00-00-00",CATALOGO[Código],0))</f>
        <v>SERVICIOS TECNOLOGICOS</v>
      </c>
      <c r="D75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extraordinario Nube inscripcion ciclo 01 y  02-2024 Sega Corp</v>
      </c>
      <c r="E759" t="s">
        <v>177</v>
      </c>
      <c r="F759" s="78">
        <v>0</v>
      </c>
    </row>
    <row r="760" spans="1:19" hidden="1" x14ac:dyDescent="0.25">
      <c r="A760" t="s">
        <v>1829</v>
      </c>
      <c r="B760" s="68" t="str">
        <f>MID(PRESUPUESTO[[#This Row],[CUENTA]],1,4)</f>
        <v>E-10</v>
      </c>
      <c r="C760" s="68" t="str">
        <f>INDEX(CATALOGO[Descripción],MATCH(PRESUPUESTO[[#This Row],[APLICACIÓN]]&amp;"-00-00-00",CATALOGO[Código],0))</f>
        <v>SERVICIOS PUBLICOS</v>
      </c>
      <c r="D76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DE CABLES</v>
      </c>
      <c r="E760" t="s">
        <v>3383</v>
      </c>
      <c r="F760" s="78">
        <v>0</v>
      </c>
      <c r="S760" t="s">
        <v>3187</v>
      </c>
    </row>
    <row r="761" spans="1:19" hidden="1" x14ac:dyDescent="0.25">
      <c r="A761" t="s">
        <v>3417</v>
      </c>
      <c r="B761" s="68" t="str">
        <f>MID(PRESUPUESTO[[#This Row],[CUENTA]],1,4)</f>
        <v>E-12</v>
      </c>
      <c r="C761" s="68" t="str">
        <f>INDEX(CATALOGO[Descripción],MATCH(PRESUPUESTO[[#This Row],[APLICACIÓN]]&amp;"-00-00-00",CATALOGO[Código],0))</f>
        <v>PROYECCION SOCIAL</v>
      </c>
      <c r="D76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LAB 3D Renta Scanner 3D $ 30 x 12</v>
      </c>
      <c r="E761" t="s">
        <v>3418</v>
      </c>
      <c r="F761" s="78">
        <v>0</v>
      </c>
      <c r="S761" t="s">
        <v>3187</v>
      </c>
    </row>
    <row r="762" spans="1:19" hidden="1" x14ac:dyDescent="0.25">
      <c r="A762" t="s">
        <v>3453</v>
      </c>
      <c r="B762" s="68" t="str">
        <f>MID(PRESUPUESTO[[#This Row],[CUENTA]],1,4)</f>
        <v>E-12</v>
      </c>
      <c r="C762" s="68" t="str">
        <f>INDEX(CATALOGO[Descripción],MATCH(PRESUPUESTO[[#This Row],[APLICACIÓN]]&amp;"-00-00-00",CATALOGO[Código],0))</f>
        <v>PROYECCION SOCIAL</v>
      </c>
      <c r="D76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PERSONAL DE APOYO</v>
      </c>
      <c r="E762" t="s">
        <v>3454</v>
      </c>
      <c r="F762" s="78">
        <v>0</v>
      </c>
      <c r="S762" t="s">
        <v>3187</v>
      </c>
    </row>
    <row r="763" spans="1:19" hidden="1" x14ac:dyDescent="0.25">
      <c r="A763" t="s">
        <v>1095</v>
      </c>
      <c r="B763" s="68" t="str">
        <f>MID(PRESUPUESTO[[#This Row],[CUENTA]],1,4)</f>
        <v>E-13</v>
      </c>
      <c r="C763" s="68" t="str">
        <f>INDEX(CATALOGO[Descripción],MATCH(PRESUPUESTO[[#This Row],[APLICACIÓN]]&amp;"-00-00-00",CATALOGO[Código],0))</f>
        <v>MAESTRIAS Y POSTGRADOS</v>
      </c>
      <c r="D76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SERVICIO LEASING  MAESTRIAS</v>
      </c>
      <c r="E763" t="s">
        <v>3474</v>
      </c>
      <c r="F763" s="78">
        <v>0</v>
      </c>
      <c r="S763" t="s">
        <v>3187</v>
      </c>
    </row>
    <row r="764" spans="1:19" hidden="1" x14ac:dyDescent="0.25">
      <c r="A764" t="s">
        <v>3482</v>
      </c>
      <c r="B764" s="68" t="str">
        <f>MID(PRESUPUESTO[[#This Row],[CUENTA]],1,4)</f>
        <v>E-13</v>
      </c>
      <c r="C764" s="68" t="str">
        <f>INDEX(CATALOGO[Descripción],MATCH(PRESUPUESTO[[#This Row],[APLICACIÓN]]&amp;"-00-00-00",CATALOGO[Código],0))</f>
        <v>MAESTRIAS Y POSTGRADOS</v>
      </c>
      <c r="D76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Carnet Alumnos</v>
      </c>
      <c r="E764" t="s">
        <v>348</v>
      </c>
      <c r="F764" s="78">
        <v>0</v>
      </c>
      <c r="S764" t="s">
        <v>3187</v>
      </c>
    </row>
    <row r="765" spans="1:19" hidden="1" x14ac:dyDescent="0.25">
      <c r="A765" t="s">
        <v>3589</v>
      </c>
      <c r="B765" s="68" t="str">
        <f>MID(PRESUPUESTO[[#This Row],[CUENTA]],1,4)</f>
        <v>E-17</v>
      </c>
      <c r="C765" s="68" t="str">
        <f>INDEX(CATALOGO[Descripción],MATCH(PRESUPUESTO[[#This Row],[APLICACIÓN]]&amp;"-00-00-00",CATALOGO[Código],0))</f>
        <v>MEDIOS DE COMUNICACIÓN</v>
      </c>
      <c r="D76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Estudio de TV - 6 discos duros de 4 T para almacenamiento de producciones - Estudio de TV</v>
      </c>
      <c r="E765" t="s">
        <v>3590</v>
      </c>
      <c r="F765" s="78">
        <v>0</v>
      </c>
      <c r="S765" t="s">
        <v>3187</v>
      </c>
    </row>
    <row r="766" spans="1:19" hidden="1" x14ac:dyDescent="0.25">
      <c r="A766" t="s">
        <v>3625</v>
      </c>
      <c r="B766" s="68" t="str">
        <f>MID(PRESUPUESTO[[#This Row],[CUENTA]],1,4)</f>
        <v>E-17</v>
      </c>
      <c r="C766" s="68" t="str">
        <f>INDEX(CATALOGO[Descripción],MATCH(PRESUPUESTO[[#This Row],[APLICACIÓN]]&amp;"-00-00-00",CATALOGO[Código],0))</f>
        <v>MEDIOS DE COMUNICACIÓN</v>
      </c>
      <c r="D76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Publicaciones - Catálogo institucional</v>
      </c>
      <c r="E766" t="s">
        <v>3626</v>
      </c>
      <c r="F766" s="78">
        <v>0</v>
      </c>
      <c r="S766" t="s">
        <v>3187</v>
      </c>
    </row>
    <row r="767" spans="1:19" hidden="1" x14ac:dyDescent="0.25">
      <c r="A767" s="37" t="s">
        <v>3639</v>
      </c>
      <c r="B767" s="68" t="str">
        <f>MID(PRESUPUESTO[[#This Row],[CUENTA]],1,4)</f>
        <v>E-18</v>
      </c>
      <c r="C767" s="68" t="str">
        <f>INDEX(CATALOGO[Descripción],MATCH(PRESUPUESTO[[#This Row],[APLICACIÓN]]&amp;"-00-00-00",CATALOGO[Código],0))</f>
        <v>COMUNICACIÓN INSTITUCIONAL</v>
      </c>
      <c r="D76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Prod. Material publicitario - Producción agencia de publicidad</v>
      </c>
      <c r="E767" t="s">
        <v>3640</v>
      </c>
      <c r="F767" s="78">
        <v>0</v>
      </c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</row>
    <row r="768" spans="1:19" hidden="1" x14ac:dyDescent="0.25">
      <c r="A768" t="s">
        <v>3655</v>
      </c>
      <c r="B768" s="68" t="str">
        <f>MID(PRESUPUESTO[[#This Row],[CUENTA]],1,4)</f>
        <v>E-18</v>
      </c>
      <c r="C768" s="68" t="str">
        <f>INDEX(CATALOGO[Descripción],MATCH(PRESUPUESTO[[#This Row],[APLICACIÓN]]&amp;"-00-00-00",CATALOGO[Código],0))</f>
        <v>COMUNICACIÓN INSTITUCIONAL</v>
      </c>
      <c r="D76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Com. Interna - Restauración e ilumación de rótulos en edificios (5) - Led y timer</v>
      </c>
      <c r="E768" t="s">
        <v>3656</v>
      </c>
      <c r="F768" s="78">
        <v>0</v>
      </c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</row>
    <row r="769" spans="1:19" hidden="1" x14ac:dyDescent="0.25">
      <c r="A769" t="s">
        <v>1740</v>
      </c>
      <c r="B769" s="68" t="str">
        <f>MID(PRESUPUESTO[[#This Row],[CUENTA]],1,4)</f>
        <v>E-19</v>
      </c>
      <c r="C769" s="68" t="str">
        <f>INDEX(CATALOGO[Descripción],MATCH(PRESUPUESTO[[#This Row],[APLICACIÓN]]&amp;"-00-00-00",CATALOGO[Código],0))</f>
        <v>MANTENIMIENTO</v>
      </c>
      <c r="D76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Dir. Mantenimiento - Enmarcados</v>
      </c>
      <c r="E769" t="s">
        <v>3678</v>
      </c>
      <c r="F769" s="78">
        <v>0</v>
      </c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</row>
    <row r="770" spans="1:19" hidden="1" x14ac:dyDescent="0.25">
      <c r="A770" t="s">
        <v>3691</v>
      </c>
      <c r="B770" s="68" t="str">
        <f>MID(PRESUPUESTO[[#This Row],[CUENTA]],1,4)</f>
        <v>E-19</v>
      </c>
      <c r="C770" s="68" t="str">
        <f>INDEX(CATALOGO[Descripción],MATCH(PRESUPUESTO[[#This Row],[APLICACIÓN]]&amp;"-00-00-00",CATALOGO[Código],0))</f>
        <v>MANTENIMIENTO</v>
      </c>
      <c r="D77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Iluminación interior con sensores</v>
      </c>
      <c r="E770" t="s">
        <v>576</v>
      </c>
      <c r="F770" s="78">
        <v>0</v>
      </c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</row>
    <row r="771" spans="1:19" hidden="1" x14ac:dyDescent="0.25">
      <c r="A771" t="s">
        <v>3731</v>
      </c>
      <c r="B771" s="68" t="str">
        <f>MID(PRESUPUESTO[[#This Row],[CUENTA]],1,4)</f>
        <v>E-22</v>
      </c>
      <c r="C771" s="68" t="str">
        <f>INDEX(CATALOGO[Descripción],MATCH(PRESUPUESTO[[#This Row],[APLICACIÓN]]&amp;"-00-00-00",CATALOGO[Código],0))</f>
        <v>CAPACITACIÓN AL PERSONAL</v>
      </c>
      <c r="D77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Excel intermedio y avanzado</v>
      </c>
      <c r="E771" t="s">
        <v>3732</v>
      </c>
      <c r="F771" s="78">
        <v>0</v>
      </c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</row>
    <row r="772" spans="1:19" hidden="1" x14ac:dyDescent="0.25">
      <c r="A772" t="s">
        <v>3735</v>
      </c>
      <c r="B772" s="68" t="str">
        <f>MID(PRESUPUESTO[[#This Row],[CUENTA]],1,4)</f>
        <v>E-22</v>
      </c>
      <c r="C772" s="68" t="str">
        <f>INDEX(CATALOGO[Descripción],MATCH(PRESUPUESTO[[#This Row],[APLICACIÓN]]&amp;"-00-00-00",CATALOGO[Código],0))</f>
        <v>CAPACITACIÓN AL PERSONAL</v>
      </c>
      <c r="D77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FCCE - Movilidad internacional</v>
      </c>
      <c r="E772" t="s">
        <v>3736</v>
      </c>
      <c r="F772" s="78">
        <v>0</v>
      </c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</row>
    <row r="773" spans="1:19" hidden="1" x14ac:dyDescent="0.25">
      <c r="A773" t="s">
        <v>3932</v>
      </c>
      <c r="B773" s="68" t="str">
        <f>MID(PRESUPUESTO[[#This Row],[CUENTA]],1,4)</f>
        <v>E-26</v>
      </c>
      <c r="C773" s="68" t="str">
        <f>INDEX(CATALOGO[Descripción],MATCH(PRESUPUESTO[[#This Row],[APLICACIÓN]]&amp;"-00-00-00",CATALOGO[Código],0))</f>
        <v>EVENTOS ACADEMICOS, CULTURALES  E INSTITUCIONALES</v>
      </c>
      <c r="D773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reuniones con docentes  - FCCS</v>
      </c>
      <c r="E773" t="s">
        <v>3933</v>
      </c>
      <c r="F773" s="78">
        <v>0</v>
      </c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</row>
    <row r="774" spans="1:19" hidden="1" x14ac:dyDescent="0.25">
      <c r="A774" t="s">
        <v>3965</v>
      </c>
      <c r="B774" s="68" t="str">
        <f>MID(PRESUPUESTO[[#This Row],[CUENTA]],1,4)</f>
        <v>E-26</v>
      </c>
      <c r="C774" s="68" t="str">
        <f>INDEX(CATALOGO[Descripción],MATCH(PRESUPUESTO[[#This Row],[APLICACIÓN]]&amp;"-00-00-00",CATALOGO[Código],0))</f>
        <v>EVENTOS ACADEMICOS, CULTURALES  E INSTITUCIONALES</v>
      </c>
      <c r="D774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UTEC verde - Plan de Manejo de Desechos Sólidos</v>
      </c>
      <c r="E774" t="s">
        <v>3966</v>
      </c>
      <c r="F774" s="78">
        <v>0</v>
      </c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</row>
    <row r="775" spans="1:19" hidden="1" x14ac:dyDescent="0.25">
      <c r="A775" t="s">
        <v>3981</v>
      </c>
      <c r="B775" s="68" t="str">
        <f>MID(PRESUPUESTO[[#This Row],[CUENTA]],1,4)</f>
        <v>E-29</v>
      </c>
      <c r="C775" s="68" t="str">
        <f>INDEX(CATALOGO[Descripción],MATCH(PRESUPUESTO[[#This Row],[APLICACIÓN]]&amp;"-00-00-00",CATALOGO[Código],0))</f>
        <v xml:space="preserve">BIBLIOTECA </v>
      </c>
      <c r="D775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Base IEEE Base nueva Ebsco</v>
      </c>
      <c r="E775" t="s">
        <v>900</v>
      </c>
      <c r="F775" s="78">
        <v>0</v>
      </c>
      <c r="S775" t="s">
        <v>3187</v>
      </c>
    </row>
    <row r="776" spans="1:19" hidden="1" x14ac:dyDescent="0.25">
      <c r="A776" t="s">
        <v>4011</v>
      </c>
      <c r="B776" s="68" t="str">
        <f>MID(PRESUPUESTO[[#This Row],[CUENTA]],1,4)</f>
        <v>E-32</v>
      </c>
      <c r="C776" s="68" t="str">
        <f>INDEX(CATALOGO[Descripción],MATCH(PRESUPUESTO[[#This Row],[APLICACIÓN]]&amp;"-00-00-00",CATALOGO[Código],0))</f>
        <v>RELACIONES INTERNACIONALES</v>
      </c>
      <c r="D776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Proyecto Catedra de Genero Meridian EU</v>
      </c>
      <c r="E776" t="s">
        <v>961</v>
      </c>
      <c r="F776" s="78">
        <v>0</v>
      </c>
      <c r="S776" t="s">
        <v>3187</v>
      </c>
    </row>
    <row r="777" spans="1:19" hidden="1" x14ac:dyDescent="0.25">
      <c r="A777" t="s">
        <v>4012</v>
      </c>
      <c r="B777" s="68" t="str">
        <f>MID(PRESUPUESTO[[#This Row],[CUENTA]],1,4)</f>
        <v>E-32</v>
      </c>
      <c r="C777" s="68" t="str">
        <f>INDEX(CATALOGO[Descripción],MATCH(PRESUPUESTO[[#This Row],[APLICACIÓN]]&amp;"-00-00-00",CATALOGO[Código],0))</f>
        <v>RELACIONES INTERNACIONALES</v>
      </c>
      <c r="D777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Asamblea general Red Inca</v>
      </c>
      <c r="E777" t="s">
        <v>963</v>
      </c>
      <c r="F777" s="78">
        <v>0</v>
      </c>
      <c r="S777" t="s">
        <v>3187</v>
      </c>
    </row>
    <row r="778" spans="1:19" hidden="1" x14ac:dyDescent="0.25">
      <c r="A778" t="s">
        <v>4015</v>
      </c>
      <c r="B778" s="68" t="str">
        <f>MID(PRESUPUESTO[[#This Row],[CUENTA]],1,4)</f>
        <v>E-32</v>
      </c>
      <c r="C778" s="68" t="str">
        <f>INDEX(CATALOGO[Descripción],MATCH(PRESUPUESTO[[#This Row],[APLICACIÓN]]&amp;"-00-00-00",CATALOGO[Código],0))</f>
        <v>RELACIONES INTERNACIONALES</v>
      </c>
      <c r="D778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Cursos DAAD de especializacón para docentes</v>
      </c>
      <c r="E778" t="s">
        <v>966</v>
      </c>
      <c r="F778" s="78">
        <v>0</v>
      </c>
      <c r="S778" t="s">
        <v>3187</v>
      </c>
    </row>
    <row r="779" spans="1:19" hidden="1" x14ac:dyDescent="0.25">
      <c r="A779" t="s">
        <v>4016</v>
      </c>
      <c r="B779" s="68" t="str">
        <f>MID(PRESUPUESTO[[#This Row],[CUENTA]],1,4)</f>
        <v>E-32</v>
      </c>
      <c r="C779" s="68" t="str">
        <f>INDEX(CATALOGO[Descripción],MATCH(PRESUPUESTO[[#This Row],[APLICACIÓN]]&amp;"-00-00-00",CATALOGO[Código],0))</f>
        <v>RELACIONES INTERNACIONALES</v>
      </c>
      <c r="D779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Encuentro de Ex becarios, conversatorios, charlas, becas y más</v>
      </c>
      <c r="E779" t="s">
        <v>967</v>
      </c>
      <c r="F779" s="78">
        <v>0</v>
      </c>
      <c r="S779" t="s">
        <v>3187</v>
      </c>
    </row>
    <row r="780" spans="1:19" hidden="1" x14ac:dyDescent="0.25">
      <c r="A780" s="68" t="s">
        <v>1762</v>
      </c>
      <c r="B780" s="68" t="str">
        <f>MID(PRESUPUESTO[[#This Row],[CUENTA]],1,4)</f>
        <v>E-01</v>
      </c>
      <c r="C780" s="68" t="str">
        <f>INDEX(CATALOGO[Descripción],MATCH(PRESUPUESTO[[#This Row],[APLICACIÓN]]&amp;"-00-00-00",CATALOGO[Código],0))</f>
        <v>SERVICIOS PROFESIONALES</v>
      </c>
      <c r="D780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LA CUENTA SELECCIONADA NO PERMITE MOVIMIENTO</v>
      </c>
      <c r="E780" s="68" t="s">
        <v>3292</v>
      </c>
      <c r="F780" s="80">
        <v>-13470</v>
      </c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t="s">
        <v>3187</v>
      </c>
    </row>
    <row r="781" spans="1:19" x14ac:dyDescent="0.25">
      <c r="A781" t="s">
        <v>3213</v>
      </c>
      <c r="B781" s="68" t="str">
        <f>MID(PRESUPUESTO[[#This Row],[CUENTA]],1,4)</f>
        <v>I-03</v>
      </c>
      <c r="C781" s="68" t="str">
        <f>INDEX(CATALOGO[Descripción],MATCH(PRESUPUESTO[[#This Row],[APLICACIÓN]]&amp;"-00-00-00",CATALOGO[Código],0))</f>
        <v xml:space="preserve">PRE ESPECIALIDAD </v>
      </c>
      <c r="D781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>PREESPECIALIDAD CARRERAS TÉCNICAS FACULTAD  INFORMATICA Y CC APLIC</v>
      </c>
      <c r="E781" t="s">
        <v>3187</v>
      </c>
      <c r="F781" s="78">
        <v>18773</v>
      </c>
      <c r="S781" t="s">
        <v>3187</v>
      </c>
    </row>
    <row r="782" spans="1:19" hidden="1" x14ac:dyDescent="0.25">
      <c r="A782" t="s">
        <v>3296</v>
      </c>
      <c r="B782" s="68" t="str">
        <f>MID(PRESUPUESTO[[#This Row],[CUENTA]],1,4)</f>
        <v>E-02</v>
      </c>
      <c r="C782" s="68" t="str">
        <f>INDEX(CATALOGO[Descripción],MATCH(PRESUPUESTO[[#This Row],[APLICACIÓN]]&amp;"-00-00-00",CATALOGO[Código],0))</f>
        <v>PRESTAMOS BANCARIOS</v>
      </c>
      <c r="D782" s="68" t="str">
        <f>IF(INDEX(CATALOGO[Acepta movimientos],MATCH(PRESUPUESTO[[#This Row],[CUENTA]],CATALOGO[Código],0))="S",INDEX(CATALOGO[Descripción],MATCH(PRESUPUESTO[[#This Row],[CUENTA]],CATALOGO[Código],0)),"LA CUENTA SELECCIONADA NO PERMITE MOVIMIENTO")</f>
        <v xml:space="preserve">INTERESES BANCARIOS   </v>
      </c>
      <c r="S782" t="s">
        <v>3187</v>
      </c>
    </row>
  </sheetData>
  <conditionalFormatting sqref="A246">
    <cfRule type="duplicateValues" dxfId="9" priority="1"/>
    <cfRule type="duplicateValues" dxfId="8" priority="2"/>
  </conditionalFormatting>
  <conditionalFormatting sqref="A258:A259">
    <cfRule type="duplicateValues" dxfId="7" priority="9"/>
    <cfRule type="duplicateValues" dxfId="6" priority="10"/>
  </conditionalFormatting>
  <conditionalFormatting sqref="A436:A441">
    <cfRule type="duplicateValues" dxfId="5" priority="7"/>
    <cfRule type="duplicateValues" dxfId="4" priority="8"/>
  </conditionalFormatting>
  <conditionalFormatting sqref="A478">
    <cfRule type="duplicateValues" dxfId="3" priority="5"/>
    <cfRule type="duplicateValues" dxfId="2" priority="6"/>
  </conditionalFormatting>
  <conditionalFormatting sqref="A591:A592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J844"/>
  <sheetViews>
    <sheetView workbookViewId="0">
      <selection activeCell="G4" sqref="G4:G5"/>
    </sheetView>
  </sheetViews>
  <sheetFormatPr baseColWidth="10" defaultColWidth="11.42578125" defaultRowHeight="15" x14ac:dyDescent="0.25"/>
  <cols>
    <col min="2" max="2" width="16.5703125" customWidth="1"/>
    <col min="3" max="3" width="6.42578125" customWidth="1"/>
    <col min="4" max="4" width="14" customWidth="1"/>
    <col min="5" max="5" width="22.7109375" customWidth="1"/>
    <col min="6" max="6" width="29" customWidth="1"/>
    <col min="7" max="7" width="39.5703125" bestFit="1" customWidth="1"/>
    <col min="8" max="8" width="12.5703125" bestFit="1" customWidth="1"/>
    <col min="9" max="9" width="15.140625" customWidth="1"/>
  </cols>
  <sheetData>
    <row r="1" spans="1:10" x14ac:dyDescent="0.25">
      <c r="A1" s="11" t="s">
        <v>978</v>
      </c>
      <c r="B1" s="11" t="s">
        <v>982</v>
      </c>
      <c r="C1" s="12" t="s">
        <v>983</v>
      </c>
      <c r="D1" s="12" t="s">
        <v>984</v>
      </c>
      <c r="E1" s="12" t="s">
        <v>986</v>
      </c>
      <c r="F1" s="11" t="s">
        <v>980</v>
      </c>
      <c r="G1" s="11" t="s">
        <v>979</v>
      </c>
      <c r="H1" s="11" t="s">
        <v>3173</v>
      </c>
      <c r="I1" s="11" t="s">
        <v>977</v>
      </c>
      <c r="J1" s="11" t="s">
        <v>995</v>
      </c>
    </row>
    <row r="2" spans="1:10" x14ac:dyDescent="0.25">
      <c r="A2" s="13">
        <v>45306</v>
      </c>
      <c r="B2" s="14" t="s">
        <v>3201</v>
      </c>
      <c r="C2" s="14">
        <f>MONTH(INGRESOS[[#This Row],[FECHA]])</f>
        <v>1</v>
      </c>
      <c r="D2" s="13" t="str">
        <f>MID(INGRESOS[[#This Row],[CUENTA]],1,4)</f>
        <v>I-02</v>
      </c>
      <c r="E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2" s="14" t="s">
        <v>1314</v>
      </c>
      <c r="G2" s="14" t="s">
        <v>4017</v>
      </c>
      <c r="H2" s="15">
        <v>-80</v>
      </c>
      <c r="I2" s="16">
        <v>14</v>
      </c>
      <c r="J2" s="14"/>
    </row>
    <row r="3" spans="1:10" x14ac:dyDescent="0.25">
      <c r="A3" s="13">
        <v>45306</v>
      </c>
      <c r="B3" s="14" t="s">
        <v>3199</v>
      </c>
      <c r="C3" s="14">
        <f>MONTH(INGRESOS[[#This Row],[FECHA]])</f>
        <v>1</v>
      </c>
      <c r="D3" s="13" t="str">
        <f>MID(INGRESOS[[#This Row],[CUENTA]],1,4)</f>
        <v>I-01</v>
      </c>
      <c r="E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 PREGRADO</v>
      </c>
      <c r="F3" s="14" t="s">
        <v>4018</v>
      </c>
      <c r="G3" s="14" t="s">
        <v>4017</v>
      </c>
      <c r="H3" s="15">
        <v>-65</v>
      </c>
      <c r="I3" s="16">
        <v>14</v>
      </c>
      <c r="J3" s="14"/>
    </row>
    <row r="4" spans="1:10" x14ac:dyDescent="0.25">
      <c r="A4" s="13">
        <v>45306</v>
      </c>
      <c r="B4" s="14" t="s">
        <v>3195</v>
      </c>
      <c r="C4" s="14">
        <f>MONTH(INGRESOS[[#This Row],[FECHA]])</f>
        <v>1</v>
      </c>
      <c r="D4" s="13" t="str">
        <f>MID(INGRESOS[[#This Row],[CUENTA]],1,4)</f>
        <v>I-02</v>
      </c>
      <c r="E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4" s="14" t="s">
        <v>1314</v>
      </c>
      <c r="G4" s="14" t="s">
        <v>4019</v>
      </c>
      <c r="H4" s="15">
        <v>-80</v>
      </c>
      <c r="I4" s="16">
        <v>15</v>
      </c>
      <c r="J4" s="14"/>
    </row>
    <row r="5" spans="1:10" x14ac:dyDescent="0.25">
      <c r="A5" s="13">
        <v>45306</v>
      </c>
      <c r="B5" s="20" t="s">
        <v>3193</v>
      </c>
      <c r="C5" s="14">
        <f>MONTH(INGRESOS[[#This Row],[FECHA]])</f>
        <v>1</v>
      </c>
      <c r="D5" s="13" t="str">
        <f>MID(INGRESOS[[#This Row],[CUENTA]],1,4)</f>
        <v>I-01</v>
      </c>
      <c r="E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5" s="14" t="s">
        <v>4018</v>
      </c>
      <c r="G5" s="14" t="s">
        <v>4019</v>
      </c>
      <c r="H5" s="15">
        <v>-65</v>
      </c>
      <c r="I5" s="16">
        <v>15</v>
      </c>
      <c r="J5" s="14"/>
    </row>
    <row r="6" spans="1:10" x14ac:dyDescent="0.25">
      <c r="A6" s="13">
        <v>45308</v>
      </c>
      <c r="B6" s="20" t="s">
        <v>3206</v>
      </c>
      <c r="C6" s="14">
        <f>MONTH(INGRESOS[[#This Row],[FECHA]])</f>
        <v>1</v>
      </c>
      <c r="D6" s="13" t="str">
        <f>MID(INGRESOS[[#This Row],[CUENTA]],1,4)</f>
        <v>I-02</v>
      </c>
      <c r="E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FCCJ PREGRADO</v>
      </c>
      <c r="F6" s="14" t="s">
        <v>1314</v>
      </c>
      <c r="G6" s="14" t="s">
        <v>4020</v>
      </c>
      <c r="H6" s="15">
        <v>-80</v>
      </c>
      <c r="I6" s="16">
        <v>12</v>
      </c>
      <c r="J6" s="14"/>
    </row>
    <row r="7" spans="1:10" x14ac:dyDescent="0.25">
      <c r="A7" s="13">
        <v>45308</v>
      </c>
      <c r="B7" s="20" t="s">
        <v>3205</v>
      </c>
      <c r="C7" s="14">
        <f>MONTH(INGRESOS[[#This Row],[FECHA]])</f>
        <v>1</v>
      </c>
      <c r="D7" s="13" t="str">
        <f>MID(INGRESOS[[#This Row],[CUENTA]],1,4)</f>
        <v>I-01</v>
      </c>
      <c r="E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FCCJ PREGRADO</v>
      </c>
      <c r="F7" s="14" t="s">
        <v>4018</v>
      </c>
      <c r="G7" s="14" t="s">
        <v>4020</v>
      </c>
      <c r="H7" s="15">
        <v>-65</v>
      </c>
      <c r="I7" s="16">
        <v>12</v>
      </c>
      <c r="J7" s="14"/>
    </row>
    <row r="8" spans="1:10" x14ac:dyDescent="0.25">
      <c r="A8" s="13">
        <v>45308</v>
      </c>
      <c r="B8" s="20" t="s">
        <v>3195</v>
      </c>
      <c r="C8" s="14">
        <f>MONTH(INGRESOS[[#This Row],[FECHA]])</f>
        <v>1</v>
      </c>
      <c r="D8" s="13" t="str">
        <f>MID(INGRESOS[[#This Row],[CUENTA]],1,4)</f>
        <v>I-02</v>
      </c>
      <c r="E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8" s="14" t="s">
        <v>1314</v>
      </c>
      <c r="G8" s="14" t="s">
        <v>4021</v>
      </c>
      <c r="H8" s="15">
        <v>-80</v>
      </c>
      <c r="I8" s="16">
        <v>13</v>
      </c>
      <c r="J8" s="14"/>
    </row>
    <row r="9" spans="1:10" x14ac:dyDescent="0.25">
      <c r="A9" s="13">
        <v>45308</v>
      </c>
      <c r="B9" s="20" t="s">
        <v>3193</v>
      </c>
      <c r="C9" s="14">
        <f>MONTH(INGRESOS[[#This Row],[FECHA]])</f>
        <v>1</v>
      </c>
      <c r="D9" s="13" t="str">
        <f>MID(INGRESOS[[#This Row],[CUENTA]],1,4)</f>
        <v>I-01</v>
      </c>
      <c r="E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9" s="14" t="s">
        <v>4018</v>
      </c>
      <c r="G9" s="14" t="s">
        <v>4021</v>
      </c>
      <c r="H9" s="15">
        <v>-65</v>
      </c>
      <c r="I9" s="16">
        <v>13</v>
      </c>
      <c r="J9" s="14"/>
    </row>
    <row r="10" spans="1:10" x14ac:dyDescent="0.25">
      <c r="A10" s="13">
        <v>45308</v>
      </c>
      <c r="B10" s="20" t="s">
        <v>3195</v>
      </c>
      <c r="C10" s="14">
        <f>MONTH(INGRESOS[[#This Row],[FECHA]])</f>
        <v>1</v>
      </c>
      <c r="D10" s="13" t="str">
        <f>MID(INGRESOS[[#This Row],[CUENTA]],1,4)</f>
        <v>I-02</v>
      </c>
      <c r="E1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10" s="14" t="s">
        <v>1314</v>
      </c>
      <c r="G10" s="14" t="s">
        <v>4022</v>
      </c>
      <c r="H10" s="15">
        <v>-80</v>
      </c>
      <c r="I10" s="16">
        <v>14</v>
      </c>
      <c r="J10" s="14"/>
    </row>
    <row r="11" spans="1:10" x14ac:dyDescent="0.25">
      <c r="A11" s="13">
        <v>45308</v>
      </c>
      <c r="B11" s="20" t="s">
        <v>3193</v>
      </c>
      <c r="C11" s="14">
        <f>MONTH(INGRESOS[[#This Row],[FECHA]])</f>
        <v>1</v>
      </c>
      <c r="D11" s="13" t="str">
        <f>MID(INGRESOS[[#This Row],[CUENTA]],1,4)</f>
        <v>I-01</v>
      </c>
      <c r="E1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11" s="14" t="s">
        <v>4018</v>
      </c>
      <c r="G11" s="14" t="s">
        <v>4022</v>
      </c>
      <c r="H11" s="15">
        <v>-65</v>
      </c>
      <c r="I11" s="16">
        <v>14</v>
      </c>
      <c r="J11" s="14"/>
    </row>
    <row r="12" spans="1:10" x14ac:dyDescent="0.25">
      <c r="A12" s="13">
        <v>45313</v>
      </c>
      <c r="B12" s="20" t="s">
        <v>3197</v>
      </c>
      <c r="C12" s="14">
        <f>MONTH(INGRESOS[[#This Row],[FECHA]])</f>
        <v>1</v>
      </c>
      <c r="D12" s="13" t="str">
        <f>MID(INGRESOS[[#This Row],[CUENTA]],1,4)</f>
        <v>I-06</v>
      </c>
      <c r="E1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Pregrado</v>
      </c>
      <c r="F12" s="14" t="s">
        <v>66</v>
      </c>
      <c r="G12" s="14" t="s">
        <v>4023</v>
      </c>
      <c r="H12" s="15">
        <v>-20</v>
      </c>
      <c r="I12" s="16">
        <v>11</v>
      </c>
      <c r="J12" s="14"/>
    </row>
    <row r="13" spans="1:10" x14ac:dyDescent="0.25">
      <c r="A13" s="13">
        <v>45313</v>
      </c>
      <c r="B13" s="20" t="s">
        <v>3197</v>
      </c>
      <c r="C13" s="14">
        <f>MONTH(INGRESOS[[#This Row],[FECHA]])</f>
        <v>1</v>
      </c>
      <c r="D13" s="13" t="str">
        <f>MID(INGRESOS[[#This Row],[CUENTA]],1,4)</f>
        <v>I-06</v>
      </c>
      <c r="E1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Pregrado</v>
      </c>
      <c r="F13" s="14" t="s">
        <v>66</v>
      </c>
      <c r="G13" s="14" t="s">
        <v>4024</v>
      </c>
      <c r="H13" s="15">
        <v>-100</v>
      </c>
      <c r="I13" s="16">
        <v>12</v>
      </c>
      <c r="J13" s="14"/>
    </row>
    <row r="14" spans="1:10" x14ac:dyDescent="0.25">
      <c r="A14" s="13">
        <v>45313</v>
      </c>
      <c r="B14" s="20" t="s">
        <v>3201</v>
      </c>
      <c r="C14" s="14">
        <f>MONTH(INGRESOS[[#This Row],[FECHA]])</f>
        <v>1</v>
      </c>
      <c r="D14" s="13" t="str">
        <f>MID(INGRESOS[[#This Row],[CUENTA]],1,4)</f>
        <v>I-02</v>
      </c>
      <c r="E1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14" s="14" t="s">
        <v>1314</v>
      </c>
      <c r="G14" s="14" t="s">
        <v>4025</v>
      </c>
      <c r="H14" s="15">
        <v>-80</v>
      </c>
      <c r="I14" s="16">
        <v>13</v>
      </c>
      <c r="J14" s="14"/>
    </row>
    <row r="15" spans="1:10" x14ac:dyDescent="0.25">
      <c r="A15" s="13">
        <v>45313</v>
      </c>
      <c r="B15" s="20" t="s">
        <v>3199</v>
      </c>
      <c r="C15" s="14">
        <f>MONTH(INGRESOS[[#This Row],[FECHA]])</f>
        <v>1</v>
      </c>
      <c r="D15" s="13" t="str">
        <f>MID(INGRESOS[[#This Row],[CUENTA]],1,4)</f>
        <v>I-01</v>
      </c>
      <c r="E1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 PREGRADO</v>
      </c>
      <c r="F15" s="14" t="s">
        <v>4018</v>
      </c>
      <c r="G15" s="14" t="s">
        <v>4025</v>
      </c>
      <c r="H15" s="15">
        <v>-65</v>
      </c>
      <c r="I15" s="16">
        <v>13</v>
      </c>
      <c r="J15" s="14"/>
    </row>
    <row r="16" spans="1:10" x14ac:dyDescent="0.25">
      <c r="A16" s="13">
        <v>45313</v>
      </c>
      <c r="B16" s="20" t="s">
        <v>3201</v>
      </c>
      <c r="C16" s="14">
        <f>MONTH(INGRESOS[[#This Row],[FECHA]])</f>
        <v>1</v>
      </c>
      <c r="D16" s="13" t="str">
        <f>MID(INGRESOS[[#This Row],[CUENTA]],1,4)</f>
        <v>I-02</v>
      </c>
      <c r="E1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16" s="14" t="s">
        <v>1314</v>
      </c>
      <c r="G16" s="14" t="s">
        <v>4026</v>
      </c>
      <c r="H16" s="15">
        <v>-80</v>
      </c>
      <c r="I16" s="16">
        <v>14</v>
      </c>
      <c r="J16" s="14"/>
    </row>
    <row r="17" spans="1:10" x14ac:dyDescent="0.25">
      <c r="A17" s="13">
        <v>45313</v>
      </c>
      <c r="B17" s="20" t="s">
        <v>3205</v>
      </c>
      <c r="C17" s="14">
        <f>MONTH(INGRESOS[[#This Row],[FECHA]])</f>
        <v>1</v>
      </c>
      <c r="D17" s="13" t="str">
        <f>MID(INGRESOS[[#This Row],[CUENTA]],1,4)</f>
        <v>I-01</v>
      </c>
      <c r="E1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FCCJ PREGRADO</v>
      </c>
      <c r="F17" s="14" t="s">
        <v>1314</v>
      </c>
      <c r="G17" s="14" t="s">
        <v>4027</v>
      </c>
      <c r="H17" s="15">
        <v>-80</v>
      </c>
      <c r="I17" s="16">
        <v>15</v>
      </c>
      <c r="J17" s="14"/>
    </row>
    <row r="18" spans="1:10" x14ac:dyDescent="0.25">
      <c r="A18" s="13">
        <v>45322</v>
      </c>
      <c r="B18" s="174" t="s">
        <v>1924</v>
      </c>
      <c r="C18" s="14">
        <f>MONTH(INGRESOS[[#This Row],[FECHA]])</f>
        <v>1</v>
      </c>
      <c r="D18" s="13" t="str">
        <f>MID(INGRESOS[[#This Row],[CUENTA]],1,4)</f>
        <v>I-01</v>
      </c>
      <c r="E1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PREGRADO</v>
      </c>
      <c r="F18" s="14"/>
      <c r="G18" s="14" t="s">
        <v>4028</v>
      </c>
      <c r="H18" s="15">
        <v>428958.53</v>
      </c>
      <c r="I18" s="16"/>
      <c r="J18" s="14"/>
    </row>
    <row r="19" spans="1:10" x14ac:dyDescent="0.25">
      <c r="A19" s="13">
        <v>45322</v>
      </c>
      <c r="B19" s="174" t="s">
        <v>3188</v>
      </c>
      <c r="C19" s="14">
        <f>MONTH(INGRESOS[[#This Row],[FECHA]])</f>
        <v>1</v>
      </c>
      <c r="D19" s="13" t="str">
        <f>MID(INGRESOS[[#This Row],[CUENTA]],1,4)</f>
        <v>I-01</v>
      </c>
      <c r="E1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TÉCNICOS</v>
      </c>
      <c r="F19" s="14"/>
      <c r="G19" s="14" t="s">
        <v>4028</v>
      </c>
      <c r="H19" s="15">
        <v>22749.8</v>
      </c>
      <c r="I19" s="16"/>
      <c r="J19" s="14"/>
    </row>
    <row r="20" spans="1:10" x14ac:dyDescent="0.25">
      <c r="A20" s="13">
        <v>45322</v>
      </c>
      <c r="B20" s="174" t="s">
        <v>3193</v>
      </c>
      <c r="C20" s="14">
        <f>MONTH(INGRESOS[[#This Row],[FECHA]])</f>
        <v>1</v>
      </c>
      <c r="D20" s="13" t="str">
        <f>MID(INGRESOS[[#This Row],[CUENTA]],1,4)</f>
        <v>I-01</v>
      </c>
      <c r="E2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20" s="14"/>
      <c r="G20" s="14" t="s">
        <v>4028</v>
      </c>
      <c r="H20" s="15">
        <v>400530.28</v>
      </c>
      <c r="I20" s="16"/>
      <c r="J20" s="14"/>
    </row>
    <row r="21" spans="1:10" x14ac:dyDescent="0.25">
      <c r="A21" s="13">
        <v>45322</v>
      </c>
      <c r="B21" s="174" t="s">
        <v>3199</v>
      </c>
      <c r="C21" s="14">
        <f>MONTH(INGRESOS[[#This Row],[FECHA]])</f>
        <v>1</v>
      </c>
      <c r="D21" s="13" t="str">
        <f>MID(INGRESOS[[#This Row],[CUENTA]],1,4)</f>
        <v>I-01</v>
      </c>
      <c r="E2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 PREGRADO</v>
      </c>
      <c r="F21" s="14"/>
      <c r="G21" s="14" t="s">
        <v>4028</v>
      </c>
      <c r="H21" s="15">
        <v>280596.65000000002</v>
      </c>
      <c r="I21" s="16"/>
      <c r="J21" s="14"/>
    </row>
    <row r="22" spans="1:10" x14ac:dyDescent="0.25">
      <c r="A22" s="13">
        <v>45322</v>
      </c>
      <c r="B22" s="174" t="s">
        <v>3200</v>
      </c>
      <c r="C22" s="14">
        <f>MONTH(INGRESOS[[#This Row],[FECHA]])</f>
        <v>1</v>
      </c>
      <c r="D22" s="13" t="str">
        <f>MID(INGRESOS[[#This Row],[CUENTA]],1,4)</f>
        <v>I-01</v>
      </c>
      <c r="E2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FCCSTÉCNICOS</v>
      </c>
      <c r="F22" s="14"/>
      <c r="G22" s="14" t="s">
        <v>4028</v>
      </c>
      <c r="H22" s="15">
        <v>4697.5</v>
      </c>
      <c r="I22" s="16"/>
      <c r="J22" s="14"/>
    </row>
    <row r="23" spans="1:10" x14ac:dyDescent="0.25">
      <c r="A23" s="13">
        <v>45322</v>
      </c>
      <c r="B23" s="174" t="s">
        <v>3205</v>
      </c>
      <c r="C23" s="14">
        <f>MONTH(INGRESOS[[#This Row],[FECHA]])</f>
        <v>1</v>
      </c>
      <c r="D23" s="13" t="str">
        <f>MID(INGRESOS[[#This Row],[CUENTA]],1,4)</f>
        <v>I-01</v>
      </c>
      <c r="E2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FCCJ PREGRADO</v>
      </c>
      <c r="F23" s="14"/>
      <c r="G23" s="14" t="s">
        <v>4028</v>
      </c>
      <c r="H23" s="15">
        <v>157406.87</v>
      </c>
      <c r="I23" s="16"/>
      <c r="J23" s="14"/>
    </row>
    <row r="24" spans="1:10" x14ac:dyDescent="0.25">
      <c r="A24" s="13">
        <v>45322</v>
      </c>
      <c r="B24" s="174" t="s">
        <v>3189</v>
      </c>
      <c r="C24" s="14">
        <f>MONTH(INGRESOS[[#This Row],[FECHA]])</f>
        <v>1</v>
      </c>
      <c r="D24" s="13" t="str">
        <f>MID(INGRESOS[[#This Row],[CUENTA]],1,4)</f>
        <v>I-02</v>
      </c>
      <c r="E2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FCCE PREGRADO</v>
      </c>
      <c r="F24" s="14"/>
      <c r="G24" s="14" t="s">
        <v>4028</v>
      </c>
      <c r="H24" s="15">
        <v>438417</v>
      </c>
      <c r="I24" s="16"/>
      <c r="J24" s="14"/>
    </row>
    <row r="25" spans="1:10" x14ac:dyDescent="0.25">
      <c r="A25" s="13">
        <v>45322</v>
      </c>
      <c r="B25" s="174" t="s">
        <v>3190</v>
      </c>
      <c r="C25" s="14">
        <f>MONTH(INGRESOS[[#This Row],[FECHA]])</f>
        <v>1</v>
      </c>
      <c r="D25" s="13" t="str">
        <f>MID(INGRESOS[[#This Row],[CUENTA]],1,4)</f>
        <v>I-02</v>
      </c>
      <c r="E2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FCCE TÉCNICOS</v>
      </c>
      <c r="F25" s="14"/>
      <c r="G25" s="14" t="s">
        <v>4028</v>
      </c>
      <c r="H25" s="15">
        <v>25920</v>
      </c>
      <c r="I25" s="16"/>
      <c r="J25" s="14"/>
    </row>
    <row r="26" spans="1:10" x14ac:dyDescent="0.25">
      <c r="A26" s="13">
        <v>45322</v>
      </c>
      <c r="B26" s="174" t="s">
        <v>3195</v>
      </c>
      <c r="C26" s="14">
        <f>MONTH(INGRESOS[[#This Row],[FECHA]])</f>
        <v>1</v>
      </c>
      <c r="D26" s="13" t="str">
        <f>MID(INGRESOS[[#This Row],[CUENTA]],1,4)</f>
        <v>I-02</v>
      </c>
      <c r="E2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26" s="14"/>
      <c r="G26" s="14" t="s">
        <v>4028</v>
      </c>
      <c r="H26" s="15">
        <v>413286.55</v>
      </c>
      <c r="I26" s="16"/>
      <c r="J26" s="14"/>
    </row>
    <row r="27" spans="1:10" x14ac:dyDescent="0.25">
      <c r="A27" s="13">
        <v>45322</v>
      </c>
      <c r="B27" s="174" t="s">
        <v>3196</v>
      </c>
      <c r="C27" s="14">
        <f>MONTH(INGRESOS[[#This Row],[FECHA]])</f>
        <v>1</v>
      </c>
      <c r="D27" s="13" t="str">
        <f>MID(INGRESOS[[#This Row],[CUENTA]],1,4)</f>
        <v>I-02</v>
      </c>
      <c r="E2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TÉCNICOS</v>
      </c>
      <c r="F27" s="14"/>
      <c r="G27" s="14" t="s">
        <v>4028</v>
      </c>
      <c r="H27" s="15">
        <v>53556.75</v>
      </c>
      <c r="I27" s="16"/>
      <c r="J27" s="14"/>
    </row>
    <row r="28" spans="1:10" x14ac:dyDescent="0.25">
      <c r="A28" s="13">
        <v>45322</v>
      </c>
      <c r="B28" s="174" t="s">
        <v>3201</v>
      </c>
      <c r="C28" s="14">
        <f>MONTH(INGRESOS[[#This Row],[FECHA]])</f>
        <v>1</v>
      </c>
      <c r="D28" s="13" t="str">
        <f>MID(INGRESOS[[#This Row],[CUENTA]],1,4)</f>
        <v>I-02</v>
      </c>
      <c r="E2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28" s="14"/>
      <c r="G28" s="14" t="s">
        <v>4028</v>
      </c>
      <c r="H28" s="15">
        <v>296937</v>
      </c>
      <c r="I28" s="16"/>
      <c r="J28" s="14"/>
    </row>
    <row r="29" spans="1:10" x14ac:dyDescent="0.25">
      <c r="A29" s="13">
        <v>45322</v>
      </c>
      <c r="B29" s="174" t="s">
        <v>3202</v>
      </c>
      <c r="C29" s="14">
        <f>MONTH(INGRESOS[[#This Row],[FECHA]])</f>
        <v>1</v>
      </c>
      <c r="D29" s="13" t="str">
        <f>MID(INGRESOS[[#This Row],[CUENTA]],1,4)</f>
        <v>I-02</v>
      </c>
      <c r="E2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FCCSTÉCNICOS</v>
      </c>
      <c r="F29" s="14"/>
      <c r="G29" s="14" t="s">
        <v>4028</v>
      </c>
      <c r="H29" s="15">
        <v>5015</v>
      </c>
      <c r="I29" s="16"/>
      <c r="J29" s="14"/>
    </row>
    <row r="30" spans="1:10" x14ac:dyDescent="0.25">
      <c r="A30" s="13">
        <v>45322</v>
      </c>
      <c r="B30" s="174" t="s">
        <v>3206</v>
      </c>
      <c r="C30" s="14">
        <f>MONTH(INGRESOS[[#This Row],[FECHA]])</f>
        <v>1</v>
      </c>
      <c r="D30" s="13" t="str">
        <f>MID(INGRESOS[[#This Row],[CUENTA]],1,4)</f>
        <v>I-02</v>
      </c>
      <c r="E3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FCCJ PREGRADO</v>
      </c>
      <c r="F30" s="14"/>
      <c r="G30" s="14" t="s">
        <v>4028</v>
      </c>
      <c r="H30" s="15">
        <v>165286</v>
      </c>
      <c r="I30" s="16"/>
      <c r="J30" s="14"/>
    </row>
    <row r="31" spans="1:10" x14ac:dyDescent="0.25">
      <c r="A31" s="13">
        <v>45322</v>
      </c>
      <c r="B31" s="174" t="s">
        <v>3208</v>
      </c>
      <c r="C31" s="14">
        <f>MONTH(INGRESOS[[#This Row],[FECHA]])</f>
        <v>1</v>
      </c>
      <c r="D31" s="13" t="str">
        <f>MID(INGRESOS[[#This Row],[CUENTA]],1,4)</f>
        <v>I-03</v>
      </c>
      <c r="E3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EMPRESARIALES</v>
      </c>
      <c r="F31" s="14"/>
      <c r="G31" s="14" t="s">
        <v>4028</v>
      </c>
      <c r="H31" s="15">
        <v>42935</v>
      </c>
      <c r="I31" s="16"/>
      <c r="J31" s="14"/>
    </row>
    <row r="32" spans="1:10" x14ac:dyDescent="0.25">
      <c r="A32" s="13">
        <v>45322</v>
      </c>
      <c r="B32" s="174" t="s">
        <v>3209</v>
      </c>
      <c r="C32" s="14">
        <f>MONTH(INGRESOS[[#This Row],[FECHA]])</f>
        <v>1</v>
      </c>
      <c r="D32" s="13" t="str">
        <f>MID(INGRESOS[[#This Row],[CUENTA]],1,4)</f>
        <v>I-03</v>
      </c>
      <c r="E3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 INFORMATICA Y CC APLIC</v>
      </c>
      <c r="F32" s="14"/>
      <c r="G32" s="14" t="s">
        <v>4028</v>
      </c>
      <c r="H32" s="15">
        <v>28115</v>
      </c>
      <c r="I32" s="16"/>
      <c r="J32" s="14"/>
    </row>
    <row r="33" spans="1:10" x14ac:dyDescent="0.25">
      <c r="A33" s="13">
        <v>45322</v>
      </c>
      <c r="B33" s="174" t="s">
        <v>3210</v>
      </c>
      <c r="C33" s="14">
        <f>MONTH(INGRESOS[[#This Row],[FECHA]])</f>
        <v>1</v>
      </c>
      <c r="D33" s="13" t="str">
        <f>MID(INGRESOS[[#This Row],[CUENTA]],1,4)</f>
        <v>I-03</v>
      </c>
      <c r="E3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SOCIALES</v>
      </c>
      <c r="F33" s="14"/>
      <c r="G33" s="14" t="s">
        <v>4028</v>
      </c>
      <c r="H33" s="15">
        <v>24555</v>
      </c>
      <c r="I33" s="16"/>
      <c r="J33" s="14"/>
    </row>
    <row r="34" spans="1:10" x14ac:dyDescent="0.25">
      <c r="A34" s="13">
        <v>45322</v>
      </c>
      <c r="B34" s="174" t="s">
        <v>3211</v>
      </c>
      <c r="C34" s="14">
        <f>MONTH(INGRESOS[[#This Row],[FECHA]])</f>
        <v>1</v>
      </c>
      <c r="D34" s="13" t="str">
        <f>MID(INGRESOS[[#This Row],[CUENTA]],1,4)</f>
        <v>I-03</v>
      </c>
      <c r="E3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JURIDICAS</v>
      </c>
      <c r="F34" s="14"/>
      <c r="G34" s="14" t="s">
        <v>4028</v>
      </c>
      <c r="H34" s="15">
        <v>13050</v>
      </c>
      <c r="I34" s="16"/>
      <c r="J34" s="14"/>
    </row>
    <row r="35" spans="1:10" x14ac:dyDescent="0.25">
      <c r="A35" s="13">
        <v>45322</v>
      </c>
      <c r="B35" s="174" t="s">
        <v>3212</v>
      </c>
      <c r="C35" s="14">
        <f>MONTH(INGRESOS[[#This Row],[FECHA]])</f>
        <v>1</v>
      </c>
      <c r="D35" s="13" t="str">
        <f>MID(INGRESOS[[#This Row],[CUENTA]],1,4)</f>
        <v>I-03</v>
      </c>
      <c r="E3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EMPRESARIALES</v>
      </c>
      <c r="F35" s="14"/>
      <c r="G35" s="14" t="s">
        <v>4028</v>
      </c>
      <c r="H35" s="15">
        <v>1993.54</v>
      </c>
      <c r="I35" s="16"/>
      <c r="J35" s="14"/>
    </row>
    <row r="36" spans="1:10" x14ac:dyDescent="0.25">
      <c r="A36" s="13">
        <v>45322</v>
      </c>
      <c r="B36" s="174" t="s">
        <v>3213</v>
      </c>
      <c r="C36" s="14">
        <f>MONTH(INGRESOS[[#This Row],[FECHA]])</f>
        <v>1</v>
      </c>
      <c r="D36" s="13" t="str">
        <f>MID(INGRESOS[[#This Row],[CUENTA]],1,4)</f>
        <v>I-03</v>
      </c>
      <c r="E3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 INFORMATICA Y CC APLIC</v>
      </c>
      <c r="F36" s="14"/>
      <c r="G36" s="14" t="s">
        <v>4028</v>
      </c>
      <c r="H36" s="15">
        <v>3194.94</v>
      </c>
      <c r="I36" s="16"/>
      <c r="J36" s="14"/>
    </row>
    <row r="37" spans="1:10" x14ac:dyDescent="0.25">
      <c r="A37" s="13">
        <v>45322</v>
      </c>
      <c r="B37" s="174" t="s">
        <v>3214</v>
      </c>
      <c r="C37" s="14">
        <f>MONTH(INGRESOS[[#This Row],[FECHA]])</f>
        <v>1</v>
      </c>
      <c r="D37" s="13" t="str">
        <f>MID(INGRESOS[[#This Row],[CUENTA]],1,4)</f>
        <v>I-03</v>
      </c>
      <c r="E3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SOCIALES</v>
      </c>
      <c r="F37" s="14"/>
      <c r="G37" s="14" t="s">
        <v>4028</v>
      </c>
      <c r="H37" s="15">
        <v>591.41999999999996</v>
      </c>
      <c r="I37" s="16"/>
      <c r="J37" s="14"/>
    </row>
    <row r="38" spans="1:10" x14ac:dyDescent="0.25">
      <c r="A38" s="13">
        <v>45322</v>
      </c>
      <c r="B38" s="174" t="s">
        <v>1023</v>
      </c>
      <c r="C38" s="14">
        <f>MONTH(INGRESOS[[#This Row],[FECHA]])</f>
        <v>1</v>
      </c>
      <c r="D38" s="13" t="str">
        <f>MID(INGRESOS[[#This Row],[CUENTA]],1,4)</f>
        <v>I-04</v>
      </c>
      <c r="E3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EMPRESARIALES</v>
      </c>
      <c r="F38" s="14"/>
      <c r="G38" s="14" t="s">
        <v>4028</v>
      </c>
      <c r="H38" s="15">
        <v>1630</v>
      </c>
      <c r="I38" s="16"/>
      <c r="J38" s="14"/>
    </row>
    <row r="39" spans="1:10" x14ac:dyDescent="0.25">
      <c r="A39" s="13">
        <v>45322</v>
      </c>
      <c r="B39" s="174" t="s">
        <v>1024</v>
      </c>
      <c r="C39" s="14">
        <f>MONTH(INGRESOS[[#This Row],[FECHA]])</f>
        <v>1</v>
      </c>
      <c r="D39" s="13" t="str">
        <f>MID(INGRESOS[[#This Row],[CUENTA]],1,4)</f>
        <v>I-04</v>
      </c>
      <c r="E3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SOCIALES</v>
      </c>
      <c r="F39" s="14"/>
      <c r="G39" s="14" t="s">
        <v>4028</v>
      </c>
      <c r="H39" s="15">
        <v>41.25</v>
      </c>
      <c r="I39" s="16"/>
      <c r="J39" s="14"/>
    </row>
    <row r="40" spans="1:10" x14ac:dyDescent="0.25">
      <c r="A40" s="13">
        <v>45322</v>
      </c>
      <c r="B40" s="174" t="s">
        <v>3219</v>
      </c>
      <c r="C40" s="14">
        <f>MONTH(INGRESOS[[#This Row],[FECHA]])</f>
        <v>1</v>
      </c>
      <c r="D40" s="13" t="str">
        <f>MID(INGRESOS[[#This Row],[CUENTA]],1,4)</f>
        <v>I-04</v>
      </c>
      <c r="E4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CC SOCIALES</v>
      </c>
      <c r="F40" s="14"/>
      <c r="G40" s="14" t="s">
        <v>4028</v>
      </c>
      <c r="H40" s="15">
        <v>280</v>
      </c>
      <c r="I40" s="16"/>
      <c r="J40" s="14"/>
    </row>
    <row r="41" spans="1:10" x14ac:dyDescent="0.25">
      <c r="A41" s="13">
        <v>45322</v>
      </c>
      <c r="B41" s="174" t="s">
        <v>3228</v>
      </c>
      <c r="C41" s="14">
        <f>MONTH(INGRESOS[[#This Row],[FECHA]])</f>
        <v>1</v>
      </c>
      <c r="D41" s="13" t="str">
        <f>MID(INGRESOS[[#This Row],[CUENTA]],1,4)</f>
        <v>I-05</v>
      </c>
      <c r="E4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41" s="14"/>
      <c r="G41" s="14" t="s">
        <v>4028</v>
      </c>
      <c r="H41" s="15">
        <v>220</v>
      </c>
      <c r="I41" s="16"/>
      <c r="J41" s="14"/>
    </row>
    <row r="42" spans="1:10" x14ac:dyDescent="0.25">
      <c r="A42" s="13">
        <v>45322</v>
      </c>
      <c r="B42" s="174" t="s">
        <v>3229</v>
      </c>
      <c r="C42" s="14">
        <f>MONTH(INGRESOS[[#This Row],[FECHA]])</f>
        <v>1</v>
      </c>
      <c r="D42" s="13" t="str">
        <f>MID(INGRESOS[[#This Row],[CUENTA]],1,4)</f>
        <v>I-05</v>
      </c>
      <c r="E4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42" s="14"/>
      <c r="G42" s="14" t="s">
        <v>4028</v>
      </c>
      <c r="H42" s="15">
        <v>10</v>
      </c>
      <c r="I42" s="16"/>
      <c r="J42" s="14"/>
    </row>
    <row r="43" spans="1:10" x14ac:dyDescent="0.25">
      <c r="A43" s="13">
        <v>45322</v>
      </c>
      <c r="B43" s="174" t="s">
        <v>3232</v>
      </c>
      <c r="C43" s="14">
        <f>MONTH(INGRESOS[[#This Row],[FECHA]])</f>
        <v>1</v>
      </c>
      <c r="D43" s="13" t="str">
        <f>MID(INGRESOS[[#This Row],[CUENTA]],1,4)</f>
        <v>I-05</v>
      </c>
      <c r="E4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43" s="14"/>
      <c r="G43" s="14" t="s">
        <v>4028</v>
      </c>
      <c r="H43" s="15">
        <v>7735</v>
      </c>
      <c r="I43" s="16"/>
      <c r="J43" s="14"/>
    </row>
    <row r="44" spans="1:10" x14ac:dyDescent="0.25">
      <c r="A44" s="13">
        <v>45322</v>
      </c>
      <c r="B44" s="174" t="s">
        <v>3233</v>
      </c>
      <c r="C44" s="14">
        <f>MONTH(INGRESOS[[#This Row],[FECHA]])</f>
        <v>1</v>
      </c>
      <c r="D44" s="13" t="str">
        <f>MID(INGRESOS[[#This Row],[CUENTA]],1,4)</f>
        <v>I-05</v>
      </c>
      <c r="E4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44" s="14"/>
      <c r="G44" s="14" t="s">
        <v>4028</v>
      </c>
      <c r="H44" s="15">
        <v>6825</v>
      </c>
      <c r="I44" s="16"/>
      <c r="J44" s="14"/>
    </row>
    <row r="45" spans="1:10" x14ac:dyDescent="0.25">
      <c r="A45" s="13">
        <v>45322</v>
      </c>
      <c r="B45" s="174" t="s">
        <v>3234</v>
      </c>
      <c r="C45" s="14">
        <f>MONTH(INGRESOS[[#This Row],[FECHA]])</f>
        <v>1</v>
      </c>
      <c r="D45" s="13" t="str">
        <f>MID(INGRESOS[[#This Row],[CUENTA]],1,4)</f>
        <v>I-05</v>
      </c>
      <c r="E4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45" s="14"/>
      <c r="G45" s="14" t="s">
        <v>4028</v>
      </c>
      <c r="H45" s="15">
        <v>518.79999999999995</v>
      </c>
      <c r="I45" s="16"/>
      <c r="J45" s="14"/>
    </row>
    <row r="46" spans="1:10" x14ac:dyDescent="0.25">
      <c r="A46" s="13">
        <v>45322</v>
      </c>
      <c r="B46" s="174" t="s">
        <v>3251</v>
      </c>
      <c r="C46" s="14">
        <f>MONTH(INGRESOS[[#This Row],[FECHA]])</f>
        <v>1</v>
      </c>
      <c r="D46" s="13" t="str">
        <f>MID(INGRESOS[[#This Row],[CUENTA]],1,4)</f>
        <v>I-05</v>
      </c>
      <c r="E4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46" s="14"/>
      <c r="G46" s="14" t="s">
        <v>4028</v>
      </c>
      <c r="H46" s="15">
        <v>240</v>
      </c>
      <c r="I46" s="16"/>
      <c r="J46" s="14"/>
    </row>
    <row r="47" spans="1:10" x14ac:dyDescent="0.25">
      <c r="A47" s="13">
        <v>45322</v>
      </c>
      <c r="B47" s="174" t="s">
        <v>3252</v>
      </c>
      <c r="C47" s="14">
        <f>MONTH(INGRESOS[[#This Row],[FECHA]])</f>
        <v>1</v>
      </c>
      <c r="D47" s="13" t="str">
        <f>MID(INGRESOS[[#This Row],[CUENTA]],1,4)</f>
        <v>I-05</v>
      </c>
      <c r="E4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47" s="14"/>
      <c r="G47" s="14" t="s">
        <v>4028</v>
      </c>
      <c r="H47" s="15">
        <v>25990</v>
      </c>
      <c r="I47" s="16"/>
      <c r="J47" s="14"/>
    </row>
    <row r="48" spans="1:10" x14ac:dyDescent="0.25">
      <c r="A48" s="13">
        <v>45322</v>
      </c>
      <c r="B48" s="174" t="s">
        <v>3253</v>
      </c>
      <c r="C48" s="14">
        <f>MONTH(INGRESOS[[#This Row],[FECHA]])</f>
        <v>1</v>
      </c>
      <c r="D48" s="13" t="str">
        <f>MID(INGRESOS[[#This Row],[CUENTA]],1,4)</f>
        <v>I-05</v>
      </c>
      <c r="E4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48" s="14"/>
      <c r="G48" s="14" t="s">
        <v>4028</v>
      </c>
      <c r="H48" s="15">
        <v>3960</v>
      </c>
      <c r="I48" s="16"/>
      <c r="J48" s="14"/>
    </row>
    <row r="49" spans="1:10" x14ac:dyDescent="0.25">
      <c r="A49" s="13">
        <v>45322</v>
      </c>
      <c r="B49" s="174" t="s">
        <v>3254</v>
      </c>
      <c r="C49" s="14">
        <f>MONTH(INGRESOS[[#This Row],[FECHA]])</f>
        <v>1</v>
      </c>
      <c r="D49" s="13" t="str">
        <f>MID(INGRESOS[[#This Row],[CUENTA]],1,4)</f>
        <v>I-05</v>
      </c>
      <c r="E4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49" s="14"/>
      <c r="G49" s="14" t="s">
        <v>4028</v>
      </c>
      <c r="H49" s="15">
        <v>557.22</v>
      </c>
      <c r="I49" s="16"/>
      <c r="J49" s="14"/>
    </row>
    <row r="50" spans="1:10" x14ac:dyDescent="0.25">
      <c r="A50" s="13">
        <v>45322</v>
      </c>
      <c r="B50" s="174" t="s">
        <v>3256</v>
      </c>
      <c r="C50" s="14">
        <f>MONTH(INGRESOS[[#This Row],[FECHA]])</f>
        <v>1</v>
      </c>
      <c r="D50" s="13" t="str">
        <f>MID(INGRESOS[[#This Row],[CUENTA]],1,4)</f>
        <v>I-05</v>
      </c>
      <c r="E5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50" s="14"/>
      <c r="G50" s="14" t="s">
        <v>4028</v>
      </c>
      <c r="H50" s="15">
        <v>480</v>
      </c>
      <c r="I50" s="16"/>
      <c r="J50" s="14"/>
    </row>
    <row r="51" spans="1:10" x14ac:dyDescent="0.25">
      <c r="A51" s="13">
        <v>45322</v>
      </c>
      <c r="B51" s="174" t="s">
        <v>3257</v>
      </c>
      <c r="C51" s="14">
        <f>MONTH(INGRESOS[[#This Row],[FECHA]])</f>
        <v>1</v>
      </c>
      <c r="D51" s="13" t="str">
        <f>MID(INGRESOS[[#This Row],[CUENTA]],1,4)</f>
        <v>I-05</v>
      </c>
      <c r="E5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51" s="14"/>
      <c r="G51" s="14" t="s">
        <v>4028</v>
      </c>
      <c r="H51" s="15">
        <v>5665</v>
      </c>
      <c r="I51" s="16"/>
      <c r="J51" s="14"/>
    </row>
    <row r="52" spans="1:10" x14ac:dyDescent="0.25">
      <c r="A52" s="13">
        <v>45322</v>
      </c>
      <c r="B52" s="174" t="s">
        <v>3258</v>
      </c>
      <c r="C52" s="14">
        <f>MONTH(INGRESOS[[#This Row],[FECHA]])</f>
        <v>1</v>
      </c>
      <c r="D52" s="13" t="str">
        <f>MID(INGRESOS[[#This Row],[CUENTA]],1,4)</f>
        <v>I-05</v>
      </c>
      <c r="E5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52" s="14"/>
      <c r="G52" s="14" t="s">
        <v>4028</v>
      </c>
      <c r="H52" s="15">
        <v>770</v>
      </c>
      <c r="I52" s="16"/>
      <c r="J52" s="14"/>
    </row>
    <row r="53" spans="1:10" x14ac:dyDescent="0.25">
      <c r="A53" s="13">
        <v>45322</v>
      </c>
      <c r="B53" s="174" t="s">
        <v>3259</v>
      </c>
      <c r="C53" s="14">
        <f>MONTH(INGRESOS[[#This Row],[FECHA]])</f>
        <v>1</v>
      </c>
      <c r="D53" s="40" t="str">
        <f>MID(INGRESOS[[#This Row],[CUENTA]],1,4)</f>
        <v>I-05</v>
      </c>
      <c r="E53" s="41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53" s="41"/>
      <c r="G53" s="41" t="s">
        <v>4028</v>
      </c>
      <c r="H53" s="42">
        <v>280.8</v>
      </c>
      <c r="I53" s="43"/>
      <c r="J53" s="14"/>
    </row>
    <row r="54" spans="1:10" x14ac:dyDescent="0.25">
      <c r="A54" s="13">
        <v>45322</v>
      </c>
      <c r="B54" s="174" t="s">
        <v>3262</v>
      </c>
      <c r="C54" s="14">
        <f>MONTH(INGRESOS[[#This Row],[FECHA]])</f>
        <v>1</v>
      </c>
      <c r="D54" s="13" t="str">
        <f>MID(INGRESOS[[#This Row],[CUENTA]],1,4)</f>
        <v>I-05</v>
      </c>
      <c r="E5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54" s="14"/>
      <c r="G54" s="14" t="s">
        <v>4028</v>
      </c>
      <c r="H54" s="15">
        <v>10110</v>
      </c>
      <c r="I54" s="16"/>
      <c r="J54" s="14"/>
    </row>
    <row r="55" spans="1:10" x14ac:dyDescent="0.25">
      <c r="A55" s="13">
        <v>45322</v>
      </c>
      <c r="B55" s="174" t="s">
        <v>3263</v>
      </c>
      <c r="C55" s="14">
        <f>MONTH(INGRESOS[[#This Row],[FECHA]])</f>
        <v>1</v>
      </c>
      <c r="D55" s="13" t="str">
        <f>MID(INGRESOS[[#This Row],[CUENTA]],1,4)</f>
        <v>I-05</v>
      </c>
      <c r="E5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55" s="14"/>
      <c r="G55" s="14" t="s">
        <v>4028</v>
      </c>
      <c r="H55" s="15">
        <v>3355</v>
      </c>
      <c r="I55" s="16"/>
      <c r="J55" s="14"/>
    </row>
    <row r="56" spans="1:10" x14ac:dyDescent="0.25">
      <c r="A56" s="13">
        <v>45322</v>
      </c>
      <c r="B56" s="174" t="s">
        <v>3264</v>
      </c>
      <c r="C56" s="14">
        <f>MONTH(INGRESOS[[#This Row],[FECHA]])</f>
        <v>1</v>
      </c>
      <c r="D56" s="13" t="str">
        <f>MID(INGRESOS[[#This Row],[CUENTA]],1,4)</f>
        <v>I-05</v>
      </c>
      <c r="E5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56" s="14"/>
      <c r="G56" s="14" t="s">
        <v>4028</v>
      </c>
      <c r="H56" s="15">
        <v>245</v>
      </c>
      <c r="I56" s="16"/>
      <c r="J56" s="14"/>
    </row>
    <row r="57" spans="1:10" x14ac:dyDescent="0.25">
      <c r="A57" s="13">
        <v>45322</v>
      </c>
      <c r="B57" s="174" t="s">
        <v>3266</v>
      </c>
      <c r="C57" s="14">
        <f>MONTH(INGRESOS[[#This Row],[FECHA]])</f>
        <v>1</v>
      </c>
      <c r="D57" s="13" t="str">
        <f>MID(INGRESOS[[#This Row],[CUENTA]],1,4)</f>
        <v>I-05</v>
      </c>
      <c r="E5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57" s="14"/>
      <c r="G57" s="14" t="s">
        <v>4028</v>
      </c>
      <c r="H57" s="15">
        <v>70</v>
      </c>
      <c r="I57" s="16"/>
      <c r="J57" s="14"/>
    </row>
    <row r="58" spans="1:10" x14ac:dyDescent="0.25">
      <c r="A58" s="13">
        <v>45322</v>
      </c>
      <c r="B58" s="174" t="s">
        <v>3267</v>
      </c>
      <c r="C58" s="14">
        <f>MONTH(INGRESOS[[#This Row],[FECHA]])</f>
        <v>1</v>
      </c>
      <c r="D58" s="13" t="str">
        <f>MID(INGRESOS[[#This Row],[CUENTA]],1,4)</f>
        <v>I-05</v>
      </c>
      <c r="E5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58" s="14"/>
      <c r="G58" s="14" t="s">
        <v>4028</v>
      </c>
      <c r="H58" s="15">
        <v>145</v>
      </c>
      <c r="I58" s="16"/>
      <c r="J58" s="14"/>
    </row>
    <row r="59" spans="1:10" x14ac:dyDescent="0.25">
      <c r="A59" s="13">
        <v>45322</v>
      </c>
      <c r="B59" s="174" t="s">
        <v>3274</v>
      </c>
      <c r="C59" s="14">
        <f>MONTH(INGRESOS[[#This Row],[FECHA]])</f>
        <v>1</v>
      </c>
      <c r="D59" s="13" t="str">
        <f>MID(INGRESOS[[#This Row],[CUENTA]],1,4)</f>
        <v>I-05</v>
      </c>
      <c r="E5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59" s="14"/>
      <c r="G59" s="14" t="s">
        <v>4028</v>
      </c>
      <c r="H59" s="15">
        <v>26.55</v>
      </c>
      <c r="I59" s="16"/>
      <c r="J59" s="14"/>
    </row>
    <row r="60" spans="1:10" x14ac:dyDescent="0.25">
      <c r="A60" s="13">
        <v>45322</v>
      </c>
      <c r="B60" s="174" t="s">
        <v>4029</v>
      </c>
      <c r="C60" s="14">
        <f>MONTH(INGRESOS[[#This Row],[FECHA]])</f>
        <v>1</v>
      </c>
      <c r="D60" s="13" t="str">
        <f>MID(INGRESOS[[#This Row],[CUENTA]],1,4)</f>
        <v>I-05</v>
      </c>
      <c r="E60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POSTGRADOS</v>
      </c>
      <c r="F60" s="14"/>
      <c r="G60" s="14" t="s">
        <v>4028</v>
      </c>
      <c r="H60" s="15">
        <v>28523.82</v>
      </c>
      <c r="I60" s="16"/>
      <c r="J60" s="14"/>
    </row>
    <row r="61" spans="1:10" x14ac:dyDescent="0.25">
      <c r="A61" s="13">
        <v>45322</v>
      </c>
      <c r="B61" s="174" t="s">
        <v>4030</v>
      </c>
      <c r="C61" s="14">
        <f>MONTH(INGRESOS[[#This Row],[FECHA]])</f>
        <v>1</v>
      </c>
      <c r="D61" s="13" t="str">
        <f>MID(INGRESOS[[#This Row],[CUENTA]],1,4)</f>
        <v>I-05</v>
      </c>
      <c r="E61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</v>
      </c>
      <c r="F61" s="14"/>
      <c r="G61" s="14" t="s">
        <v>4028</v>
      </c>
      <c r="H61" s="15">
        <v>300</v>
      </c>
      <c r="I61" s="16"/>
      <c r="J61" s="14"/>
    </row>
    <row r="62" spans="1:10" x14ac:dyDescent="0.25">
      <c r="A62" s="13">
        <v>45322</v>
      </c>
      <c r="B62" s="174" t="s">
        <v>4031</v>
      </c>
      <c r="C62" s="14">
        <f>MONTH(INGRESOS[[#This Row],[FECHA]])</f>
        <v>1</v>
      </c>
      <c r="D62" s="13" t="str">
        <f>MID(INGRESOS[[#This Row],[CUENTA]],1,4)</f>
        <v>I-05</v>
      </c>
      <c r="E62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</v>
      </c>
      <c r="F62" s="14"/>
      <c r="G62" s="14" t="s">
        <v>4028</v>
      </c>
      <c r="H62" s="15">
        <v>400</v>
      </c>
      <c r="I62" s="16"/>
      <c r="J62" s="14"/>
    </row>
    <row r="63" spans="1:10" x14ac:dyDescent="0.25">
      <c r="A63" s="13">
        <v>45322</v>
      </c>
      <c r="B63" s="174" t="s">
        <v>3191</v>
      </c>
      <c r="C63" s="14">
        <f>MONTH(INGRESOS[[#This Row],[FECHA]])</f>
        <v>1</v>
      </c>
      <c r="D63" s="13" t="str">
        <f>MID(INGRESOS[[#This Row],[CUENTA]],1,4)</f>
        <v>I-06</v>
      </c>
      <c r="E63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FCCE Pregrado</v>
      </c>
      <c r="F63" s="14"/>
      <c r="G63" s="14" t="s">
        <v>4028</v>
      </c>
      <c r="H63" s="15">
        <v>30225.98</v>
      </c>
      <c r="I63" s="16"/>
      <c r="J63" s="14"/>
    </row>
    <row r="64" spans="1:10" x14ac:dyDescent="0.25">
      <c r="A64" s="13">
        <v>45322</v>
      </c>
      <c r="B64" s="174" t="s">
        <v>3197</v>
      </c>
      <c r="C64" s="14">
        <f>MONTH(INGRESOS[[#This Row],[FECHA]])</f>
        <v>1</v>
      </c>
      <c r="D64" s="13" t="str">
        <f>MID(INGRESOS[[#This Row],[CUENTA]],1,4)</f>
        <v>I-06</v>
      </c>
      <c r="E64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Pregrado</v>
      </c>
      <c r="F64" s="14"/>
      <c r="G64" s="14" t="s">
        <v>4028</v>
      </c>
      <c r="H64" s="15">
        <v>13219.18</v>
      </c>
      <c r="I64" s="16"/>
      <c r="J64" s="14"/>
    </row>
    <row r="65" spans="1:10" x14ac:dyDescent="0.25">
      <c r="A65" s="13">
        <v>45322</v>
      </c>
      <c r="B65" s="174" t="s">
        <v>3198</v>
      </c>
      <c r="C65" s="14">
        <f>MONTH(INGRESOS[[#This Row],[FECHA]])</f>
        <v>1</v>
      </c>
      <c r="D65" s="13" t="str">
        <f>MID(INGRESOS[[#This Row],[CUENTA]],1,4)</f>
        <v>I-06</v>
      </c>
      <c r="E65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Técnicos</v>
      </c>
      <c r="F65" s="14"/>
      <c r="G65" s="14" t="s">
        <v>4028</v>
      </c>
      <c r="H65" s="15">
        <v>1047.8</v>
      </c>
      <c r="I65" s="16"/>
      <c r="J65" s="14"/>
    </row>
    <row r="66" spans="1:10" x14ac:dyDescent="0.25">
      <c r="A66" s="13">
        <v>45322</v>
      </c>
      <c r="B66" s="174" t="s">
        <v>3203</v>
      </c>
      <c r="C66" s="14">
        <f>MONTH(INGRESOS[[#This Row],[FECHA]])</f>
        <v>1</v>
      </c>
      <c r="D66" s="13" t="str">
        <f>MID(INGRESOS[[#This Row],[CUENTA]],1,4)</f>
        <v>I-06</v>
      </c>
      <c r="E66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Pregrado</v>
      </c>
      <c r="F66" s="14"/>
      <c r="G66" s="14" t="s">
        <v>4028</v>
      </c>
      <c r="H66" s="15">
        <v>14335.05</v>
      </c>
      <c r="I66" s="16"/>
      <c r="J66" s="14"/>
    </row>
    <row r="67" spans="1:10" x14ac:dyDescent="0.25">
      <c r="A67" s="13">
        <v>45322</v>
      </c>
      <c r="B67" s="174" t="s">
        <v>3204</v>
      </c>
      <c r="C67" s="14">
        <f>MONTH(INGRESOS[[#This Row],[FECHA]])</f>
        <v>1</v>
      </c>
      <c r="D67" s="13" t="str">
        <f>MID(INGRESOS[[#This Row],[CUENTA]],1,4)</f>
        <v>I-06</v>
      </c>
      <c r="E67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Técnicos</v>
      </c>
      <c r="F67" s="14"/>
      <c r="G67" s="14" t="s">
        <v>4028</v>
      </c>
      <c r="H67" s="15">
        <v>147.15</v>
      </c>
      <c r="I67" s="16"/>
      <c r="J67" s="14"/>
    </row>
    <row r="68" spans="1:10" x14ac:dyDescent="0.25">
      <c r="A68" s="13">
        <v>45322</v>
      </c>
      <c r="B68" s="174" t="s">
        <v>3207</v>
      </c>
      <c r="C68" s="14">
        <f>MONTH(INGRESOS[[#This Row],[FECHA]])</f>
        <v>1</v>
      </c>
      <c r="D68" s="13" t="str">
        <f>MID(INGRESOS[[#This Row],[CUENTA]],1,4)</f>
        <v>I-06</v>
      </c>
      <c r="E68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FCCJ Pregrado</v>
      </c>
      <c r="F68" s="14"/>
      <c r="G68" s="14" t="s">
        <v>4028</v>
      </c>
      <c r="H68" s="15">
        <v>8182.09</v>
      </c>
      <c r="I68" s="16"/>
      <c r="J68" s="14"/>
    </row>
    <row r="69" spans="1:10" x14ac:dyDescent="0.25">
      <c r="A69" s="13">
        <v>45322</v>
      </c>
      <c r="B69" s="174" t="s">
        <v>3285</v>
      </c>
      <c r="C69" s="14">
        <f>MONTH(INGRESOS[[#This Row],[FECHA]])</f>
        <v>1</v>
      </c>
      <c r="D69" s="13" t="str">
        <f>MID(INGRESOS[[#This Row],[CUENTA]],1,4)</f>
        <v>I-08</v>
      </c>
      <c r="E69" s="14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INGRESOS - PATROCINIOS, CURSOS Y OTROS</v>
      </c>
      <c r="F69" s="14"/>
      <c r="G69" s="14" t="s">
        <v>4028</v>
      </c>
      <c r="H69" s="15">
        <v>4660.49</v>
      </c>
      <c r="I69" s="16"/>
      <c r="J69" s="14"/>
    </row>
    <row r="70" spans="1:10" x14ac:dyDescent="0.25">
      <c r="A70" s="85">
        <v>45350</v>
      </c>
      <c r="B70" s="174" t="s">
        <v>1924</v>
      </c>
      <c r="C70" s="14">
        <f>MONTH(INGRESOS[[#This Row],[FECHA]])</f>
        <v>2</v>
      </c>
      <c r="D70" s="13" t="str">
        <f>MID(INGRESOS[[#This Row],[CUENTA]],1,4)</f>
        <v>I-01</v>
      </c>
      <c r="E7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PREGRADO</v>
      </c>
      <c r="F70" s="22"/>
      <c r="G70" s="22" t="s">
        <v>4032</v>
      </c>
      <c r="H70" s="87">
        <v>389729.27</v>
      </c>
      <c r="I70" s="88"/>
      <c r="J70" s="86"/>
    </row>
    <row r="71" spans="1:10" x14ac:dyDescent="0.25">
      <c r="A71" s="85">
        <v>45350</v>
      </c>
      <c r="B71" s="174" t="s">
        <v>3188</v>
      </c>
      <c r="C71" s="14">
        <f>MONTH(INGRESOS[[#This Row],[FECHA]])</f>
        <v>2</v>
      </c>
      <c r="D71" s="23" t="str">
        <f>MID(INGRESOS[[#This Row],[CUENTA]],1,4)</f>
        <v>I-01</v>
      </c>
      <c r="E7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TÉCNICOS</v>
      </c>
      <c r="F71" s="22"/>
      <c r="G71" s="22" t="s">
        <v>4032</v>
      </c>
      <c r="H71" s="90">
        <v>24400.33</v>
      </c>
      <c r="I71" s="88"/>
      <c r="J71" s="89"/>
    </row>
    <row r="72" spans="1:10" x14ac:dyDescent="0.25">
      <c r="A72" s="85">
        <v>45350</v>
      </c>
      <c r="B72" s="174" t="s">
        <v>3193</v>
      </c>
      <c r="C72" s="14">
        <f>MONTH(INGRESOS[[#This Row],[FECHA]])</f>
        <v>2</v>
      </c>
      <c r="D72" s="23" t="str">
        <f>MID(INGRESOS[[#This Row],[CUENTA]],1,4)</f>
        <v>I-01</v>
      </c>
      <c r="E7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72" s="22"/>
      <c r="G72" s="22" t="s">
        <v>4032</v>
      </c>
      <c r="H72" s="90">
        <v>390607</v>
      </c>
      <c r="I72" s="88"/>
      <c r="J72" s="89"/>
    </row>
    <row r="73" spans="1:10" x14ac:dyDescent="0.25">
      <c r="A73" s="85">
        <v>45350</v>
      </c>
      <c r="B73" s="174" t="s">
        <v>3199</v>
      </c>
      <c r="C73" s="14">
        <f>MONTH(INGRESOS[[#This Row],[FECHA]])</f>
        <v>2</v>
      </c>
      <c r="D73" s="23" t="str">
        <f>MID(INGRESOS[[#This Row],[CUENTA]],1,4)</f>
        <v>I-01</v>
      </c>
      <c r="E7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 PREGRADO</v>
      </c>
      <c r="F73" s="22"/>
      <c r="G73" s="22" t="s">
        <v>4032</v>
      </c>
      <c r="H73" s="90">
        <v>273655.75</v>
      </c>
      <c r="I73" s="88"/>
      <c r="J73" s="89"/>
    </row>
    <row r="74" spans="1:10" x14ac:dyDescent="0.25">
      <c r="A74" s="85">
        <v>45350</v>
      </c>
      <c r="B74" s="174" t="s">
        <v>3200</v>
      </c>
      <c r="C74" s="14">
        <f>MONTH(INGRESOS[[#This Row],[FECHA]])</f>
        <v>2</v>
      </c>
      <c r="D74" s="23" t="str">
        <f>MID(INGRESOS[[#This Row],[CUENTA]],1,4)</f>
        <v>I-01</v>
      </c>
      <c r="E7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FCCSTÉCNICOS</v>
      </c>
      <c r="F74" s="22"/>
      <c r="G74" s="22" t="s">
        <v>4032</v>
      </c>
      <c r="H74" s="90">
        <v>4070.75</v>
      </c>
      <c r="I74" s="88"/>
      <c r="J74" s="89"/>
    </row>
    <row r="75" spans="1:10" x14ac:dyDescent="0.25">
      <c r="A75" s="85">
        <v>45350</v>
      </c>
      <c r="B75" s="174" t="s">
        <v>3205</v>
      </c>
      <c r="C75" s="14">
        <f>MONTH(INGRESOS[[#This Row],[FECHA]])</f>
        <v>2</v>
      </c>
      <c r="D75" s="23" t="str">
        <f>MID(INGRESOS[[#This Row],[CUENTA]],1,4)</f>
        <v>I-01</v>
      </c>
      <c r="E7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FCCJ PREGRADO</v>
      </c>
      <c r="F75" s="22"/>
      <c r="G75" s="22" t="s">
        <v>4032</v>
      </c>
      <c r="H75" s="90">
        <v>156531.01999999999</v>
      </c>
      <c r="I75" s="88"/>
      <c r="J75" s="89"/>
    </row>
    <row r="76" spans="1:10" x14ac:dyDescent="0.25">
      <c r="A76" s="85">
        <v>45350</v>
      </c>
      <c r="B76" s="174" t="s">
        <v>3189</v>
      </c>
      <c r="C76" s="14">
        <f>MONTH(INGRESOS[[#This Row],[FECHA]])</f>
        <v>2</v>
      </c>
      <c r="D76" s="23" t="str">
        <f>MID(INGRESOS[[#This Row],[CUENTA]],1,4)</f>
        <v>I-02</v>
      </c>
      <c r="E7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FCCE PREGRADO</v>
      </c>
      <c r="F76" s="22"/>
      <c r="G76" s="22" t="s">
        <v>4032</v>
      </c>
      <c r="H76" s="90">
        <v>5190</v>
      </c>
      <c r="I76" s="88"/>
      <c r="J76" s="89"/>
    </row>
    <row r="77" spans="1:10" x14ac:dyDescent="0.25">
      <c r="A77" s="85">
        <v>45350</v>
      </c>
      <c r="B77" s="174" t="s">
        <v>3190</v>
      </c>
      <c r="C77" s="14">
        <f>MONTH(INGRESOS[[#This Row],[FECHA]])</f>
        <v>2</v>
      </c>
      <c r="D77" s="23" t="str">
        <f>MID(INGRESOS[[#This Row],[CUENTA]],1,4)</f>
        <v>I-02</v>
      </c>
      <c r="E7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FCCE TÉCNICOS</v>
      </c>
      <c r="F77" s="22"/>
      <c r="G77" s="22" t="s">
        <v>4032</v>
      </c>
      <c r="H77" s="90">
        <v>4315</v>
      </c>
      <c r="I77" s="88"/>
      <c r="J77" s="89"/>
    </row>
    <row r="78" spans="1:10" x14ac:dyDescent="0.25">
      <c r="A78" s="85">
        <v>45350</v>
      </c>
      <c r="B78" s="174" t="s">
        <v>3195</v>
      </c>
      <c r="C78" s="14">
        <f>MONTH(INGRESOS[[#This Row],[FECHA]])</f>
        <v>2</v>
      </c>
      <c r="D78" s="23" t="str">
        <f>MID(INGRESOS[[#This Row],[CUENTA]],1,4)</f>
        <v>I-02</v>
      </c>
      <c r="E7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78" s="22"/>
      <c r="G78" s="22" t="s">
        <v>4032</v>
      </c>
      <c r="H78" s="90">
        <v>7305</v>
      </c>
      <c r="I78" s="88"/>
      <c r="J78" s="89"/>
    </row>
    <row r="79" spans="1:10" x14ac:dyDescent="0.25">
      <c r="A79" s="85">
        <v>45350</v>
      </c>
      <c r="B79" s="174" t="s">
        <v>3196</v>
      </c>
      <c r="C79" s="14">
        <f>MONTH(INGRESOS[[#This Row],[FECHA]])</f>
        <v>2</v>
      </c>
      <c r="D79" s="23" t="str">
        <f>MID(INGRESOS[[#This Row],[CUENTA]],1,4)</f>
        <v>I-02</v>
      </c>
      <c r="E7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TÉCNICOS</v>
      </c>
      <c r="F79" s="22"/>
      <c r="G79" s="22" t="s">
        <v>4032</v>
      </c>
      <c r="H79" s="90">
        <v>29922</v>
      </c>
      <c r="I79" s="88"/>
      <c r="J79" s="89"/>
    </row>
    <row r="80" spans="1:10" x14ac:dyDescent="0.25">
      <c r="A80" s="85">
        <v>45350</v>
      </c>
      <c r="B80" s="174" t="s">
        <v>3201</v>
      </c>
      <c r="C80" s="14">
        <f>MONTH(INGRESOS[[#This Row],[FECHA]])</f>
        <v>2</v>
      </c>
      <c r="D80" s="23" t="str">
        <f>MID(INGRESOS[[#This Row],[CUENTA]],1,4)</f>
        <v>I-02</v>
      </c>
      <c r="E8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80" s="22"/>
      <c r="G80" s="22" t="s">
        <v>4032</v>
      </c>
      <c r="H80" s="90">
        <v>3760</v>
      </c>
      <c r="I80" s="88"/>
      <c r="J80" s="89"/>
    </row>
    <row r="81" spans="1:10" x14ac:dyDescent="0.25">
      <c r="A81" s="85">
        <v>45350</v>
      </c>
      <c r="B81" s="174" t="s">
        <v>3206</v>
      </c>
      <c r="C81" s="14">
        <f>MONTH(INGRESOS[[#This Row],[FECHA]])</f>
        <v>2</v>
      </c>
      <c r="D81" s="23" t="str">
        <f>MID(INGRESOS[[#This Row],[CUENTA]],1,4)</f>
        <v>I-02</v>
      </c>
      <c r="E8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FCCJ PREGRADO</v>
      </c>
      <c r="F81" s="22"/>
      <c r="G81" s="22" t="s">
        <v>4032</v>
      </c>
      <c r="H81" s="90">
        <v>5417</v>
      </c>
      <c r="I81" s="88"/>
      <c r="J81" s="89"/>
    </row>
    <row r="82" spans="1:10" x14ac:dyDescent="0.25">
      <c r="A82" s="85">
        <v>45350</v>
      </c>
      <c r="B82" s="174" t="s">
        <v>3208</v>
      </c>
      <c r="C82" s="14">
        <f>MONTH(INGRESOS[[#This Row],[FECHA]])</f>
        <v>2</v>
      </c>
      <c r="D82" s="23" t="str">
        <f>MID(INGRESOS[[#This Row],[CUENTA]],1,4)</f>
        <v>I-03</v>
      </c>
      <c r="E8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EMPRESARIALES</v>
      </c>
      <c r="F82" s="22"/>
      <c r="G82" s="22" t="s">
        <v>4032</v>
      </c>
      <c r="H82" s="90">
        <v>107443</v>
      </c>
      <c r="I82" s="88"/>
      <c r="J82" s="89"/>
    </row>
    <row r="83" spans="1:10" x14ac:dyDescent="0.25">
      <c r="A83" s="85">
        <v>45350</v>
      </c>
      <c r="B83" s="174" t="s">
        <v>3209</v>
      </c>
      <c r="C83" s="14">
        <f>MONTH(INGRESOS[[#This Row],[FECHA]])</f>
        <v>2</v>
      </c>
      <c r="D83" s="23" t="str">
        <f>MID(INGRESOS[[#This Row],[CUENTA]],1,4)</f>
        <v>I-03</v>
      </c>
      <c r="E8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 INFORMATICA Y CC APLIC</v>
      </c>
      <c r="F83" s="22"/>
      <c r="G83" s="22" t="s">
        <v>4032</v>
      </c>
      <c r="H83" s="90">
        <v>116704</v>
      </c>
      <c r="I83" s="88"/>
      <c r="J83" s="89"/>
    </row>
    <row r="84" spans="1:10" x14ac:dyDescent="0.25">
      <c r="A84" s="85">
        <v>45350</v>
      </c>
      <c r="B84" s="174" t="s">
        <v>3210</v>
      </c>
      <c r="C84" s="14">
        <f>MONTH(INGRESOS[[#This Row],[FECHA]])</f>
        <v>2</v>
      </c>
      <c r="D84" s="23" t="str">
        <f>MID(INGRESOS[[#This Row],[CUENTA]],1,4)</f>
        <v>I-03</v>
      </c>
      <c r="E8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SOCIALES</v>
      </c>
      <c r="F84" s="22"/>
      <c r="G84" s="22" t="s">
        <v>4032</v>
      </c>
      <c r="H84" s="90">
        <v>74606</v>
      </c>
      <c r="I84" s="88"/>
      <c r="J84" s="89"/>
    </row>
    <row r="85" spans="1:10" x14ac:dyDescent="0.25">
      <c r="A85" s="85">
        <v>45350</v>
      </c>
      <c r="B85" s="174" t="s">
        <v>3211</v>
      </c>
      <c r="C85" s="14">
        <f>MONTH(INGRESOS[[#This Row],[FECHA]])</f>
        <v>2</v>
      </c>
      <c r="D85" s="23" t="str">
        <f>MID(INGRESOS[[#This Row],[CUENTA]],1,4)</f>
        <v>I-03</v>
      </c>
      <c r="E8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JURIDICAS</v>
      </c>
      <c r="F85" s="22"/>
      <c r="G85" s="22" t="s">
        <v>4032</v>
      </c>
      <c r="H85" s="90">
        <v>40886</v>
      </c>
      <c r="I85" s="88"/>
      <c r="J85" s="89"/>
    </row>
    <row r="86" spans="1:10" x14ac:dyDescent="0.25">
      <c r="A86" s="85">
        <v>45350</v>
      </c>
      <c r="B86" s="174" t="s">
        <v>3212</v>
      </c>
      <c r="C86" s="14">
        <f>MONTH(INGRESOS[[#This Row],[FECHA]])</f>
        <v>2</v>
      </c>
      <c r="D86" s="23" t="str">
        <f>MID(INGRESOS[[#This Row],[CUENTA]],1,4)</f>
        <v>I-03</v>
      </c>
      <c r="E8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EMPRESARIALES</v>
      </c>
      <c r="F86" s="22"/>
      <c r="G86" s="22" t="s">
        <v>4032</v>
      </c>
      <c r="H86" s="90">
        <v>3443.48</v>
      </c>
      <c r="I86" s="88"/>
      <c r="J86" s="89"/>
    </row>
    <row r="87" spans="1:10" x14ac:dyDescent="0.25">
      <c r="A87" s="85">
        <v>45350</v>
      </c>
      <c r="B87" s="174" t="s">
        <v>3213</v>
      </c>
      <c r="C87" s="14">
        <f>MONTH(INGRESOS[[#This Row],[FECHA]])</f>
        <v>2</v>
      </c>
      <c r="D87" s="23" t="str">
        <f>MID(INGRESOS[[#This Row],[CUENTA]],1,4)</f>
        <v>I-03</v>
      </c>
      <c r="E8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 INFORMATICA Y CC APLIC</v>
      </c>
      <c r="F87" s="22"/>
      <c r="G87" s="22" t="s">
        <v>4032</v>
      </c>
      <c r="H87" s="90">
        <v>5818.44</v>
      </c>
      <c r="I87" s="88"/>
      <c r="J87" s="89"/>
    </row>
    <row r="88" spans="1:10" x14ac:dyDescent="0.25">
      <c r="A88" s="85">
        <v>45350</v>
      </c>
      <c r="B88" s="174" t="s">
        <v>3214</v>
      </c>
      <c r="C88" s="14">
        <f>MONTH(INGRESOS[[#This Row],[FECHA]])</f>
        <v>2</v>
      </c>
      <c r="D88" s="23" t="str">
        <f>MID(INGRESOS[[#This Row],[CUENTA]],1,4)</f>
        <v>I-03</v>
      </c>
      <c r="E8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SOCIALES</v>
      </c>
      <c r="F88" s="22"/>
      <c r="G88" s="22" t="s">
        <v>4032</v>
      </c>
      <c r="H88" s="90">
        <v>2183.52</v>
      </c>
      <c r="I88" s="88"/>
      <c r="J88" s="89"/>
    </row>
    <row r="89" spans="1:10" x14ac:dyDescent="0.25">
      <c r="A89" s="85">
        <v>45350</v>
      </c>
      <c r="B89" s="174" t="s">
        <v>1023</v>
      </c>
      <c r="C89" s="14">
        <f>MONTH(INGRESOS[[#This Row],[FECHA]])</f>
        <v>2</v>
      </c>
      <c r="D89" s="23" t="str">
        <f>MID(INGRESOS[[#This Row],[CUENTA]],1,4)</f>
        <v>I-04</v>
      </c>
      <c r="E8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EMPRESARIALES</v>
      </c>
      <c r="F89" s="22"/>
      <c r="G89" s="22" t="s">
        <v>4032</v>
      </c>
      <c r="H89" s="90">
        <v>27905</v>
      </c>
      <c r="I89" s="88"/>
      <c r="J89" s="89"/>
    </row>
    <row r="90" spans="1:10" x14ac:dyDescent="0.25">
      <c r="A90" s="85">
        <v>45350</v>
      </c>
      <c r="B90" s="174" t="s">
        <v>1024</v>
      </c>
      <c r="C90" s="14">
        <f>MONTH(INGRESOS[[#This Row],[FECHA]])</f>
        <v>2</v>
      </c>
      <c r="D90" s="23" t="str">
        <f>MID(INGRESOS[[#This Row],[CUENTA]],1,4)</f>
        <v>I-04</v>
      </c>
      <c r="E9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SOCIALES</v>
      </c>
      <c r="F90" s="22"/>
      <c r="G90" s="22" t="s">
        <v>4032</v>
      </c>
      <c r="H90" s="90">
        <v>87.02</v>
      </c>
      <c r="I90" s="88"/>
      <c r="J90" s="89"/>
    </row>
    <row r="91" spans="1:10" x14ac:dyDescent="0.25">
      <c r="A91" s="85">
        <v>45350</v>
      </c>
      <c r="B91" s="174" t="s">
        <v>3218</v>
      </c>
      <c r="C91" s="14">
        <f>MONTH(INGRESOS[[#This Row],[FECHA]])</f>
        <v>2</v>
      </c>
      <c r="D91" s="23" t="str">
        <f>MID(INGRESOS[[#This Row],[CUENTA]],1,4)</f>
        <v>I-04</v>
      </c>
      <c r="E9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 INFORMATICA Y CC APLIC</v>
      </c>
      <c r="F91" s="22"/>
      <c r="G91" s="22" t="s">
        <v>4032</v>
      </c>
      <c r="H91" s="90">
        <v>7290</v>
      </c>
      <c r="I91" s="88"/>
      <c r="J91" s="89"/>
    </row>
    <row r="92" spans="1:10" x14ac:dyDescent="0.25">
      <c r="A92" s="85">
        <v>45350</v>
      </c>
      <c r="B92" s="174" t="s">
        <v>3219</v>
      </c>
      <c r="C92" s="14">
        <f>MONTH(INGRESOS[[#This Row],[FECHA]])</f>
        <v>2</v>
      </c>
      <c r="D92" s="23" t="str">
        <f>MID(INGRESOS[[#This Row],[CUENTA]],1,4)</f>
        <v>I-04</v>
      </c>
      <c r="E9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CC SOCIALES</v>
      </c>
      <c r="F92" s="22"/>
      <c r="G92" s="22" t="s">
        <v>4032</v>
      </c>
      <c r="H92" s="90">
        <v>32475</v>
      </c>
      <c r="I92" s="88"/>
      <c r="J92" s="89"/>
    </row>
    <row r="93" spans="1:10" x14ac:dyDescent="0.25">
      <c r="A93" s="85">
        <v>45350</v>
      </c>
      <c r="B93" s="174" t="s">
        <v>3220</v>
      </c>
      <c r="C93" s="14">
        <f>MONTH(INGRESOS[[#This Row],[FECHA]])</f>
        <v>2</v>
      </c>
      <c r="D93" s="23" t="str">
        <f>MID(INGRESOS[[#This Row],[CUENTA]],1,4)</f>
        <v>I-04</v>
      </c>
      <c r="E9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CC JURIDICAS</v>
      </c>
      <c r="F93" s="22"/>
      <c r="G93" s="22" t="s">
        <v>4032</v>
      </c>
      <c r="H93" s="90">
        <v>15</v>
      </c>
      <c r="I93" s="88"/>
      <c r="J93" s="89"/>
    </row>
    <row r="94" spans="1:10" x14ac:dyDescent="0.25">
      <c r="A94" s="85">
        <v>45350</v>
      </c>
      <c r="B94" s="174" t="s">
        <v>3231</v>
      </c>
      <c r="C94" s="14">
        <f>MONTH(INGRESOS[[#This Row],[FECHA]])</f>
        <v>2</v>
      </c>
      <c r="D94" s="23" t="str">
        <f>MID(INGRESOS[[#This Row],[CUENTA]],1,4)</f>
        <v>I-05</v>
      </c>
      <c r="E9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94" s="22"/>
      <c r="G94" s="22" t="s">
        <v>4032</v>
      </c>
      <c r="H94" s="90">
        <v>1260</v>
      </c>
      <c r="I94" s="88"/>
      <c r="J94" s="89"/>
    </row>
    <row r="95" spans="1:10" x14ac:dyDescent="0.25">
      <c r="A95" s="85">
        <v>45350</v>
      </c>
      <c r="B95" s="174" t="s">
        <v>3232</v>
      </c>
      <c r="C95" s="14">
        <f>MONTH(INGRESOS[[#This Row],[FECHA]])</f>
        <v>2</v>
      </c>
      <c r="D95" s="23" t="str">
        <f>MID(INGRESOS[[#This Row],[CUENTA]],1,4)</f>
        <v>I-05</v>
      </c>
      <c r="E9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95" s="22"/>
      <c r="G95" s="22" t="s">
        <v>4032</v>
      </c>
      <c r="H95" s="90">
        <v>9175</v>
      </c>
      <c r="I95" s="88"/>
      <c r="J95" s="89"/>
    </row>
    <row r="96" spans="1:10" x14ac:dyDescent="0.25">
      <c r="A96" s="85">
        <v>45350</v>
      </c>
      <c r="B96" s="174" t="s">
        <v>3233</v>
      </c>
      <c r="C96" s="14">
        <f>MONTH(INGRESOS[[#This Row],[FECHA]])</f>
        <v>2</v>
      </c>
      <c r="D96" s="23" t="str">
        <f>MID(INGRESOS[[#This Row],[CUENTA]],1,4)</f>
        <v>I-05</v>
      </c>
      <c r="E9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96" s="22"/>
      <c r="G96" s="22" t="s">
        <v>4032</v>
      </c>
      <c r="H96" s="90">
        <v>5035</v>
      </c>
      <c r="I96" s="88"/>
      <c r="J96" s="89"/>
    </row>
    <row r="97" spans="1:10" x14ac:dyDescent="0.25">
      <c r="A97" s="85">
        <v>45350</v>
      </c>
      <c r="B97" s="174" t="s">
        <v>3234</v>
      </c>
      <c r="C97" s="14">
        <f>MONTH(INGRESOS[[#This Row],[FECHA]])</f>
        <v>2</v>
      </c>
      <c r="D97" s="23" t="str">
        <f>MID(INGRESOS[[#This Row],[CUENTA]],1,4)</f>
        <v>I-05</v>
      </c>
      <c r="E9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97" s="22"/>
      <c r="G97" s="22" t="s">
        <v>4032</v>
      </c>
      <c r="H97" s="90">
        <v>477.46</v>
      </c>
      <c r="I97" s="88"/>
      <c r="J97" s="89"/>
    </row>
    <row r="98" spans="1:10" x14ac:dyDescent="0.25">
      <c r="A98" s="85">
        <v>45350</v>
      </c>
      <c r="B98" s="174" t="s">
        <v>3236</v>
      </c>
      <c r="C98" s="14">
        <f>MONTH(INGRESOS[[#This Row],[FECHA]])</f>
        <v>2</v>
      </c>
      <c r="D98" s="23" t="str">
        <f>MID(INGRESOS[[#This Row],[CUENTA]],1,4)</f>
        <v>I-05</v>
      </c>
      <c r="E9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98" s="22"/>
      <c r="G98" s="22" t="s">
        <v>4032</v>
      </c>
      <c r="H98" s="90">
        <v>720</v>
      </c>
      <c r="I98" s="88"/>
      <c r="J98" s="89"/>
    </row>
    <row r="99" spans="1:10" s="24" customFormat="1" x14ac:dyDescent="0.25">
      <c r="A99" s="85">
        <v>45350</v>
      </c>
      <c r="B99" s="174" t="s">
        <v>3237</v>
      </c>
      <c r="C99" s="14">
        <f>MONTH(INGRESOS[[#This Row],[FECHA]])</f>
        <v>2</v>
      </c>
      <c r="D99" s="23" t="str">
        <f>MID(INGRESOS[[#This Row],[CUENTA]],1,4)</f>
        <v>I-05</v>
      </c>
      <c r="E9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99" s="22"/>
      <c r="G99" s="22" t="s">
        <v>4032</v>
      </c>
      <c r="H99" s="90">
        <v>230</v>
      </c>
      <c r="I99" s="88"/>
      <c r="J99" s="89"/>
    </row>
    <row r="100" spans="1:10" s="24" customFormat="1" x14ac:dyDescent="0.25">
      <c r="A100" s="85">
        <v>45350</v>
      </c>
      <c r="B100" s="174" t="s">
        <v>3251</v>
      </c>
      <c r="C100" s="14">
        <f>MONTH(INGRESOS[[#This Row],[FECHA]])</f>
        <v>2</v>
      </c>
      <c r="D100" s="23" t="str">
        <f>MID(INGRESOS[[#This Row],[CUENTA]],1,4)</f>
        <v>I-05</v>
      </c>
      <c r="E10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00" s="22"/>
      <c r="G100" s="22" t="s">
        <v>4032</v>
      </c>
      <c r="H100" s="90">
        <v>480</v>
      </c>
      <c r="I100" s="88"/>
      <c r="J100" s="89"/>
    </row>
    <row r="101" spans="1:10" s="24" customFormat="1" x14ac:dyDescent="0.25">
      <c r="A101" s="85">
        <v>45350</v>
      </c>
      <c r="B101" s="174" t="s">
        <v>3252</v>
      </c>
      <c r="C101" s="14">
        <f>MONTH(INGRESOS[[#This Row],[FECHA]])</f>
        <v>2</v>
      </c>
      <c r="D101" s="23" t="str">
        <f>MID(INGRESOS[[#This Row],[CUENTA]],1,4)</f>
        <v>I-05</v>
      </c>
      <c r="E10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01" s="22"/>
      <c r="G101" s="22" t="s">
        <v>4032</v>
      </c>
      <c r="H101" s="90">
        <v>21135</v>
      </c>
      <c r="I101" s="88"/>
      <c r="J101" s="89"/>
    </row>
    <row r="102" spans="1:10" s="24" customFormat="1" x14ac:dyDescent="0.25">
      <c r="A102" s="85">
        <v>45350</v>
      </c>
      <c r="B102" s="174" t="s">
        <v>3253</v>
      </c>
      <c r="C102" s="14">
        <f>MONTH(INGRESOS[[#This Row],[FECHA]])</f>
        <v>2</v>
      </c>
      <c r="D102" s="23" t="str">
        <f>MID(INGRESOS[[#This Row],[CUENTA]],1,4)</f>
        <v>I-05</v>
      </c>
      <c r="E10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02" s="22"/>
      <c r="G102" s="22" t="s">
        <v>4032</v>
      </c>
      <c r="H102" s="90">
        <v>3300</v>
      </c>
      <c r="I102" s="88"/>
      <c r="J102" s="89"/>
    </row>
    <row r="103" spans="1:10" x14ac:dyDescent="0.25">
      <c r="A103" s="85">
        <v>45350</v>
      </c>
      <c r="B103" s="174" t="s">
        <v>3254</v>
      </c>
      <c r="C103" s="14">
        <f>MONTH(INGRESOS[[#This Row],[FECHA]])</f>
        <v>2</v>
      </c>
      <c r="D103" s="23" t="str">
        <f>MID(INGRESOS[[#This Row],[CUENTA]],1,4)</f>
        <v>I-05</v>
      </c>
      <c r="E10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03" s="22"/>
      <c r="G103" s="22" t="s">
        <v>4032</v>
      </c>
      <c r="H103" s="90">
        <v>357.93</v>
      </c>
      <c r="I103" s="88"/>
      <c r="J103" s="89"/>
    </row>
    <row r="104" spans="1:10" x14ac:dyDescent="0.25">
      <c r="A104" s="85">
        <v>45350</v>
      </c>
      <c r="B104" s="174" t="s">
        <v>3256</v>
      </c>
      <c r="C104" s="14">
        <f>MONTH(INGRESOS[[#This Row],[FECHA]])</f>
        <v>2</v>
      </c>
      <c r="D104" s="23" t="str">
        <f>MID(INGRESOS[[#This Row],[CUENTA]],1,4)</f>
        <v>I-05</v>
      </c>
      <c r="E10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04" s="22"/>
      <c r="G104" s="22" t="s">
        <v>4032</v>
      </c>
      <c r="H104" s="90">
        <v>1740</v>
      </c>
      <c r="I104" s="88"/>
      <c r="J104" s="89"/>
    </row>
    <row r="105" spans="1:10" x14ac:dyDescent="0.25">
      <c r="A105" s="85">
        <v>45350</v>
      </c>
      <c r="B105" s="174" t="s">
        <v>3257</v>
      </c>
      <c r="C105" s="14">
        <f>MONTH(INGRESOS[[#This Row],[FECHA]])</f>
        <v>2</v>
      </c>
      <c r="D105" s="23" t="str">
        <f>MID(INGRESOS[[#This Row],[CUENTA]],1,4)</f>
        <v>I-05</v>
      </c>
      <c r="E10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05" s="22"/>
      <c r="G105" s="22" t="s">
        <v>4032</v>
      </c>
      <c r="H105" s="90">
        <v>4820</v>
      </c>
      <c r="I105" s="88"/>
      <c r="J105" s="89"/>
    </row>
    <row r="106" spans="1:10" x14ac:dyDescent="0.25">
      <c r="A106" s="85">
        <v>45350</v>
      </c>
      <c r="B106" s="174" t="s">
        <v>3258</v>
      </c>
      <c r="C106" s="14">
        <f>MONTH(INGRESOS[[#This Row],[FECHA]])</f>
        <v>2</v>
      </c>
      <c r="D106" s="23" t="str">
        <f>MID(INGRESOS[[#This Row],[CUENTA]],1,4)</f>
        <v>I-05</v>
      </c>
      <c r="E10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06" s="22"/>
      <c r="G106" s="22" t="s">
        <v>4032</v>
      </c>
      <c r="H106" s="90">
        <v>1660</v>
      </c>
      <c r="I106" s="88"/>
      <c r="J106" s="89"/>
    </row>
    <row r="107" spans="1:10" x14ac:dyDescent="0.25">
      <c r="A107" s="85">
        <v>45350</v>
      </c>
      <c r="B107" s="174" t="s">
        <v>3259</v>
      </c>
      <c r="C107" s="14">
        <f>MONTH(INGRESOS[[#This Row],[FECHA]])</f>
        <v>2</v>
      </c>
      <c r="D107" s="23" t="str">
        <f>MID(INGRESOS[[#This Row],[CUENTA]],1,4)</f>
        <v>I-05</v>
      </c>
      <c r="E10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07" s="22"/>
      <c r="G107" s="22" t="s">
        <v>4032</v>
      </c>
      <c r="H107" s="90">
        <v>235</v>
      </c>
      <c r="I107" s="88"/>
      <c r="J107" s="89"/>
    </row>
    <row r="108" spans="1:10" x14ac:dyDescent="0.25">
      <c r="A108" s="85">
        <v>45350</v>
      </c>
      <c r="B108" s="174" t="s">
        <v>3261</v>
      </c>
      <c r="C108" s="14">
        <f>MONTH(INGRESOS[[#This Row],[FECHA]])</f>
        <v>2</v>
      </c>
      <c r="D108" s="23" t="str">
        <f>MID(INGRESOS[[#This Row],[CUENTA]],1,4)</f>
        <v>I-05</v>
      </c>
      <c r="E10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08" s="22"/>
      <c r="G108" s="22" t="s">
        <v>4032</v>
      </c>
      <c r="H108" s="90">
        <v>1140</v>
      </c>
      <c r="I108" s="88"/>
      <c r="J108" s="89"/>
    </row>
    <row r="109" spans="1:10" x14ac:dyDescent="0.25">
      <c r="A109" s="85">
        <v>45350</v>
      </c>
      <c r="B109" s="174" t="s">
        <v>3262</v>
      </c>
      <c r="C109" s="14">
        <f>MONTH(INGRESOS[[#This Row],[FECHA]])</f>
        <v>2</v>
      </c>
      <c r="D109" s="23" t="str">
        <f>MID(INGRESOS[[#This Row],[CUENTA]],1,4)</f>
        <v>I-05</v>
      </c>
      <c r="E10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09" s="22"/>
      <c r="G109" s="22" t="s">
        <v>4032</v>
      </c>
      <c r="H109" s="90">
        <v>9830</v>
      </c>
      <c r="I109" s="88"/>
      <c r="J109" s="89"/>
    </row>
    <row r="110" spans="1:10" x14ac:dyDescent="0.25">
      <c r="A110" s="85">
        <v>45350</v>
      </c>
      <c r="B110" s="174" t="s">
        <v>3263</v>
      </c>
      <c r="C110" s="14">
        <f>MONTH(INGRESOS[[#This Row],[FECHA]])</f>
        <v>2</v>
      </c>
      <c r="D110" s="23" t="str">
        <f>MID(INGRESOS[[#This Row],[CUENTA]],1,4)</f>
        <v>I-05</v>
      </c>
      <c r="E11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10" s="22"/>
      <c r="G110" s="22" t="s">
        <v>4032</v>
      </c>
      <c r="H110" s="90">
        <v>2750</v>
      </c>
      <c r="I110" s="88"/>
      <c r="J110" s="89"/>
    </row>
    <row r="111" spans="1:10" x14ac:dyDescent="0.25">
      <c r="A111" s="85">
        <v>45350</v>
      </c>
      <c r="B111" s="174" t="s">
        <v>3264</v>
      </c>
      <c r="C111" s="14">
        <f>MONTH(INGRESOS[[#This Row],[FECHA]])</f>
        <v>2</v>
      </c>
      <c r="D111" s="23" t="str">
        <f>MID(INGRESOS[[#This Row],[CUENTA]],1,4)</f>
        <v>I-05</v>
      </c>
      <c r="E11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11" s="22"/>
      <c r="G111" s="22" t="s">
        <v>4032</v>
      </c>
      <c r="H111" s="90">
        <v>242.7</v>
      </c>
      <c r="I111" s="88"/>
      <c r="J111" s="89"/>
    </row>
    <row r="112" spans="1:10" x14ac:dyDescent="0.25">
      <c r="A112" s="85">
        <v>45350</v>
      </c>
      <c r="B112" s="174" t="s">
        <v>3266</v>
      </c>
      <c r="C112" s="14">
        <f>MONTH(INGRESOS[[#This Row],[FECHA]])</f>
        <v>2</v>
      </c>
      <c r="D112" s="23" t="str">
        <f>MID(INGRESOS[[#This Row],[CUENTA]],1,4)</f>
        <v>I-05</v>
      </c>
      <c r="E11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12" s="22"/>
      <c r="G112" s="22" t="s">
        <v>4032</v>
      </c>
      <c r="H112" s="90">
        <v>140</v>
      </c>
      <c r="I112" s="88"/>
      <c r="J112" s="89"/>
    </row>
    <row r="113" spans="1:10" x14ac:dyDescent="0.25">
      <c r="A113" s="85">
        <v>45350</v>
      </c>
      <c r="B113" s="174" t="s">
        <v>3267</v>
      </c>
      <c r="C113" s="14">
        <f>MONTH(INGRESOS[[#This Row],[FECHA]])</f>
        <v>2</v>
      </c>
      <c r="D113" s="23" t="str">
        <f>MID(INGRESOS[[#This Row],[CUENTA]],1,4)</f>
        <v>I-05</v>
      </c>
      <c r="E11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13" s="22"/>
      <c r="G113" s="22" t="s">
        <v>4032</v>
      </c>
      <c r="H113" s="90">
        <v>145</v>
      </c>
      <c r="I113" s="88"/>
      <c r="J113" s="89"/>
    </row>
    <row r="114" spans="1:10" x14ac:dyDescent="0.25">
      <c r="A114" s="85">
        <v>45350</v>
      </c>
      <c r="B114" s="174" t="s">
        <v>3272</v>
      </c>
      <c r="C114" s="14">
        <f>MONTH(INGRESOS[[#This Row],[FECHA]])</f>
        <v>2</v>
      </c>
      <c r="D114" s="23" t="str">
        <f>MID(INGRESOS[[#This Row],[CUENTA]],1,4)</f>
        <v>I-05</v>
      </c>
      <c r="E11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14" s="22"/>
      <c r="G114" s="22" t="s">
        <v>4032</v>
      </c>
      <c r="H114" s="90">
        <v>154</v>
      </c>
      <c r="I114" s="88"/>
      <c r="J114" s="89"/>
    </row>
    <row r="115" spans="1:10" x14ac:dyDescent="0.25">
      <c r="A115" s="85">
        <v>45350</v>
      </c>
      <c r="B115" s="174" t="s">
        <v>3274</v>
      </c>
      <c r="C115" s="14">
        <f>MONTH(INGRESOS[[#This Row],[FECHA]])</f>
        <v>2</v>
      </c>
      <c r="D115" s="23" t="str">
        <f>MID(INGRESOS[[#This Row],[CUENTA]],1,4)</f>
        <v>I-05</v>
      </c>
      <c r="E11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15" s="22"/>
      <c r="G115" s="22" t="s">
        <v>4032</v>
      </c>
      <c r="H115" s="90">
        <v>60</v>
      </c>
      <c r="I115" s="88"/>
      <c r="J115" s="89"/>
    </row>
    <row r="116" spans="1:10" x14ac:dyDescent="0.25">
      <c r="A116" s="85">
        <v>45350</v>
      </c>
      <c r="B116" s="174" t="s">
        <v>4029</v>
      </c>
      <c r="C116" s="14">
        <f>MONTH(INGRESOS[[#This Row],[FECHA]])</f>
        <v>2</v>
      </c>
      <c r="D116" s="23" t="str">
        <f>MID(INGRESOS[[#This Row],[CUENTA]],1,4)</f>
        <v>I-05</v>
      </c>
      <c r="E11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POSTGRADOS</v>
      </c>
      <c r="F116" s="22"/>
      <c r="G116" s="22" t="s">
        <v>4032</v>
      </c>
      <c r="H116" s="90">
        <v>32233.200000000001</v>
      </c>
      <c r="I116" s="88"/>
      <c r="J116" s="89"/>
    </row>
    <row r="117" spans="1:10" x14ac:dyDescent="0.25">
      <c r="A117" s="85">
        <v>45350</v>
      </c>
      <c r="B117" s="174" t="s">
        <v>4030</v>
      </c>
      <c r="C117" s="14">
        <f>MONTH(INGRESOS[[#This Row],[FECHA]])</f>
        <v>2</v>
      </c>
      <c r="D117" s="23" t="str">
        <f>MID(INGRESOS[[#This Row],[CUENTA]],1,4)</f>
        <v>I-05</v>
      </c>
      <c r="E11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</v>
      </c>
      <c r="F117" s="22"/>
      <c r="G117" s="22" t="s">
        <v>4032</v>
      </c>
      <c r="H117" s="90">
        <v>1680</v>
      </c>
      <c r="I117" s="88"/>
      <c r="J117" s="89"/>
    </row>
    <row r="118" spans="1:10" x14ac:dyDescent="0.25">
      <c r="A118" s="85">
        <v>45350</v>
      </c>
      <c r="B118" s="174" t="s">
        <v>4031</v>
      </c>
      <c r="C118" s="14">
        <f>MONTH(INGRESOS[[#This Row],[FECHA]])</f>
        <v>2</v>
      </c>
      <c r="D118" s="23" t="str">
        <f>MID(INGRESOS[[#This Row],[CUENTA]],1,4)</f>
        <v>I-05</v>
      </c>
      <c r="E11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</v>
      </c>
      <c r="F118" s="22"/>
      <c r="G118" s="22" t="s">
        <v>4032</v>
      </c>
      <c r="H118" s="90">
        <v>75</v>
      </c>
      <c r="I118" s="88"/>
      <c r="J118" s="89"/>
    </row>
    <row r="119" spans="1:10" x14ac:dyDescent="0.25">
      <c r="A119" s="85">
        <v>45350</v>
      </c>
      <c r="B119" s="174" t="s">
        <v>3191</v>
      </c>
      <c r="C119" s="14">
        <f>MONTH(INGRESOS[[#This Row],[FECHA]])</f>
        <v>2</v>
      </c>
      <c r="D119" s="23" t="str">
        <f>MID(INGRESOS[[#This Row],[CUENTA]],1,4)</f>
        <v>I-06</v>
      </c>
      <c r="E11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FCCE Pregrado</v>
      </c>
      <c r="F119" s="22"/>
      <c r="G119" s="22" t="s">
        <v>4032</v>
      </c>
      <c r="H119" s="90">
        <v>69088.22</v>
      </c>
      <c r="I119" s="88"/>
      <c r="J119" s="89"/>
    </row>
    <row r="120" spans="1:10" x14ac:dyDescent="0.25">
      <c r="A120" s="85">
        <v>45350</v>
      </c>
      <c r="B120" s="174" t="s">
        <v>3197</v>
      </c>
      <c r="C120" s="14">
        <f>MONTH(INGRESOS[[#This Row],[FECHA]])</f>
        <v>2</v>
      </c>
      <c r="D120" s="23" t="str">
        <f>MID(INGRESOS[[#This Row],[CUENTA]],1,4)</f>
        <v>I-06</v>
      </c>
      <c r="E12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Pregrado</v>
      </c>
      <c r="F120" s="22"/>
      <c r="G120" s="22" t="s">
        <v>4032</v>
      </c>
      <c r="H120" s="90">
        <v>10788.53</v>
      </c>
      <c r="I120" s="88"/>
      <c r="J120" s="89"/>
    </row>
    <row r="121" spans="1:10" x14ac:dyDescent="0.25">
      <c r="A121" s="85">
        <v>45350</v>
      </c>
      <c r="B121" s="174" t="s">
        <v>3198</v>
      </c>
      <c r="C121" s="14">
        <f>MONTH(INGRESOS[[#This Row],[FECHA]])</f>
        <v>2</v>
      </c>
      <c r="D121" s="23" t="str">
        <f>MID(INGRESOS[[#This Row],[CUENTA]],1,4)</f>
        <v>I-06</v>
      </c>
      <c r="E12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Técnicos</v>
      </c>
      <c r="F121" s="22"/>
      <c r="G121" s="22" t="s">
        <v>4032</v>
      </c>
      <c r="H121" s="90">
        <v>1099.7</v>
      </c>
      <c r="I121" s="88"/>
      <c r="J121" s="89"/>
    </row>
    <row r="122" spans="1:10" x14ac:dyDescent="0.25">
      <c r="A122" s="85">
        <v>45350</v>
      </c>
      <c r="B122" s="174" t="s">
        <v>3203</v>
      </c>
      <c r="C122" s="14">
        <f>MONTH(INGRESOS[[#This Row],[FECHA]])</f>
        <v>2</v>
      </c>
      <c r="D122" s="23" t="str">
        <f>MID(INGRESOS[[#This Row],[CUENTA]],1,4)</f>
        <v>I-06</v>
      </c>
      <c r="E12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Pregrado</v>
      </c>
      <c r="F122" s="22"/>
      <c r="G122" s="22" t="s">
        <v>4032</v>
      </c>
      <c r="H122" s="90">
        <v>15150.01</v>
      </c>
      <c r="I122" s="88"/>
      <c r="J122" s="89"/>
    </row>
    <row r="123" spans="1:10" x14ac:dyDescent="0.25">
      <c r="A123" s="85">
        <v>45350</v>
      </c>
      <c r="B123" s="174" t="s">
        <v>3204</v>
      </c>
      <c r="C123" s="14">
        <f>MONTH(INGRESOS[[#This Row],[FECHA]])</f>
        <v>2</v>
      </c>
      <c r="D123" s="23" t="str">
        <f>MID(INGRESOS[[#This Row],[CUENTA]],1,4)</f>
        <v>I-06</v>
      </c>
      <c r="E12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Técnicos</v>
      </c>
      <c r="F123" s="22"/>
      <c r="G123" s="22" t="s">
        <v>4032</v>
      </c>
      <c r="H123" s="90">
        <v>247.99</v>
      </c>
      <c r="I123" s="88"/>
      <c r="J123" s="89"/>
    </row>
    <row r="124" spans="1:10" x14ac:dyDescent="0.25">
      <c r="A124" s="85">
        <v>45350</v>
      </c>
      <c r="B124" s="174" t="s">
        <v>3207</v>
      </c>
      <c r="C124" s="14">
        <f>MONTH(INGRESOS[[#This Row],[FECHA]])</f>
        <v>2</v>
      </c>
      <c r="D124" s="23" t="str">
        <f>MID(INGRESOS[[#This Row],[CUENTA]],1,4)</f>
        <v>I-06</v>
      </c>
      <c r="E12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FCCJ Pregrado</v>
      </c>
      <c r="F124" s="22"/>
      <c r="G124" s="22" t="s">
        <v>4032</v>
      </c>
      <c r="H124" s="90">
        <v>9564.8799999999992</v>
      </c>
      <c r="I124" s="88"/>
      <c r="J124" s="89"/>
    </row>
    <row r="125" spans="1:10" x14ac:dyDescent="0.25">
      <c r="A125" s="85">
        <v>45350</v>
      </c>
      <c r="B125" s="174" t="s">
        <v>3285</v>
      </c>
      <c r="C125" s="14">
        <f>MONTH(INGRESOS[[#This Row],[FECHA]])</f>
        <v>2</v>
      </c>
      <c r="D125" s="23" t="str">
        <f>MID(INGRESOS[[#This Row],[CUENTA]],1,4)</f>
        <v>I-08</v>
      </c>
      <c r="E12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INGRESOS - PATROCINIOS, CURSOS Y OTROS</v>
      </c>
      <c r="F125" s="22"/>
      <c r="G125" s="22" t="s">
        <v>4032</v>
      </c>
      <c r="H125" s="90">
        <v>21322.240000000002</v>
      </c>
      <c r="I125" s="88"/>
      <c r="J125" s="89"/>
    </row>
    <row r="126" spans="1:10" x14ac:dyDescent="0.25">
      <c r="A126" s="85">
        <v>45382</v>
      </c>
      <c r="B126" s="174" t="s">
        <v>1924</v>
      </c>
      <c r="C126" s="14">
        <f>MONTH(INGRESOS[[#This Row],[FECHA]])</f>
        <v>3</v>
      </c>
      <c r="D126" s="23" t="str">
        <f>MID(INGRESOS[[#This Row],[CUENTA]],1,4)</f>
        <v>I-01</v>
      </c>
      <c r="E12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PREGRADO</v>
      </c>
      <c r="F126" s="89"/>
      <c r="G126" s="22" t="s">
        <v>4033</v>
      </c>
      <c r="H126" s="90">
        <v>380388.75</v>
      </c>
      <c r="I126" s="88"/>
      <c r="J126" s="89"/>
    </row>
    <row r="127" spans="1:10" x14ac:dyDescent="0.25">
      <c r="A127" s="85">
        <v>45382</v>
      </c>
      <c r="B127" s="174" t="s">
        <v>3188</v>
      </c>
      <c r="C127" s="14">
        <f>MONTH(INGRESOS[[#This Row],[FECHA]])</f>
        <v>3</v>
      </c>
      <c r="D127" s="23" t="str">
        <f>MID(INGRESOS[[#This Row],[CUENTA]],1,4)</f>
        <v>I-01</v>
      </c>
      <c r="E12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FCCE TÉCNICOS</v>
      </c>
      <c r="F127" s="89"/>
      <c r="G127" s="22" t="s">
        <v>4033</v>
      </c>
      <c r="H127" s="90">
        <v>21596.25</v>
      </c>
      <c r="I127" s="88"/>
      <c r="J127" s="89"/>
    </row>
    <row r="128" spans="1:10" x14ac:dyDescent="0.25">
      <c r="A128" s="85">
        <v>45382</v>
      </c>
      <c r="B128" s="174" t="s">
        <v>3193</v>
      </c>
      <c r="C128" s="14">
        <f>MONTH(INGRESOS[[#This Row],[FECHA]])</f>
        <v>3</v>
      </c>
      <c r="D128" s="23" t="str">
        <f>MID(INGRESOS[[#This Row],[CUENTA]],1,4)</f>
        <v>I-01</v>
      </c>
      <c r="E12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FICA PREGRADO</v>
      </c>
      <c r="F128" s="89"/>
      <c r="G128" s="22" t="s">
        <v>4033</v>
      </c>
      <c r="H128" s="90">
        <v>372315.8</v>
      </c>
      <c r="I128" s="88"/>
      <c r="J128" s="89"/>
    </row>
    <row r="129" spans="1:10" x14ac:dyDescent="0.25">
      <c r="A129" s="85">
        <v>45382</v>
      </c>
      <c r="B129" s="174" t="s">
        <v>3199</v>
      </c>
      <c r="C129" s="14">
        <f>MONTH(INGRESOS[[#This Row],[FECHA]])</f>
        <v>3</v>
      </c>
      <c r="D129" s="23" t="str">
        <f>MID(INGRESOS[[#This Row],[CUENTA]],1,4)</f>
        <v>I-01</v>
      </c>
      <c r="E12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 PREGRADO</v>
      </c>
      <c r="F129" s="89"/>
      <c r="G129" s="22" t="s">
        <v>4033</v>
      </c>
      <c r="H129" s="90">
        <v>265687.15000000002</v>
      </c>
      <c r="I129" s="88"/>
      <c r="J129" s="89"/>
    </row>
    <row r="130" spans="1:10" x14ac:dyDescent="0.25">
      <c r="A130" s="85">
        <v>45382</v>
      </c>
      <c r="B130" s="174" t="s">
        <v>3200</v>
      </c>
      <c r="C130" s="14">
        <f>MONTH(INGRESOS[[#This Row],[FECHA]])</f>
        <v>3</v>
      </c>
      <c r="D130" s="23" t="str">
        <f>MID(INGRESOS[[#This Row],[CUENTA]],1,4)</f>
        <v>I-01</v>
      </c>
      <c r="E13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FCCSTÉCNICOS</v>
      </c>
      <c r="F130" s="89"/>
      <c r="G130" s="22" t="s">
        <v>4033</v>
      </c>
      <c r="H130" s="90">
        <v>4184.5</v>
      </c>
      <c r="I130" s="88"/>
      <c r="J130" s="89"/>
    </row>
    <row r="131" spans="1:10" x14ac:dyDescent="0.25">
      <c r="A131" s="85">
        <v>45382</v>
      </c>
      <c r="B131" s="174" t="s">
        <v>3205</v>
      </c>
      <c r="C131" s="14">
        <f>MONTH(INGRESOS[[#This Row],[FECHA]])</f>
        <v>3</v>
      </c>
      <c r="D131" s="23" t="str">
        <f>MID(INGRESOS[[#This Row],[CUENTA]],1,4)</f>
        <v>I-01</v>
      </c>
      <c r="E13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FCCJ PREGRADO</v>
      </c>
      <c r="F131" s="89"/>
      <c r="G131" s="22" t="s">
        <v>4033</v>
      </c>
      <c r="H131" s="90">
        <v>147560.5</v>
      </c>
      <c r="I131" s="88"/>
      <c r="J131" s="89"/>
    </row>
    <row r="132" spans="1:10" x14ac:dyDescent="0.25">
      <c r="A132" s="85">
        <v>45382</v>
      </c>
      <c r="B132" s="174" t="s">
        <v>3189</v>
      </c>
      <c r="C132" s="14">
        <f>MONTH(INGRESOS[[#This Row],[FECHA]])</f>
        <v>3</v>
      </c>
      <c r="D132" s="23" t="str">
        <f>MID(INGRESOS[[#This Row],[CUENTA]],1,4)</f>
        <v>I-02</v>
      </c>
      <c r="E13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FCCE PREGRADO</v>
      </c>
      <c r="F132" s="89"/>
      <c r="G132" s="22" t="s">
        <v>4033</v>
      </c>
      <c r="H132" s="90">
        <v>1020</v>
      </c>
      <c r="I132" s="88"/>
      <c r="J132" s="89"/>
    </row>
    <row r="133" spans="1:10" x14ac:dyDescent="0.25">
      <c r="A133" s="85">
        <v>45382</v>
      </c>
      <c r="B133" s="174" t="s">
        <v>3195</v>
      </c>
      <c r="C133" s="14">
        <f>MONTH(INGRESOS[[#This Row],[FECHA]])</f>
        <v>3</v>
      </c>
      <c r="D133" s="23" t="str">
        <f>MID(INGRESOS[[#This Row],[CUENTA]],1,4)</f>
        <v>I-02</v>
      </c>
      <c r="E13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PREGRADO</v>
      </c>
      <c r="F133" s="44"/>
      <c r="G133" s="22" t="s">
        <v>4033</v>
      </c>
      <c r="H133" s="90">
        <v>1140</v>
      </c>
      <c r="I133" s="88"/>
      <c r="J133" s="89"/>
    </row>
    <row r="134" spans="1:10" x14ac:dyDescent="0.25">
      <c r="A134" s="85">
        <v>45382</v>
      </c>
      <c r="B134" s="174" t="s">
        <v>3196</v>
      </c>
      <c r="C134" s="14">
        <f>MONTH(INGRESOS[[#This Row],[FECHA]])</f>
        <v>3</v>
      </c>
      <c r="D134" s="23" t="str">
        <f>MID(INGRESOS[[#This Row],[CUENTA]],1,4)</f>
        <v>I-02</v>
      </c>
      <c r="E13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FICA TÉCNICOS</v>
      </c>
      <c r="F134" s="44"/>
      <c r="G134" s="22" t="s">
        <v>4033</v>
      </c>
      <c r="H134" s="90">
        <v>26109.5</v>
      </c>
      <c r="I134" s="88"/>
      <c r="J134" s="89"/>
    </row>
    <row r="135" spans="1:10" x14ac:dyDescent="0.25">
      <c r="A135" s="85">
        <v>45382</v>
      </c>
      <c r="B135" s="174" t="s">
        <v>3201</v>
      </c>
      <c r="C135" s="14">
        <f>MONTH(INGRESOS[[#This Row],[FECHA]])</f>
        <v>3</v>
      </c>
      <c r="D135" s="23" t="str">
        <f>MID(INGRESOS[[#This Row],[CUENTA]],1,4)</f>
        <v>I-02</v>
      </c>
      <c r="E135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FCCS PREGRADO</v>
      </c>
      <c r="F135" s="44"/>
      <c r="G135" s="22" t="s">
        <v>4033</v>
      </c>
      <c r="H135" s="90">
        <v>1540</v>
      </c>
      <c r="I135" s="88"/>
      <c r="J135" s="89"/>
    </row>
    <row r="136" spans="1:10" x14ac:dyDescent="0.25">
      <c r="A136" s="85">
        <v>45382</v>
      </c>
      <c r="B136" s="174" t="s">
        <v>3206</v>
      </c>
      <c r="C136" s="14">
        <f>MONTH(INGRESOS[[#This Row],[FECHA]])</f>
        <v>3</v>
      </c>
      <c r="D136" s="23" t="str">
        <f>MID(INGRESOS[[#This Row],[CUENTA]],1,4)</f>
        <v>I-02</v>
      </c>
      <c r="E136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MATRICULAS FCCJ PREGRADO</v>
      </c>
      <c r="F136" s="44"/>
      <c r="G136" s="22" t="s">
        <v>4033</v>
      </c>
      <c r="H136" s="90">
        <v>180</v>
      </c>
      <c r="I136" s="88"/>
      <c r="J136" s="89"/>
    </row>
    <row r="137" spans="1:10" x14ac:dyDescent="0.25">
      <c r="A137" s="85">
        <v>45382</v>
      </c>
      <c r="B137" s="174" t="s">
        <v>3208</v>
      </c>
      <c r="C137" s="14">
        <f>MONTH(INGRESOS[[#This Row],[FECHA]])</f>
        <v>3</v>
      </c>
      <c r="D137" s="23" t="str">
        <f>MID(INGRESOS[[#This Row],[CUENTA]],1,4)</f>
        <v>I-03</v>
      </c>
      <c r="E137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EMPRESARIALES</v>
      </c>
      <c r="F137" s="44"/>
      <c r="G137" s="22" t="s">
        <v>4033</v>
      </c>
      <c r="H137" s="90">
        <v>74436</v>
      </c>
      <c r="I137" s="88"/>
      <c r="J137" s="89"/>
    </row>
    <row r="138" spans="1:10" x14ac:dyDescent="0.25">
      <c r="A138" s="85">
        <v>45382</v>
      </c>
      <c r="B138" s="174" t="s">
        <v>3209</v>
      </c>
      <c r="C138" s="14">
        <f>MONTH(INGRESOS[[#This Row],[FECHA]])</f>
        <v>3</v>
      </c>
      <c r="D138" s="23" t="str">
        <f>MID(INGRESOS[[#This Row],[CUENTA]],1,4)</f>
        <v>I-03</v>
      </c>
      <c r="E138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 INFORMATICA Y CC APLIC</v>
      </c>
      <c r="F138" s="44"/>
      <c r="G138" s="22" t="s">
        <v>4033</v>
      </c>
      <c r="H138" s="90">
        <v>62290</v>
      </c>
      <c r="I138" s="88"/>
      <c r="J138" s="89"/>
    </row>
    <row r="139" spans="1:10" x14ac:dyDescent="0.25">
      <c r="A139" s="85">
        <v>45382</v>
      </c>
      <c r="B139" s="174" t="s">
        <v>3210</v>
      </c>
      <c r="C139" s="14">
        <f>MONTH(INGRESOS[[#This Row],[FECHA]])</f>
        <v>3</v>
      </c>
      <c r="D139" s="23" t="str">
        <f>MID(INGRESOS[[#This Row],[CUENTA]],1,4)</f>
        <v>I-03</v>
      </c>
      <c r="E139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SOCIALES</v>
      </c>
      <c r="F139" s="44"/>
      <c r="G139" s="22" t="s">
        <v>4033</v>
      </c>
      <c r="H139" s="90">
        <v>42445</v>
      </c>
      <c r="I139" s="88"/>
      <c r="J139" s="89"/>
    </row>
    <row r="140" spans="1:10" x14ac:dyDescent="0.25">
      <c r="A140" s="85">
        <v>45382</v>
      </c>
      <c r="B140" s="174" t="s">
        <v>3211</v>
      </c>
      <c r="C140" s="14">
        <f>MONTH(INGRESOS[[#This Row],[FECHA]])</f>
        <v>3</v>
      </c>
      <c r="D140" s="23" t="str">
        <f>MID(INGRESOS[[#This Row],[CUENTA]],1,4)</f>
        <v>I-03</v>
      </c>
      <c r="E140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PRE- GRADO FACULTAD CC JURIDICAS</v>
      </c>
      <c r="F140" s="44"/>
      <c r="G140" s="22" t="s">
        <v>4033</v>
      </c>
      <c r="H140" s="90">
        <v>17360</v>
      </c>
      <c r="I140" s="88"/>
      <c r="J140" s="89"/>
    </row>
    <row r="141" spans="1:10" x14ac:dyDescent="0.25">
      <c r="A141" s="85">
        <v>45382</v>
      </c>
      <c r="B141" s="174" t="s">
        <v>3212</v>
      </c>
      <c r="C141" s="14">
        <f>MONTH(INGRESOS[[#This Row],[FECHA]])</f>
        <v>3</v>
      </c>
      <c r="D141" s="23" t="str">
        <f>MID(INGRESOS[[#This Row],[CUENTA]],1,4)</f>
        <v>I-03</v>
      </c>
      <c r="E141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EMPRESARIALES</v>
      </c>
      <c r="F141" s="44"/>
      <c r="G141" s="22" t="s">
        <v>4033</v>
      </c>
      <c r="H141" s="90">
        <v>1371.36</v>
      </c>
      <c r="I141" s="88"/>
      <c r="J141" s="89"/>
    </row>
    <row r="142" spans="1:10" x14ac:dyDescent="0.25">
      <c r="A142" s="85">
        <v>45382</v>
      </c>
      <c r="B142" s="174" t="s">
        <v>3213</v>
      </c>
      <c r="C142" s="14">
        <f>MONTH(INGRESOS[[#This Row],[FECHA]])</f>
        <v>3</v>
      </c>
      <c r="D142" s="23" t="str">
        <f>MID(INGRESOS[[#This Row],[CUENTA]],1,4)</f>
        <v>I-03</v>
      </c>
      <c r="E142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 INFORMATICA Y CC APLIC</v>
      </c>
      <c r="F142" s="44"/>
      <c r="G142" s="22" t="s">
        <v>4033</v>
      </c>
      <c r="H142" s="90">
        <v>2950.85</v>
      </c>
      <c r="I142" s="88"/>
      <c r="J142" s="89"/>
    </row>
    <row r="143" spans="1:10" x14ac:dyDescent="0.25">
      <c r="A143" s="85">
        <v>45382</v>
      </c>
      <c r="B143" s="174" t="s">
        <v>3214</v>
      </c>
      <c r="C143" s="14">
        <f>MONTH(INGRESOS[[#This Row],[FECHA]])</f>
        <v>3</v>
      </c>
      <c r="D143" s="23" t="str">
        <f>MID(INGRESOS[[#This Row],[CUENTA]],1,4)</f>
        <v>I-03</v>
      </c>
      <c r="E143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PREESPECIALIDAD CARRERAS TÉCNICAS FACULTAD CC SOCIALES</v>
      </c>
      <c r="F143" s="44"/>
      <c r="G143" s="22" t="s">
        <v>4033</v>
      </c>
      <c r="H143" s="90">
        <v>742.82</v>
      </c>
      <c r="I143" s="88"/>
      <c r="J143" s="89"/>
    </row>
    <row r="144" spans="1:10" x14ac:dyDescent="0.25">
      <c r="A144" s="85">
        <v>45382</v>
      </c>
      <c r="B144" s="174" t="s">
        <v>1023</v>
      </c>
      <c r="C144" s="14">
        <f>MONTH(INGRESOS[[#This Row],[FECHA]])</f>
        <v>3</v>
      </c>
      <c r="D144" s="23" t="str">
        <f>MID(INGRESOS[[#This Row],[CUENTA]],1,4)</f>
        <v>I-04</v>
      </c>
      <c r="E144" s="22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EMPRESARIALES</v>
      </c>
      <c r="F144" s="44"/>
      <c r="G144" s="22" t="s">
        <v>4033</v>
      </c>
      <c r="H144" s="90">
        <v>20725</v>
      </c>
      <c r="I144" s="88"/>
      <c r="J144" s="89"/>
    </row>
    <row r="145" spans="1:10" x14ac:dyDescent="0.25">
      <c r="A145" s="85">
        <v>45382</v>
      </c>
      <c r="B145" s="174" t="s">
        <v>3215</v>
      </c>
      <c r="C145" s="14">
        <f>MONTH(INGRESOS[[#This Row],[FECHA]])</f>
        <v>3</v>
      </c>
      <c r="D145" s="47" t="str">
        <f>MID(INGRESOS[[#This Row],[CUENTA]],1,4)</f>
        <v>I-04</v>
      </c>
      <c r="E145" s="46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 INFORMATICA Y CC APLIC</v>
      </c>
      <c r="F145" s="45"/>
      <c r="G145" s="46" t="s">
        <v>4033</v>
      </c>
      <c r="H145" s="48">
        <v>45</v>
      </c>
      <c r="I145" s="49"/>
      <c r="J145" s="45"/>
    </row>
    <row r="146" spans="1:10" x14ac:dyDescent="0.25">
      <c r="A146" s="85">
        <v>45382</v>
      </c>
      <c r="B146" s="174" t="s">
        <v>1024</v>
      </c>
      <c r="C146" s="14">
        <f>MONTH(INGRESOS[[#This Row],[FECHA]])</f>
        <v>3</v>
      </c>
      <c r="D146" s="47" t="str">
        <f>MID(INGRESOS[[#This Row],[CUENTA]],1,4)</f>
        <v>I-04</v>
      </c>
      <c r="E146" s="46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 FACULTAD CC SOCIALES</v>
      </c>
      <c r="F146" s="45"/>
      <c r="G146" s="46" t="s">
        <v>4033</v>
      </c>
      <c r="H146" s="48">
        <v>55.71</v>
      </c>
      <c r="I146" s="49"/>
      <c r="J146" s="45"/>
    </row>
    <row r="147" spans="1:10" x14ac:dyDescent="0.25">
      <c r="A147" s="85">
        <v>45382</v>
      </c>
      <c r="B147" s="174" t="s">
        <v>3218</v>
      </c>
      <c r="C147" s="14">
        <f>MONTH(INGRESOS[[#This Row],[FECHA]])</f>
        <v>3</v>
      </c>
      <c r="D147" s="47" t="str">
        <f>MID(INGRESOS[[#This Row],[CUENTA]],1,4)</f>
        <v>I-04</v>
      </c>
      <c r="E147" s="46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 INFORMATICA Y CC APLIC</v>
      </c>
      <c r="F147" s="45"/>
      <c r="G147" s="46" t="s">
        <v>4033</v>
      </c>
      <c r="H147" s="48">
        <v>24765</v>
      </c>
      <c r="I147" s="49"/>
      <c r="J147" s="45"/>
    </row>
    <row r="148" spans="1:10" x14ac:dyDescent="0.25">
      <c r="A148" s="85">
        <v>45382</v>
      </c>
      <c r="B148" s="174" t="s">
        <v>3219</v>
      </c>
      <c r="C148" s="14">
        <f>MONTH(INGRESOS[[#This Row],[FECHA]])</f>
        <v>3</v>
      </c>
      <c r="D148" s="47" t="str">
        <f>MID(INGRESOS[[#This Row],[CUENTA]],1,4)</f>
        <v>I-04</v>
      </c>
      <c r="E148" s="46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CC SOCIALES</v>
      </c>
      <c r="F148" s="45"/>
      <c r="G148" s="46" t="s">
        <v>4033</v>
      </c>
      <c r="H148" s="48">
        <v>27300</v>
      </c>
      <c r="I148" s="49"/>
      <c r="J148" s="45"/>
    </row>
    <row r="149" spans="1:10" x14ac:dyDescent="0.25">
      <c r="A149" s="85">
        <v>45382</v>
      </c>
      <c r="B149" s="174" t="s">
        <v>3220</v>
      </c>
      <c r="C149" s="14">
        <f>MONTH(INGRESOS[[#This Row],[FECHA]])</f>
        <v>3</v>
      </c>
      <c r="D149" s="47" t="str">
        <f>MID(INGRESOS[[#This Row],[CUENTA]],1,4)</f>
        <v>I-04</v>
      </c>
      <c r="E149" s="46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 FACULTAD CC JURIDICAS</v>
      </c>
      <c r="F149" s="45"/>
      <c r="G149" s="46" t="s">
        <v>4033</v>
      </c>
      <c r="H149" s="48">
        <v>7470</v>
      </c>
      <c r="I149" s="49"/>
      <c r="J149" s="45"/>
    </row>
    <row r="150" spans="1:10" x14ac:dyDescent="0.25">
      <c r="A150" s="85">
        <v>45382</v>
      </c>
      <c r="B150" s="174" t="s">
        <v>3221</v>
      </c>
      <c r="C150" s="14">
        <f>MONTH(INGRESOS[[#This Row],[FECHA]])</f>
        <v>3</v>
      </c>
      <c r="D150" s="26" t="str">
        <f>MID(INGRESOS[[#This Row],[CUENTA]],1,4)</f>
        <v>I-05</v>
      </c>
      <c r="E150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50" s="27"/>
      <c r="G150" s="25" t="s">
        <v>4033</v>
      </c>
      <c r="H150" s="92">
        <v>60</v>
      </c>
      <c r="I150" s="93"/>
      <c r="J150" s="91"/>
    </row>
    <row r="151" spans="1:10" x14ac:dyDescent="0.25">
      <c r="A151" s="85">
        <v>45382</v>
      </c>
      <c r="B151" s="174" t="s">
        <v>3231</v>
      </c>
      <c r="C151" s="14">
        <f>MONTH(INGRESOS[[#This Row],[FECHA]])</f>
        <v>3</v>
      </c>
      <c r="D151" s="26" t="str">
        <f>MID(INGRESOS[[#This Row],[CUENTA]],1,4)</f>
        <v>I-05</v>
      </c>
      <c r="E151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51" s="29"/>
      <c r="G151" s="25" t="s">
        <v>4033</v>
      </c>
      <c r="H151" s="92">
        <v>1380</v>
      </c>
      <c r="I151" s="93"/>
      <c r="J151" s="91"/>
    </row>
    <row r="152" spans="1:10" x14ac:dyDescent="0.25">
      <c r="A152" s="85">
        <v>45382</v>
      </c>
      <c r="B152" s="174" t="s">
        <v>3232</v>
      </c>
      <c r="C152" s="14">
        <f>MONTH(INGRESOS[[#This Row],[FECHA]])</f>
        <v>3</v>
      </c>
      <c r="D152" s="26" t="str">
        <f>MID(INGRESOS[[#This Row],[CUENTA]],1,4)</f>
        <v>I-05</v>
      </c>
      <c r="E152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52" s="27"/>
      <c r="G152" s="25" t="s">
        <v>4033</v>
      </c>
      <c r="H152" s="92">
        <v>8890</v>
      </c>
      <c r="I152" s="93"/>
      <c r="J152" s="91"/>
    </row>
    <row r="153" spans="1:10" x14ac:dyDescent="0.25">
      <c r="A153" s="85">
        <v>45382</v>
      </c>
      <c r="B153" s="174" t="s">
        <v>3233</v>
      </c>
      <c r="C153" s="14">
        <f>MONTH(INGRESOS[[#This Row],[FECHA]])</f>
        <v>3</v>
      </c>
      <c r="D153" s="26" t="str">
        <f>MID(INGRESOS[[#This Row],[CUENTA]],1,4)</f>
        <v>I-05</v>
      </c>
      <c r="E153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53" s="29"/>
      <c r="G153" s="25" t="s">
        <v>4033</v>
      </c>
      <c r="H153" s="92">
        <v>3475</v>
      </c>
      <c r="I153" s="93"/>
      <c r="J153" s="91"/>
    </row>
    <row r="154" spans="1:10" x14ac:dyDescent="0.25">
      <c r="A154" s="85">
        <v>45382</v>
      </c>
      <c r="B154" s="174" t="s">
        <v>3234</v>
      </c>
      <c r="C154" s="14">
        <f>MONTH(INGRESOS[[#This Row],[FECHA]])</f>
        <v>3</v>
      </c>
      <c r="D154" s="26" t="str">
        <f>MID(INGRESOS[[#This Row],[CUENTA]],1,4)</f>
        <v>I-05</v>
      </c>
      <c r="E154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54" s="29"/>
      <c r="G154" s="25" t="s">
        <v>4033</v>
      </c>
      <c r="H154" s="92">
        <v>594.84</v>
      </c>
      <c r="I154" s="93"/>
      <c r="J154" s="91"/>
    </row>
    <row r="155" spans="1:10" x14ac:dyDescent="0.25">
      <c r="A155" s="85">
        <v>45382</v>
      </c>
      <c r="B155" s="174" t="s">
        <v>3236</v>
      </c>
      <c r="C155" s="14">
        <f>MONTH(INGRESOS[[#This Row],[FECHA]])</f>
        <v>3</v>
      </c>
      <c r="D155" s="26" t="str">
        <f>MID(INGRESOS[[#This Row],[CUENTA]],1,4)</f>
        <v>I-05</v>
      </c>
      <c r="E155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55" s="29"/>
      <c r="G155" s="25" t="s">
        <v>4033</v>
      </c>
      <c r="H155" s="92">
        <v>240</v>
      </c>
      <c r="I155" s="93"/>
      <c r="J155" s="91"/>
    </row>
    <row r="156" spans="1:10" x14ac:dyDescent="0.25">
      <c r="A156" s="85">
        <v>45382</v>
      </c>
      <c r="B156" s="174" t="s">
        <v>3237</v>
      </c>
      <c r="C156" s="14">
        <f>MONTH(INGRESOS[[#This Row],[FECHA]])</f>
        <v>3</v>
      </c>
      <c r="D156" s="26" t="str">
        <f>MID(INGRESOS[[#This Row],[CUENTA]],1,4)</f>
        <v>I-05</v>
      </c>
      <c r="E156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56" s="29"/>
      <c r="G156" s="25" t="s">
        <v>4033</v>
      </c>
      <c r="H156" s="92">
        <v>115</v>
      </c>
      <c r="I156" s="93"/>
      <c r="J156" s="91"/>
    </row>
    <row r="157" spans="1:10" x14ac:dyDescent="0.25">
      <c r="A157" s="85">
        <v>45382</v>
      </c>
      <c r="B157" s="174" t="s">
        <v>3251</v>
      </c>
      <c r="C157" s="14">
        <f>MONTH(INGRESOS[[#This Row],[FECHA]])</f>
        <v>3</v>
      </c>
      <c r="D157" s="26" t="str">
        <f>MID(INGRESOS[[#This Row],[CUENTA]],1,4)</f>
        <v>I-05</v>
      </c>
      <c r="E157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57" s="29"/>
      <c r="G157" s="25" t="s">
        <v>4033</v>
      </c>
      <c r="H157" s="92">
        <v>1440</v>
      </c>
      <c r="I157" s="93"/>
      <c r="J157" s="91"/>
    </row>
    <row r="158" spans="1:10" x14ac:dyDescent="0.25">
      <c r="A158" s="85">
        <v>45382</v>
      </c>
      <c r="B158" s="174" t="s">
        <v>3252</v>
      </c>
      <c r="C158" s="14">
        <f>MONTH(INGRESOS[[#This Row],[FECHA]])</f>
        <v>3</v>
      </c>
      <c r="D158" s="26" t="str">
        <f>MID(INGRESOS[[#This Row],[CUENTA]],1,4)</f>
        <v>I-05</v>
      </c>
      <c r="E158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58" s="29"/>
      <c r="G158" s="25" t="s">
        <v>4033</v>
      </c>
      <c r="H158" s="92">
        <v>19850</v>
      </c>
      <c r="I158" s="93"/>
      <c r="J158" s="91"/>
    </row>
    <row r="159" spans="1:10" x14ac:dyDescent="0.25">
      <c r="A159" s="85">
        <v>45382</v>
      </c>
      <c r="B159" s="174" t="s">
        <v>3253</v>
      </c>
      <c r="C159" s="14">
        <f>MONTH(INGRESOS[[#This Row],[FECHA]])</f>
        <v>3</v>
      </c>
      <c r="D159" s="26" t="str">
        <f>MID(INGRESOS[[#This Row],[CUENTA]],1,4)</f>
        <v>I-05</v>
      </c>
      <c r="E159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59" s="29"/>
      <c r="G159" s="25" t="s">
        <v>4033</v>
      </c>
      <c r="H159" s="92">
        <v>990</v>
      </c>
      <c r="I159" s="93"/>
      <c r="J159" s="91"/>
    </row>
    <row r="160" spans="1:10" x14ac:dyDescent="0.25">
      <c r="A160" s="85">
        <v>45382</v>
      </c>
      <c r="B160" s="174" t="s">
        <v>3254</v>
      </c>
      <c r="C160" s="14">
        <f>MONTH(INGRESOS[[#This Row],[FECHA]])</f>
        <v>3</v>
      </c>
      <c r="D160" s="26" t="str">
        <f>MID(INGRESOS[[#This Row],[CUENTA]],1,4)</f>
        <v>I-05</v>
      </c>
      <c r="E160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60" s="29"/>
      <c r="G160" s="25" t="s">
        <v>4033</v>
      </c>
      <c r="H160" s="92">
        <v>1551.54</v>
      </c>
      <c r="I160" s="93"/>
      <c r="J160" s="91"/>
    </row>
    <row r="161" spans="1:10" x14ac:dyDescent="0.25">
      <c r="A161" s="85">
        <v>45382</v>
      </c>
      <c r="B161" s="174" t="s">
        <v>3256</v>
      </c>
      <c r="C161" s="14">
        <f>MONTH(INGRESOS[[#This Row],[FECHA]])</f>
        <v>3</v>
      </c>
      <c r="D161" s="26" t="str">
        <f>MID(INGRESOS[[#This Row],[CUENTA]],1,4)</f>
        <v>I-05</v>
      </c>
      <c r="E161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61" s="29"/>
      <c r="G161" s="25" t="s">
        <v>4033</v>
      </c>
      <c r="H161" s="92">
        <v>1800</v>
      </c>
      <c r="I161" s="93"/>
      <c r="J161" s="91"/>
    </row>
    <row r="162" spans="1:10" x14ac:dyDescent="0.25">
      <c r="A162" s="85">
        <v>45382</v>
      </c>
      <c r="B162" s="174" t="s">
        <v>3257</v>
      </c>
      <c r="C162" s="14">
        <f>MONTH(INGRESOS[[#This Row],[FECHA]])</f>
        <v>3</v>
      </c>
      <c r="D162" s="26" t="str">
        <f>MID(INGRESOS[[#This Row],[CUENTA]],1,4)</f>
        <v>I-05</v>
      </c>
      <c r="E162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62" s="29"/>
      <c r="G162" s="25" t="s">
        <v>4033</v>
      </c>
      <c r="H162" s="92">
        <v>6855</v>
      </c>
      <c r="I162" s="93"/>
      <c r="J162" s="91"/>
    </row>
    <row r="163" spans="1:10" x14ac:dyDescent="0.25">
      <c r="A163" s="85">
        <v>45382</v>
      </c>
      <c r="B163" s="174" t="s">
        <v>3258</v>
      </c>
      <c r="C163" s="14">
        <f>MONTH(INGRESOS[[#This Row],[FECHA]])</f>
        <v>3</v>
      </c>
      <c r="D163" s="26" t="str">
        <f>MID(INGRESOS[[#This Row],[CUENTA]],1,4)</f>
        <v>I-05</v>
      </c>
      <c r="E163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63" s="29"/>
      <c r="G163" s="25" t="s">
        <v>4033</v>
      </c>
      <c r="H163" s="92">
        <v>450</v>
      </c>
      <c r="I163" s="93"/>
      <c r="J163" s="91"/>
    </row>
    <row r="164" spans="1:10" x14ac:dyDescent="0.25">
      <c r="A164" s="85">
        <v>45382</v>
      </c>
      <c r="B164" s="174" t="s">
        <v>3259</v>
      </c>
      <c r="C164" s="14">
        <f>MONTH(INGRESOS[[#This Row],[FECHA]])</f>
        <v>3</v>
      </c>
      <c r="D164" s="26" t="str">
        <f>MID(INGRESOS[[#This Row],[CUENTA]],1,4)</f>
        <v>I-05</v>
      </c>
      <c r="E164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64" s="29"/>
      <c r="G164" s="25" t="s">
        <v>4033</v>
      </c>
      <c r="H164" s="92">
        <v>371.95</v>
      </c>
      <c r="I164" s="93"/>
      <c r="J164" s="91"/>
    </row>
    <row r="165" spans="1:10" x14ac:dyDescent="0.25">
      <c r="A165" s="85">
        <v>45382</v>
      </c>
      <c r="B165" s="174" t="s">
        <v>3261</v>
      </c>
      <c r="C165" s="14">
        <f>MONTH(INGRESOS[[#This Row],[FECHA]])</f>
        <v>3</v>
      </c>
      <c r="D165" s="26" t="str">
        <f>MID(INGRESOS[[#This Row],[CUENTA]],1,4)</f>
        <v>I-05</v>
      </c>
      <c r="E165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MATRÍCULAS</v>
      </c>
      <c r="F165" s="29"/>
      <c r="G165" s="25" t="s">
        <v>4033</v>
      </c>
      <c r="H165" s="92">
        <v>480</v>
      </c>
      <c r="I165" s="93"/>
      <c r="J165" s="91"/>
    </row>
    <row r="166" spans="1:10" x14ac:dyDescent="0.25">
      <c r="A166" s="85">
        <v>45382</v>
      </c>
      <c r="B166" s="174" t="s">
        <v>3262</v>
      </c>
      <c r="C166" s="14">
        <f>MONTH(INGRESOS[[#This Row],[FECHA]])</f>
        <v>3</v>
      </c>
      <c r="D166" s="26" t="str">
        <f>MID(INGRESOS[[#This Row],[CUENTA]],1,4)</f>
        <v>I-05</v>
      </c>
      <c r="E166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66" s="29"/>
      <c r="G166" s="25" t="s">
        <v>4033</v>
      </c>
      <c r="H166" s="92">
        <v>8325</v>
      </c>
      <c r="I166" s="93"/>
      <c r="J166" s="91"/>
    </row>
    <row r="167" spans="1:10" x14ac:dyDescent="0.25">
      <c r="A167" s="85">
        <v>45382</v>
      </c>
      <c r="B167" s="174" t="s">
        <v>3263</v>
      </c>
      <c r="C167" s="14">
        <f>MONTH(INGRESOS[[#This Row],[FECHA]])</f>
        <v>3</v>
      </c>
      <c r="D167" s="26" t="str">
        <f>MID(INGRESOS[[#This Row],[CUENTA]],1,4)</f>
        <v>I-05</v>
      </c>
      <c r="E167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 xml:space="preserve">SEMINARIO DE GRADUACIÓN </v>
      </c>
      <c r="F167" s="29"/>
      <c r="G167" s="25" t="s">
        <v>4033</v>
      </c>
      <c r="H167" s="92">
        <v>1210</v>
      </c>
      <c r="I167" s="93"/>
      <c r="J167" s="91"/>
    </row>
    <row r="168" spans="1:10" x14ac:dyDescent="0.25">
      <c r="A168" s="85">
        <v>45382</v>
      </c>
      <c r="B168" s="174" t="s">
        <v>3264</v>
      </c>
      <c r="C168" s="14">
        <f>MONTH(INGRESOS[[#This Row],[FECHA]])</f>
        <v>3</v>
      </c>
      <c r="D168" s="26" t="str">
        <f>MID(INGRESOS[[#This Row],[CUENTA]],1,4)</f>
        <v>I-05</v>
      </c>
      <c r="E168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68" s="29"/>
      <c r="G168" s="25" t="s">
        <v>4033</v>
      </c>
      <c r="H168" s="92">
        <v>967.03</v>
      </c>
      <c r="I168" s="93"/>
      <c r="J168" s="91"/>
    </row>
    <row r="169" spans="1:10" x14ac:dyDescent="0.25">
      <c r="A169" s="85">
        <v>45382</v>
      </c>
      <c r="B169" s="174" t="s">
        <v>3272</v>
      </c>
      <c r="C169" s="14">
        <f>MONTH(INGRESOS[[#This Row],[FECHA]])</f>
        <v>3</v>
      </c>
      <c r="D169" s="26" t="str">
        <f>MID(INGRESOS[[#This Row],[CUENTA]],1,4)</f>
        <v>I-05</v>
      </c>
      <c r="E169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CUOTAS DE ENSEÑANZA</v>
      </c>
      <c r="F169" s="29"/>
      <c r="G169" s="25" t="s">
        <v>4033</v>
      </c>
      <c r="H169" s="92">
        <v>2926</v>
      </c>
      <c r="I169" s="93"/>
      <c r="J169" s="91"/>
    </row>
    <row r="170" spans="1:10" x14ac:dyDescent="0.25">
      <c r="A170" s="85">
        <v>45382</v>
      </c>
      <c r="B170" s="174" t="s">
        <v>3274</v>
      </c>
      <c r="C170" s="14">
        <f>MONTH(INGRESOS[[#This Row],[FECHA]])</f>
        <v>3</v>
      </c>
      <c r="D170" s="26" t="str">
        <f>MID(INGRESOS[[#This Row],[CUENTA]],1,4)</f>
        <v>I-05</v>
      </c>
      <c r="E170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</v>
      </c>
      <c r="F170" s="29"/>
      <c r="G170" s="25" t="s">
        <v>4033</v>
      </c>
      <c r="H170" s="92">
        <v>168.63</v>
      </c>
      <c r="I170" s="93"/>
      <c r="J170" s="91"/>
    </row>
    <row r="171" spans="1:10" x14ac:dyDescent="0.25">
      <c r="A171" s="85">
        <v>45382</v>
      </c>
      <c r="B171" s="174" t="s">
        <v>4029</v>
      </c>
      <c r="C171" s="14">
        <f>MONTH(INGRESOS[[#This Row],[FECHA]])</f>
        <v>3</v>
      </c>
      <c r="D171" s="26" t="str">
        <f>MID(INGRESOS[[#This Row],[CUENTA]],1,4)</f>
        <v>I-05</v>
      </c>
      <c r="E171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POSTGRADOS</v>
      </c>
      <c r="F171" s="29"/>
      <c r="G171" s="25" t="s">
        <v>4033</v>
      </c>
      <c r="H171" s="92">
        <v>39626.57</v>
      </c>
      <c r="I171" s="93"/>
      <c r="J171" s="91"/>
    </row>
    <row r="172" spans="1:10" x14ac:dyDescent="0.25">
      <c r="A172" s="85">
        <v>45382</v>
      </c>
      <c r="B172" s="174" t="s">
        <v>4030</v>
      </c>
      <c r="C172" s="14">
        <f>MONTH(INGRESOS[[#This Row],[FECHA]])</f>
        <v>3</v>
      </c>
      <c r="D172" s="26" t="str">
        <f>MID(INGRESOS[[#This Row],[CUENTA]],1,4)</f>
        <v>I-05</v>
      </c>
      <c r="E172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DIPLOMADOS</v>
      </c>
      <c r="F172" s="29"/>
      <c r="G172" s="25" t="s">
        <v>4033</v>
      </c>
      <c r="H172" s="92">
        <v>5420</v>
      </c>
      <c r="I172" s="93"/>
      <c r="J172" s="91"/>
    </row>
    <row r="173" spans="1:10" x14ac:dyDescent="0.25">
      <c r="A173" s="85">
        <v>45382</v>
      </c>
      <c r="B173" s="174" t="s">
        <v>4031</v>
      </c>
      <c r="C173" s="14">
        <f>MONTH(INGRESOS[[#This Row],[FECHA]])</f>
        <v>3</v>
      </c>
      <c r="D173" s="26" t="str">
        <f>MID(INGRESOS[[#This Row],[CUENTA]],1,4)</f>
        <v>I-05</v>
      </c>
      <c r="E173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SEMINARIOS</v>
      </c>
      <c r="F173" s="29"/>
      <c r="G173" s="25" t="s">
        <v>4033</v>
      </c>
      <c r="H173" s="92">
        <v>62.5</v>
      </c>
      <c r="I173" s="93"/>
      <c r="J173" s="91"/>
    </row>
    <row r="174" spans="1:10" x14ac:dyDescent="0.25">
      <c r="A174" s="85">
        <v>45382</v>
      </c>
      <c r="B174" s="174" t="s">
        <v>3191</v>
      </c>
      <c r="C174" s="14">
        <f>MONTH(INGRESOS[[#This Row],[FECHA]])</f>
        <v>3</v>
      </c>
      <c r="D174" s="26" t="str">
        <f>MID(INGRESOS[[#This Row],[CUENTA]],1,4)</f>
        <v>I-06</v>
      </c>
      <c r="E174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FCCE Pregrado</v>
      </c>
      <c r="F174" s="29"/>
      <c r="G174" s="25" t="s">
        <v>4033</v>
      </c>
      <c r="H174" s="92">
        <v>57034.42</v>
      </c>
      <c r="I174" s="93"/>
      <c r="J174" s="91"/>
    </row>
    <row r="175" spans="1:10" x14ac:dyDescent="0.25">
      <c r="A175" s="85">
        <v>45382</v>
      </c>
      <c r="B175" s="174" t="s">
        <v>3197</v>
      </c>
      <c r="C175" s="14">
        <f>MONTH(INGRESOS[[#This Row],[FECHA]])</f>
        <v>3</v>
      </c>
      <c r="D175" s="26" t="str">
        <f>MID(INGRESOS[[#This Row],[CUENTA]],1,4)</f>
        <v>I-06</v>
      </c>
      <c r="E175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Pregrado</v>
      </c>
      <c r="F175" s="29"/>
      <c r="G175" s="25" t="s">
        <v>4033</v>
      </c>
      <c r="H175" s="92">
        <v>12407.42</v>
      </c>
      <c r="I175" s="93"/>
      <c r="J175" s="91"/>
    </row>
    <row r="176" spans="1:10" x14ac:dyDescent="0.25">
      <c r="A176" s="85">
        <v>45382</v>
      </c>
      <c r="B176" s="174" t="s">
        <v>3198</v>
      </c>
      <c r="C176" s="14">
        <f>MONTH(INGRESOS[[#This Row],[FECHA]])</f>
        <v>3</v>
      </c>
      <c r="D176" s="26" t="str">
        <f>MID(INGRESOS[[#This Row],[CUENTA]],1,4)</f>
        <v>I-06</v>
      </c>
      <c r="E176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FICA Técnicos</v>
      </c>
      <c r="F176" s="29"/>
      <c r="G176" s="25" t="s">
        <v>4033</v>
      </c>
      <c r="H176" s="92">
        <v>1202.54</v>
      </c>
      <c r="I176" s="93"/>
      <c r="J176" s="91"/>
    </row>
    <row r="177" spans="1:10" x14ac:dyDescent="0.25">
      <c r="A177" s="85">
        <v>45382</v>
      </c>
      <c r="B177" s="174" t="s">
        <v>3203</v>
      </c>
      <c r="C177" s="14">
        <f>MONTH(INGRESOS[[#This Row],[FECHA]])</f>
        <v>3</v>
      </c>
      <c r="D177" s="26" t="str">
        <f>MID(INGRESOS[[#This Row],[CUENTA]],1,4)</f>
        <v>I-06</v>
      </c>
      <c r="E177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Pregrado</v>
      </c>
      <c r="F177" s="29"/>
      <c r="G177" s="29" t="s">
        <v>4033</v>
      </c>
      <c r="H177" s="92">
        <v>10962.93</v>
      </c>
      <c r="I177" s="93"/>
      <c r="J177" s="91"/>
    </row>
    <row r="178" spans="1:10" x14ac:dyDescent="0.25">
      <c r="A178" s="85">
        <v>45382</v>
      </c>
      <c r="B178" s="174" t="s">
        <v>3204</v>
      </c>
      <c r="C178" s="14">
        <f>MONTH(INGRESOS[[#This Row],[FECHA]])</f>
        <v>3</v>
      </c>
      <c r="D178" s="26" t="str">
        <f>MID(INGRESOS[[#This Row],[CUENTA]],1,4)</f>
        <v>I-06</v>
      </c>
      <c r="E178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FCCS Técnicos</v>
      </c>
      <c r="F178" s="29"/>
      <c r="G178" s="29" t="s">
        <v>4033</v>
      </c>
      <c r="H178" s="92">
        <v>133.93</v>
      </c>
      <c r="I178" s="93"/>
      <c r="J178" s="91"/>
    </row>
    <row r="179" spans="1:10" x14ac:dyDescent="0.25">
      <c r="A179" s="85">
        <v>45382</v>
      </c>
      <c r="B179" s="174" t="s">
        <v>3207</v>
      </c>
      <c r="C179" s="14">
        <f>MONTH(INGRESOS[[#This Row],[FECHA]])</f>
        <v>3</v>
      </c>
      <c r="D179" s="26" t="str">
        <f>MID(INGRESOS[[#This Row],[CUENTA]],1,4)</f>
        <v>I-06</v>
      </c>
      <c r="E179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ARANCELES FCCJ Pregrado</v>
      </c>
      <c r="F179" s="29"/>
      <c r="G179" s="29" t="s">
        <v>4033</v>
      </c>
      <c r="H179" s="92">
        <v>10033.81</v>
      </c>
      <c r="I179" s="93"/>
      <c r="J179" s="91"/>
    </row>
    <row r="180" spans="1:10" x14ac:dyDescent="0.25">
      <c r="A180" s="85">
        <v>45382</v>
      </c>
      <c r="B180" s="174" t="s">
        <v>3285</v>
      </c>
      <c r="C180" s="14">
        <f>MONTH(INGRESOS[[#This Row],[FECHA]])</f>
        <v>3</v>
      </c>
      <c r="D180" s="26" t="str">
        <f>MID(INGRESOS[[#This Row],[CUENTA]],1,4)</f>
        <v>I-08</v>
      </c>
      <c r="E180" s="25" t="str">
        <f>IF(INDEX(CATALOGO[Acepta movimientos],MATCH(INGRESOS[[#This Row],[CUENTA]],CATALOGO[Código],0))="S",INDEX(CATALOGO[Descripción],MATCH(INGRESOS[[#This Row],[CUENTA]],CATALOGO[Código],0)),"LA CUENTA SELECCIONADA NO PERMITE MOVIMIENTO")</f>
        <v>OTROS INGRESOS - PATROCINIOS, CURSOS Y OTROS</v>
      </c>
      <c r="F180" s="29"/>
      <c r="G180" s="29" t="s">
        <v>4033</v>
      </c>
      <c r="H180" s="92">
        <v>5047.1899999999996</v>
      </c>
      <c r="I180" s="93"/>
      <c r="J180" s="91"/>
    </row>
    <row r="181" spans="1:10" x14ac:dyDescent="0.25">
      <c r="A181" s="28"/>
      <c r="B181" s="91"/>
      <c r="C181" s="14">
        <f>MONTH(INGRESOS[[#This Row],[FECHA]])</f>
        <v>1</v>
      </c>
      <c r="D181" s="26" t="str">
        <f>MID(INGRESOS[[#This Row],[CUENTA]],1,4)</f>
        <v/>
      </c>
      <c r="E18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1" s="29"/>
      <c r="G181" s="29"/>
      <c r="H181" s="92"/>
      <c r="I181" s="93"/>
      <c r="J181" s="91"/>
    </row>
    <row r="182" spans="1:10" x14ac:dyDescent="0.25">
      <c r="A182" s="28"/>
      <c r="B182" s="91"/>
      <c r="C182" s="14">
        <f>MONTH(INGRESOS[[#This Row],[FECHA]])</f>
        <v>1</v>
      </c>
      <c r="D182" s="26" t="str">
        <f>MID(INGRESOS[[#This Row],[CUENTA]],1,4)</f>
        <v/>
      </c>
      <c r="E18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2" s="29"/>
      <c r="G182" s="29"/>
      <c r="H182" s="92"/>
      <c r="I182" s="93"/>
      <c r="J182" s="91"/>
    </row>
    <row r="183" spans="1:10" x14ac:dyDescent="0.25">
      <c r="A183" s="28"/>
      <c r="B183" s="91"/>
      <c r="C183" s="14">
        <f>MONTH(INGRESOS[[#This Row],[FECHA]])</f>
        <v>1</v>
      </c>
      <c r="D183" s="26" t="str">
        <f>MID(INGRESOS[[#This Row],[CUENTA]],1,4)</f>
        <v/>
      </c>
      <c r="E18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3" s="29"/>
      <c r="G183" s="29"/>
      <c r="H183" s="92"/>
      <c r="I183" s="93"/>
      <c r="J183" s="91"/>
    </row>
    <row r="184" spans="1:10" x14ac:dyDescent="0.25">
      <c r="A184" s="28"/>
      <c r="B184" s="91"/>
      <c r="C184" s="14">
        <f>MONTH(INGRESOS[[#This Row],[FECHA]])</f>
        <v>1</v>
      </c>
      <c r="D184" s="26" t="str">
        <f>MID(INGRESOS[[#This Row],[CUENTA]],1,4)</f>
        <v/>
      </c>
      <c r="E18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4" s="29"/>
      <c r="G184" s="29"/>
      <c r="H184" s="92"/>
      <c r="I184" s="93"/>
      <c r="J184" s="91"/>
    </row>
    <row r="185" spans="1:10" x14ac:dyDescent="0.25">
      <c r="A185" s="28"/>
      <c r="B185" s="91"/>
      <c r="C185" s="14">
        <f>MONTH(INGRESOS[[#This Row],[FECHA]])</f>
        <v>1</v>
      </c>
      <c r="D185" s="26" t="str">
        <f>MID(INGRESOS[[#This Row],[CUENTA]],1,4)</f>
        <v/>
      </c>
      <c r="E18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5" s="29"/>
      <c r="G185" s="29"/>
      <c r="H185" s="92"/>
      <c r="I185" s="93"/>
      <c r="J185" s="91"/>
    </row>
    <row r="186" spans="1:10" x14ac:dyDescent="0.25">
      <c r="A186" s="28"/>
      <c r="B186" s="91"/>
      <c r="C186" s="14">
        <f>MONTH(INGRESOS[[#This Row],[FECHA]])</f>
        <v>1</v>
      </c>
      <c r="D186" s="26" t="str">
        <f>MID(INGRESOS[[#This Row],[CUENTA]],1,4)</f>
        <v/>
      </c>
      <c r="E18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6" s="29"/>
      <c r="G186" s="29"/>
      <c r="H186" s="92"/>
      <c r="I186" s="93"/>
      <c r="J186" s="91"/>
    </row>
    <row r="187" spans="1:10" x14ac:dyDescent="0.25">
      <c r="A187" s="28"/>
      <c r="B187" s="91"/>
      <c r="C187" s="14">
        <f>MONTH(INGRESOS[[#This Row],[FECHA]])</f>
        <v>1</v>
      </c>
      <c r="D187" s="26" t="str">
        <f>MID(INGRESOS[[#This Row],[CUENTA]],1,4)</f>
        <v/>
      </c>
      <c r="E18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7" s="29"/>
      <c r="G187" s="29"/>
      <c r="H187" s="92"/>
      <c r="I187" s="93"/>
      <c r="J187" s="91"/>
    </row>
    <row r="188" spans="1:10" x14ac:dyDescent="0.25">
      <c r="A188" s="28"/>
      <c r="B188" s="91"/>
      <c r="C188" s="14">
        <f>MONTH(INGRESOS[[#This Row],[FECHA]])</f>
        <v>1</v>
      </c>
      <c r="D188" s="26" t="str">
        <f>MID(INGRESOS[[#This Row],[CUENTA]],1,4)</f>
        <v/>
      </c>
      <c r="E18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8" s="29"/>
      <c r="G188" s="29"/>
      <c r="H188" s="92"/>
      <c r="I188" s="93"/>
      <c r="J188" s="91"/>
    </row>
    <row r="189" spans="1:10" x14ac:dyDescent="0.25">
      <c r="A189" s="28"/>
      <c r="B189" s="91"/>
      <c r="C189" s="14">
        <f>MONTH(INGRESOS[[#This Row],[FECHA]])</f>
        <v>1</v>
      </c>
      <c r="D189" s="26" t="str">
        <f>MID(INGRESOS[[#This Row],[CUENTA]],1,4)</f>
        <v/>
      </c>
      <c r="E18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89" s="29"/>
      <c r="G189" s="29"/>
      <c r="H189" s="92"/>
      <c r="I189" s="93"/>
      <c r="J189" s="91"/>
    </row>
    <row r="190" spans="1:10" x14ac:dyDescent="0.25">
      <c r="A190" s="28"/>
      <c r="B190" s="91"/>
      <c r="C190" s="14">
        <f>MONTH(INGRESOS[[#This Row],[FECHA]])</f>
        <v>1</v>
      </c>
      <c r="D190" s="26" t="str">
        <f>MID(INGRESOS[[#This Row],[CUENTA]],1,4)</f>
        <v/>
      </c>
      <c r="E19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0" s="29"/>
      <c r="G190" s="29"/>
      <c r="H190" s="92"/>
      <c r="I190" s="93"/>
      <c r="J190" s="91"/>
    </row>
    <row r="191" spans="1:10" x14ac:dyDescent="0.25">
      <c r="A191" s="28"/>
      <c r="B191" s="91"/>
      <c r="C191" s="14">
        <f>MONTH(INGRESOS[[#This Row],[FECHA]])</f>
        <v>1</v>
      </c>
      <c r="D191" s="26" t="str">
        <f>MID(INGRESOS[[#This Row],[CUENTA]],1,4)</f>
        <v/>
      </c>
      <c r="E19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1" s="29"/>
      <c r="G191" s="29"/>
      <c r="H191" s="92"/>
      <c r="I191" s="93"/>
      <c r="J191" s="91"/>
    </row>
    <row r="192" spans="1:10" x14ac:dyDescent="0.25">
      <c r="A192" s="28"/>
      <c r="B192" s="91"/>
      <c r="C192" s="14">
        <f>MONTH(INGRESOS[[#This Row],[FECHA]])</f>
        <v>1</v>
      </c>
      <c r="D192" s="26" t="str">
        <f>MID(INGRESOS[[#This Row],[CUENTA]],1,4)</f>
        <v/>
      </c>
      <c r="E19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2" s="29"/>
      <c r="G192" s="29"/>
      <c r="H192" s="92"/>
      <c r="I192" s="93"/>
      <c r="J192" s="91"/>
    </row>
    <row r="193" spans="1:10" x14ac:dyDescent="0.25">
      <c r="A193" s="28"/>
      <c r="B193" s="91"/>
      <c r="C193" s="14">
        <f>MONTH(INGRESOS[[#This Row],[FECHA]])</f>
        <v>1</v>
      </c>
      <c r="D193" s="26" t="str">
        <f>MID(INGRESOS[[#This Row],[CUENTA]],1,4)</f>
        <v/>
      </c>
      <c r="E19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3" s="29"/>
      <c r="G193" s="29"/>
      <c r="H193" s="92"/>
      <c r="I193" s="93"/>
      <c r="J193" s="91"/>
    </row>
    <row r="194" spans="1:10" x14ac:dyDescent="0.25">
      <c r="A194" s="28"/>
      <c r="B194" s="91"/>
      <c r="C194" s="14">
        <f>MONTH(INGRESOS[[#This Row],[FECHA]])</f>
        <v>1</v>
      </c>
      <c r="D194" s="26" t="str">
        <f>MID(INGRESOS[[#This Row],[CUENTA]],1,4)</f>
        <v/>
      </c>
      <c r="E19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4" s="29"/>
      <c r="G194" s="29"/>
      <c r="H194" s="92"/>
      <c r="I194" s="93"/>
      <c r="J194" s="91"/>
    </row>
    <row r="195" spans="1:10" x14ac:dyDescent="0.25">
      <c r="A195" s="28"/>
      <c r="B195" s="91"/>
      <c r="C195" s="14">
        <f>MONTH(INGRESOS[[#This Row],[FECHA]])</f>
        <v>1</v>
      </c>
      <c r="D195" s="26" t="str">
        <f>MID(INGRESOS[[#This Row],[CUENTA]],1,4)</f>
        <v/>
      </c>
      <c r="E19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5" s="29"/>
      <c r="G195" s="29"/>
      <c r="H195" s="92"/>
      <c r="I195" s="93"/>
      <c r="J195" s="91"/>
    </row>
    <row r="196" spans="1:10" x14ac:dyDescent="0.25">
      <c r="A196" s="28"/>
      <c r="B196" s="91"/>
      <c r="C196" s="14">
        <f>MONTH(INGRESOS[[#This Row],[FECHA]])</f>
        <v>1</v>
      </c>
      <c r="D196" s="26" t="str">
        <f>MID(INGRESOS[[#This Row],[CUENTA]],1,4)</f>
        <v/>
      </c>
      <c r="E19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6" s="29"/>
      <c r="G196" s="29"/>
      <c r="H196" s="92"/>
      <c r="I196" s="93"/>
      <c r="J196" s="91"/>
    </row>
    <row r="197" spans="1:10" x14ac:dyDescent="0.25">
      <c r="A197" s="28"/>
      <c r="B197" s="91"/>
      <c r="C197" s="14">
        <f>MONTH(INGRESOS[[#This Row],[FECHA]])</f>
        <v>1</v>
      </c>
      <c r="D197" s="26" t="str">
        <f>MID(INGRESOS[[#This Row],[CUENTA]],1,4)</f>
        <v/>
      </c>
      <c r="E19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7" s="29"/>
      <c r="G197" s="29"/>
      <c r="H197" s="92"/>
      <c r="I197" s="93"/>
      <c r="J197" s="91"/>
    </row>
    <row r="198" spans="1:10" x14ac:dyDescent="0.25">
      <c r="A198" s="28"/>
      <c r="B198" s="91"/>
      <c r="C198" s="14">
        <f>MONTH(INGRESOS[[#This Row],[FECHA]])</f>
        <v>1</v>
      </c>
      <c r="D198" s="26" t="str">
        <f>MID(INGRESOS[[#This Row],[CUENTA]],1,4)</f>
        <v/>
      </c>
      <c r="E19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8" s="29"/>
      <c r="G198" s="29"/>
      <c r="H198" s="92"/>
      <c r="I198" s="93"/>
      <c r="J198" s="91"/>
    </row>
    <row r="199" spans="1:10" x14ac:dyDescent="0.25">
      <c r="A199" s="28"/>
      <c r="B199" s="91"/>
      <c r="C199" s="14">
        <f>MONTH(INGRESOS[[#This Row],[FECHA]])</f>
        <v>1</v>
      </c>
      <c r="D199" s="26" t="str">
        <f>MID(INGRESOS[[#This Row],[CUENTA]],1,4)</f>
        <v/>
      </c>
      <c r="E19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199" s="29"/>
      <c r="G199" s="29"/>
      <c r="H199" s="92"/>
      <c r="I199" s="93"/>
      <c r="J199" s="91"/>
    </row>
    <row r="200" spans="1:10" x14ac:dyDescent="0.25">
      <c r="A200" s="28"/>
      <c r="B200" s="91"/>
      <c r="C200" s="14">
        <f>MONTH(INGRESOS[[#This Row],[FECHA]])</f>
        <v>1</v>
      </c>
      <c r="D200" s="26" t="str">
        <f>MID(INGRESOS[[#This Row],[CUENTA]],1,4)</f>
        <v/>
      </c>
      <c r="E20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0" s="29"/>
      <c r="G200" s="29"/>
      <c r="H200" s="92"/>
      <c r="I200" s="93"/>
      <c r="J200" s="91"/>
    </row>
    <row r="201" spans="1:10" s="24" customFormat="1" x14ac:dyDescent="0.25">
      <c r="A201" s="28"/>
      <c r="B201" s="91"/>
      <c r="C201" s="14">
        <f>MONTH(INGRESOS[[#This Row],[FECHA]])</f>
        <v>1</v>
      </c>
      <c r="D201" s="26" t="str">
        <f>MID(INGRESOS[[#This Row],[CUENTA]],1,4)</f>
        <v/>
      </c>
      <c r="E20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1" s="29"/>
      <c r="G201" s="29"/>
      <c r="H201" s="92"/>
      <c r="I201" s="93"/>
      <c r="J201" s="91"/>
    </row>
    <row r="202" spans="1:10" s="24" customFormat="1" x14ac:dyDescent="0.25">
      <c r="A202" s="28"/>
      <c r="B202" s="91"/>
      <c r="C202" s="14">
        <f>MONTH(INGRESOS[[#This Row],[FECHA]])</f>
        <v>1</v>
      </c>
      <c r="D202" s="26" t="str">
        <f>MID(INGRESOS[[#This Row],[CUENTA]],1,4)</f>
        <v/>
      </c>
      <c r="E20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2" s="29"/>
      <c r="G202" s="29"/>
      <c r="H202" s="92"/>
      <c r="I202" s="93"/>
      <c r="J202" s="91"/>
    </row>
    <row r="203" spans="1:10" s="24" customFormat="1" x14ac:dyDescent="0.25">
      <c r="A203" s="28"/>
      <c r="B203" s="91"/>
      <c r="C203" s="14">
        <f>MONTH(INGRESOS[[#This Row],[FECHA]])</f>
        <v>1</v>
      </c>
      <c r="D203" s="26" t="str">
        <f>MID(INGRESOS[[#This Row],[CUENTA]],1,4)</f>
        <v/>
      </c>
      <c r="E20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3" s="29"/>
      <c r="G203" s="29"/>
      <c r="H203" s="92"/>
      <c r="I203" s="93"/>
      <c r="J203" s="91"/>
    </row>
    <row r="204" spans="1:10" s="24" customFormat="1" x14ac:dyDescent="0.25">
      <c r="A204" s="28"/>
      <c r="B204" s="91"/>
      <c r="C204" s="14">
        <f>MONTH(INGRESOS[[#This Row],[FECHA]])</f>
        <v>1</v>
      </c>
      <c r="D204" s="26" t="str">
        <f>MID(INGRESOS[[#This Row],[CUENTA]],1,4)</f>
        <v/>
      </c>
      <c r="E20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4" s="29"/>
      <c r="G204" s="29"/>
      <c r="H204" s="92"/>
      <c r="I204" s="93"/>
      <c r="J204" s="91"/>
    </row>
    <row r="205" spans="1:10" s="24" customFormat="1" x14ac:dyDescent="0.25">
      <c r="A205" s="28"/>
      <c r="B205" s="91"/>
      <c r="C205" s="14">
        <f>MONTH(INGRESOS[[#This Row],[FECHA]])</f>
        <v>1</v>
      </c>
      <c r="D205" s="26" t="str">
        <f>MID(INGRESOS[[#This Row],[CUENTA]],1,4)</f>
        <v/>
      </c>
      <c r="E20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5" s="29"/>
      <c r="G205" s="29"/>
      <c r="H205" s="92"/>
      <c r="I205" s="93"/>
      <c r="J205" s="91"/>
    </row>
    <row r="206" spans="1:10" s="24" customFormat="1" x14ac:dyDescent="0.25">
      <c r="A206" s="28"/>
      <c r="B206" s="91"/>
      <c r="C206" s="14">
        <f>MONTH(INGRESOS[[#This Row],[FECHA]])</f>
        <v>1</v>
      </c>
      <c r="D206" s="26" t="str">
        <f>MID(INGRESOS[[#This Row],[CUENTA]],1,4)</f>
        <v/>
      </c>
      <c r="E20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6" s="29"/>
      <c r="G206" s="29"/>
      <c r="H206" s="92"/>
      <c r="I206" s="93"/>
      <c r="J206" s="91"/>
    </row>
    <row r="207" spans="1:10" s="24" customFormat="1" x14ac:dyDescent="0.25">
      <c r="A207" s="28"/>
      <c r="B207" s="91"/>
      <c r="C207" s="14">
        <f>MONTH(INGRESOS[[#This Row],[FECHA]])</f>
        <v>1</v>
      </c>
      <c r="D207" s="26" t="str">
        <f>MID(INGRESOS[[#This Row],[CUENTA]],1,4)</f>
        <v/>
      </c>
      <c r="E20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7" s="29"/>
      <c r="G207" s="29"/>
      <c r="H207" s="92"/>
      <c r="I207" s="93"/>
      <c r="J207" s="91"/>
    </row>
    <row r="208" spans="1:10" s="24" customFormat="1" x14ac:dyDescent="0.25">
      <c r="A208" s="28"/>
      <c r="B208" s="91"/>
      <c r="C208" s="14">
        <f>MONTH(INGRESOS[[#This Row],[FECHA]])</f>
        <v>1</v>
      </c>
      <c r="D208" s="26" t="str">
        <f>MID(INGRESOS[[#This Row],[CUENTA]],1,4)</f>
        <v/>
      </c>
      <c r="E20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8" s="29"/>
      <c r="G208" s="29"/>
      <c r="H208" s="92"/>
      <c r="I208" s="93"/>
      <c r="J208" s="91"/>
    </row>
    <row r="209" spans="1:10" s="24" customFormat="1" x14ac:dyDescent="0.25">
      <c r="A209" s="28"/>
      <c r="B209" s="91"/>
      <c r="C209" s="14">
        <f>MONTH(INGRESOS[[#This Row],[FECHA]])</f>
        <v>1</v>
      </c>
      <c r="D209" s="26" t="str">
        <f>MID(INGRESOS[[#This Row],[CUENTA]],1,4)</f>
        <v/>
      </c>
      <c r="E20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09" s="29"/>
      <c r="G209" s="29"/>
      <c r="H209" s="92"/>
      <c r="I209" s="93"/>
      <c r="J209" s="91"/>
    </row>
    <row r="210" spans="1:10" s="24" customFormat="1" x14ac:dyDescent="0.25">
      <c r="A210" s="28"/>
      <c r="B210" s="91"/>
      <c r="C210" s="14">
        <f>MONTH(INGRESOS[[#This Row],[FECHA]])</f>
        <v>1</v>
      </c>
      <c r="D210" s="26" t="str">
        <f>MID(INGRESOS[[#This Row],[CUENTA]],1,4)</f>
        <v/>
      </c>
      <c r="E21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0" s="29"/>
      <c r="G210" s="29"/>
      <c r="H210" s="92"/>
      <c r="I210" s="93"/>
      <c r="J210" s="91"/>
    </row>
    <row r="211" spans="1:10" s="24" customFormat="1" x14ac:dyDescent="0.25">
      <c r="A211" s="28"/>
      <c r="B211" s="91"/>
      <c r="C211" s="14">
        <f>MONTH(INGRESOS[[#This Row],[FECHA]])</f>
        <v>1</v>
      </c>
      <c r="D211" s="26" t="str">
        <f>MID(INGRESOS[[#This Row],[CUENTA]],1,4)</f>
        <v/>
      </c>
      <c r="E21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1" s="29"/>
      <c r="G211" s="29"/>
      <c r="H211" s="92"/>
      <c r="I211" s="93"/>
      <c r="J211" s="91"/>
    </row>
    <row r="212" spans="1:10" s="24" customFormat="1" x14ac:dyDescent="0.25">
      <c r="A212" s="28"/>
      <c r="B212" s="91"/>
      <c r="C212" s="14">
        <f>MONTH(INGRESOS[[#This Row],[FECHA]])</f>
        <v>1</v>
      </c>
      <c r="D212" s="26" t="str">
        <f>MID(INGRESOS[[#This Row],[CUENTA]],1,4)</f>
        <v/>
      </c>
      <c r="E21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2" s="29"/>
      <c r="G212" s="29"/>
      <c r="H212" s="92"/>
      <c r="I212" s="93"/>
      <c r="J212" s="91"/>
    </row>
    <row r="213" spans="1:10" s="24" customFormat="1" x14ac:dyDescent="0.25">
      <c r="A213" s="28"/>
      <c r="B213" s="91"/>
      <c r="C213" s="14">
        <f>MONTH(INGRESOS[[#This Row],[FECHA]])</f>
        <v>1</v>
      </c>
      <c r="D213" s="26" t="str">
        <f>MID(INGRESOS[[#This Row],[CUENTA]],1,4)</f>
        <v/>
      </c>
      <c r="E21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3" s="29"/>
      <c r="G213" s="29"/>
      <c r="H213" s="92"/>
      <c r="I213" s="93"/>
      <c r="J213" s="91"/>
    </row>
    <row r="214" spans="1:10" s="24" customFormat="1" x14ac:dyDescent="0.25">
      <c r="A214" s="28"/>
      <c r="B214" s="91"/>
      <c r="C214" s="14">
        <f>MONTH(INGRESOS[[#This Row],[FECHA]])</f>
        <v>1</v>
      </c>
      <c r="D214" s="26" t="str">
        <f>MID(INGRESOS[[#This Row],[CUENTA]],1,4)</f>
        <v/>
      </c>
      <c r="E21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4" s="29"/>
      <c r="G214" s="29"/>
      <c r="H214" s="92"/>
      <c r="I214" s="93"/>
      <c r="J214" s="91"/>
    </row>
    <row r="215" spans="1:10" s="24" customFormat="1" x14ac:dyDescent="0.25">
      <c r="A215" s="28"/>
      <c r="B215" s="91"/>
      <c r="C215" s="14">
        <f>MONTH(INGRESOS[[#This Row],[FECHA]])</f>
        <v>1</v>
      </c>
      <c r="D215" s="26" t="str">
        <f>MID(INGRESOS[[#This Row],[CUENTA]],1,4)</f>
        <v/>
      </c>
      <c r="E21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5" s="29"/>
      <c r="G215" s="29"/>
      <c r="H215" s="92"/>
      <c r="I215" s="93"/>
      <c r="J215" s="91"/>
    </row>
    <row r="216" spans="1:10" s="24" customFormat="1" x14ac:dyDescent="0.25">
      <c r="A216" s="28"/>
      <c r="B216" s="91"/>
      <c r="C216" s="14">
        <f>MONTH(INGRESOS[[#This Row],[FECHA]])</f>
        <v>1</v>
      </c>
      <c r="D216" s="26" t="str">
        <f>MID(INGRESOS[[#This Row],[CUENTA]],1,4)</f>
        <v/>
      </c>
      <c r="E21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6" s="29"/>
      <c r="G216" s="29"/>
      <c r="H216" s="92"/>
      <c r="I216" s="93"/>
      <c r="J216" s="91"/>
    </row>
    <row r="217" spans="1:10" s="24" customFormat="1" x14ac:dyDescent="0.25">
      <c r="A217" s="28"/>
      <c r="B217" s="91"/>
      <c r="C217" s="14">
        <f>MONTH(INGRESOS[[#This Row],[FECHA]])</f>
        <v>1</v>
      </c>
      <c r="D217" s="26" t="str">
        <f>MID(INGRESOS[[#This Row],[CUENTA]],1,4)</f>
        <v/>
      </c>
      <c r="E21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7" s="29"/>
      <c r="G217" s="29"/>
      <c r="H217" s="92"/>
      <c r="I217" s="93"/>
      <c r="J217" s="91"/>
    </row>
    <row r="218" spans="1:10" s="24" customFormat="1" x14ac:dyDescent="0.25">
      <c r="A218" s="28"/>
      <c r="B218" s="91"/>
      <c r="C218" s="14">
        <f>MONTH(INGRESOS[[#This Row],[FECHA]])</f>
        <v>1</v>
      </c>
      <c r="D218" s="26" t="str">
        <f>MID(INGRESOS[[#This Row],[CUENTA]],1,4)</f>
        <v/>
      </c>
      <c r="E21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8" s="29"/>
      <c r="G218" s="29"/>
      <c r="H218" s="92"/>
      <c r="I218" s="93"/>
      <c r="J218" s="91"/>
    </row>
    <row r="219" spans="1:10" s="24" customFormat="1" x14ac:dyDescent="0.25">
      <c r="A219" s="28"/>
      <c r="B219" s="91"/>
      <c r="C219" s="14">
        <f>MONTH(INGRESOS[[#This Row],[FECHA]])</f>
        <v>1</v>
      </c>
      <c r="D219" s="26" t="str">
        <f>MID(INGRESOS[[#This Row],[CUENTA]],1,4)</f>
        <v/>
      </c>
      <c r="E21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19" s="29"/>
      <c r="G219" s="29"/>
      <c r="H219" s="92"/>
      <c r="I219" s="93"/>
      <c r="J219" s="91"/>
    </row>
    <row r="220" spans="1:10" s="24" customFormat="1" x14ac:dyDescent="0.25">
      <c r="A220" s="28"/>
      <c r="B220" s="91"/>
      <c r="C220" s="14">
        <f>MONTH(INGRESOS[[#This Row],[FECHA]])</f>
        <v>1</v>
      </c>
      <c r="D220" s="26" t="str">
        <f>MID(INGRESOS[[#This Row],[CUENTA]],1,4)</f>
        <v/>
      </c>
      <c r="E22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0" s="29"/>
      <c r="G220" s="29"/>
      <c r="H220" s="92"/>
      <c r="I220" s="93"/>
      <c r="J220" s="91"/>
    </row>
    <row r="221" spans="1:10" s="24" customFormat="1" x14ac:dyDescent="0.25">
      <c r="A221" s="28"/>
      <c r="B221" s="91"/>
      <c r="C221" s="14">
        <f>MONTH(INGRESOS[[#This Row],[FECHA]])</f>
        <v>1</v>
      </c>
      <c r="D221" s="26" t="str">
        <f>MID(INGRESOS[[#This Row],[CUENTA]],1,4)</f>
        <v/>
      </c>
      <c r="E22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1" s="29"/>
      <c r="G221" s="29"/>
      <c r="H221" s="92"/>
      <c r="I221" s="93"/>
      <c r="J221" s="91"/>
    </row>
    <row r="222" spans="1:10" s="24" customFormat="1" x14ac:dyDescent="0.25">
      <c r="A222" s="28"/>
      <c r="B222" s="91"/>
      <c r="C222" s="14">
        <f>MONTH(INGRESOS[[#This Row],[FECHA]])</f>
        <v>1</v>
      </c>
      <c r="D222" s="26" t="str">
        <f>MID(INGRESOS[[#This Row],[CUENTA]],1,4)</f>
        <v/>
      </c>
      <c r="E22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2" s="29"/>
      <c r="G222" s="29"/>
      <c r="H222" s="92"/>
      <c r="I222" s="93"/>
      <c r="J222" s="91"/>
    </row>
    <row r="223" spans="1:10" s="24" customFormat="1" x14ac:dyDescent="0.25">
      <c r="A223" s="28"/>
      <c r="B223" s="91"/>
      <c r="C223" s="14">
        <f>MONTH(INGRESOS[[#This Row],[FECHA]])</f>
        <v>1</v>
      </c>
      <c r="D223" s="26" t="str">
        <f>MID(INGRESOS[[#This Row],[CUENTA]],1,4)</f>
        <v/>
      </c>
      <c r="E22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3" s="29"/>
      <c r="G223" s="29"/>
      <c r="H223" s="92"/>
      <c r="I223" s="93"/>
      <c r="J223" s="91"/>
    </row>
    <row r="224" spans="1:10" s="24" customFormat="1" x14ac:dyDescent="0.25">
      <c r="A224" s="28"/>
      <c r="B224" s="91"/>
      <c r="C224" s="14">
        <f>MONTH(INGRESOS[[#This Row],[FECHA]])</f>
        <v>1</v>
      </c>
      <c r="D224" s="26" t="str">
        <f>MID(INGRESOS[[#This Row],[CUENTA]],1,4)</f>
        <v/>
      </c>
      <c r="E22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4" s="29"/>
      <c r="G224" s="29"/>
      <c r="H224" s="92"/>
      <c r="I224" s="93"/>
      <c r="J224" s="91"/>
    </row>
    <row r="225" spans="1:10" s="24" customFormat="1" x14ac:dyDescent="0.25">
      <c r="A225" s="28"/>
      <c r="B225" s="91"/>
      <c r="C225" s="14">
        <f>MONTH(INGRESOS[[#This Row],[FECHA]])</f>
        <v>1</v>
      </c>
      <c r="D225" s="26" t="str">
        <f>MID(INGRESOS[[#This Row],[CUENTA]],1,4)</f>
        <v/>
      </c>
      <c r="E22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5" s="29"/>
      <c r="G225" s="29"/>
      <c r="H225" s="92"/>
      <c r="I225" s="93"/>
      <c r="J225" s="91"/>
    </row>
    <row r="226" spans="1:10" s="24" customFormat="1" x14ac:dyDescent="0.25">
      <c r="A226" s="28"/>
      <c r="B226" s="91"/>
      <c r="C226" s="14">
        <f>MONTH(INGRESOS[[#This Row],[FECHA]])</f>
        <v>1</v>
      </c>
      <c r="D226" s="26" t="str">
        <f>MID(INGRESOS[[#This Row],[CUENTA]],1,4)</f>
        <v/>
      </c>
      <c r="E22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6" s="29"/>
      <c r="G226" s="29"/>
      <c r="H226" s="92"/>
      <c r="I226" s="93"/>
      <c r="J226" s="91"/>
    </row>
    <row r="227" spans="1:10" s="24" customFormat="1" x14ac:dyDescent="0.25">
      <c r="A227" s="28"/>
      <c r="B227" s="91"/>
      <c r="C227" s="14">
        <f>MONTH(INGRESOS[[#This Row],[FECHA]])</f>
        <v>1</v>
      </c>
      <c r="D227" s="26" t="str">
        <f>MID(INGRESOS[[#This Row],[CUENTA]],1,4)</f>
        <v/>
      </c>
      <c r="E22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7" s="29"/>
      <c r="G227" s="29"/>
      <c r="H227" s="92"/>
      <c r="I227" s="93"/>
      <c r="J227" s="91"/>
    </row>
    <row r="228" spans="1:10" s="24" customFormat="1" x14ac:dyDescent="0.25">
      <c r="A228" s="28"/>
      <c r="B228" s="91"/>
      <c r="C228" s="14">
        <f>MONTH(INGRESOS[[#This Row],[FECHA]])</f>
        <v>1</v>
      </c>
      <c r="D228" s="26" t="str">
        <f>MID(INGRESOS[[#This Row],[CUENTA]],1,4)</f>
        <v/>
      </c>
      <c r="E22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8" s="29"/>
      <c r="G228" s="29"/>
      <c r="H228" s="92"/>
      <c r="I228" s="93"/>
      <c r="J228" s="91"/>
    </row>
    <row r="229" spans="1:10" s="24" customFormat="1" x14ac:dyDescent="0.25">
      <c r="A229" s="28"/>
      <c r="B229" s="91"/>
      <c r="C229" s="14">
        <f>MONTH(INGRESOS[[#This Row],[FECHA]])</f>
        <v>1</v>
      </c>
      <c r="D229" s="26" t="str">
        <f>MID(INGRESOS[[#This Row],[CUENTA]],1,4)</f>
        <v/>
      </c>
      <c r="E22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29" s="29"/>
      <c r="G229" s="29"/>
      <c r="H229" s="92"/>
      <c r="I229" s="93"/>
      <c r="J229" s="91"/>
    </row>
    <row r="230" spans="1:10" s="24" customFormat="1" x14ac:dyDescent="0.25">
      <c r="A230" s="28"/>
      <c r="B230" s="91"/>
      <c r="C230" s="14">
        <f>MONTH(INGRESOS[[#This Row],[FECHA]])</f>
        <v>1</v>
      </c>
      <c r="D230" s="26" t="str">
        <f>MID(INGRESOS[[#This Row],[CUENTA]],1,4)</f>
        <v/>
      </c>
      <c r="E23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0" s="29"/>
      <c r="G230" s="29"/>
      <c r="H230" s="92"/>
      <c r="I230" s="93"/>
      <c r="J230" s="91"/>
    </row>
    <row r="231" spans="1:10" s="24" customFormat="1" x14ac:dyDescent="0.25">
      <c r="A231" s="28"/>
      <c r="B231" s="91"/>
      <c r="C231" s="14">
        <f>MONTH(INGRESOS[[#This Row],[FECHA]])</f>
        <v>1</v>
      </c>
      <c r="D231" s="26" t="str">
        <f>MID(INGRESOS[[#This Row],[CUENTA]],1,4)</f>
        <v/>
      </c>
      <c r="E23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1" s="29"/>
      <c r="G231" s="29"/>
      <c r="H231" s="92"/>
      <c r="I231" s="93"/>
      <c r="J231" s="91"/>
    </row>
    <row r="232" spans="1:10" s="24" customFormat="1" x14ac:dyDescent="0.25">
      <c r="A232" s="28"/>
      <c r="B232" s="91"/>
      <c r="C232" s="14">
        <f>MONTH(INGRESOS[[#This Row],[FECHA]])</f>
        <v>1</v>
      </c>
      <c r="D232" s="26" t="str">
        <f>MID(INGRESOS[[#This Row],[CUENTA]],1,4)</f>
        <v/>
      </c>
      <c r="E23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2" s="29"/>
      <c r="G232" s="29"/>
      <c r="H232" s="92"/>
      <c r="I232" s="93"/>
      <c r="J232" s="91"/>
    </row>
    <row r="233" spans="1:10" s="24" customFormat="1" x14ac:dyDescent="0.25">
      <c r="A233" s="28"/>
      <c r="B233" s="91"/>
      <c r="C233" s="14">
        <f>MONTH(INGRESOS[[#This Row],[FECHA]])</f>
        <v>1</v>
      </c>
      <c r="D233" s="26" t="str">
        <f>MID(INGRESOS[[#This Row],[CUENTA]],1,4)</f>
        <v/>
      </c>
      <c r="E23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3" s="29"/>
      <c r="G233" s="29"/>
      <c r="H233" s="92"/>
      <c r="I233" s="93"/>
      <c r="J233" s="91"/>
    </row>
    <row r="234" spans="1:10" s="24" customFormat="1" x14ac:dyDescent="0.25">
      <c r="A234" s="28"/>
      <c r="B234" s="91"/>
      <c r="C234" s="14">
        <f>MONTH(INGRESOS[[#This Row],[FECHA]])</f>
        <v>1</v>
      </c>
      <c r="D234" s="26" t="str">
        <f>MID(INGRESOS[[#This Row],[CUENTA]],1,4)</f>
        <v/>
      </c>
      <c r="E23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4" s="29"/>
      <c r="G234" s="29"/>
      <c r="H234" s="92"/>
      <c r="I234" s="93"/>
      <c r="J234" s="91"/>
    </row>
    <row r="235" spans="1:10" s="24" customFormat="1" x14ac:dyDescent="0.25">
      <c r="A235" s="28"/>
      <c r="B235" s="91"/>
      <c r="C235" s="14">
        <f>MONTH(INGRESOS[[#This Row],[FECHA]])</f>
        <v>1</v>
      </c>
      <c r="D235" s="26" t="str">
        <f>MID(INGRESOS[[#This Row],[CUENTA]],1,4)</f>
        <v/>
      </c>
      <c r="E23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5" s="29"/>
      <c r="G235" s="29"/>
      <c r="H235" s="92"/>
      <c r="I235" s="93"/>
      <c r="J235" s="91"/>
    </row>
    <row r="236" spans="1:10" s="24" customFormat="1" x14ac:dyDescent="0.25">
      <c r="A236" s="28"/>
      <c r="B236" s="91"/>
      <c r="C236" s="14">
        <f>MONTH(INGRESOS[[#This Row],[FECHA]])</f>
        <v>1</v>
      </c>
      <c r="D236" s="26" t="str">
        <f>MID(INGRESOS[[#This Row],[CUENTA]],1,4)</f>
        <v/>
      </c>
      <c r="E23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6" s="29"/>
      <c r="G236" s="29"/>
      <c r="H236" s="92"/>
      <c r="I236" s="93"/>
      <c r="J236" s="91"/>
    </row>
    <row r="237" spans="1:10" s="24" customFormat="1" x14ac:dyDescent="0.25">
      <c r="A237" s="28"/>
      <c r="B237" s="91"/>
      <c r="C237" s="14">
        <f>MONTH(INGRESOS[[#This Row],[FECHA]])</f>
        <v>1</v>
      </c>
      <c r="D237" s="26" t="str">
        <f>MID(INGRESOS[[#This Row],[CUENTA]],1,4)</f>
        <v/>
      </c>
      <c r="E23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7" s="29"/>
      <c r="G237" s="29"/>
      <c r="H237" s="92"/>
      <c r="I237" s="93"/>
      <c r="J237" s="91"/>
    </row>
    <row r="238" spans="1:10" s="24" customFormat="1" x14ac:dyDescent="0.25">
      <c r="A238" s="28"/>
      <c r="B238" s="91"/>
      <c r="C238" s="14">
        <f>MONTH(INGRESOS[[#This Row],[FECHA]])</f>
        <v>1</v>
      </c>
      <c r="D238" s="26" t="str">
        <f>MID(INGRESOS[[#This Row],[CUENTA]],1,4)</f>
        <v/>
      </c>
      <c r="E23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8" s="29"/>
      <c r="G238" s="29"/>
      <c r="H238" s="92"/>
      <c r="I238" s="93"/>
      <c r="J238" s="91"/>
    </row>
    <row r="239" spans="1:10" s="24" customFormat="1" x14ac:dyDescent="0.25">
      <c r="A239" s="28"/>
      <c r="B239" s="91"/>
      <c r="C239" s="14">
        <f>MONTH(INGRESOS[[#This Row],[FECHA]])</f>
        <v>1</v>
      </c>
      <c r="D239" s="26" t="str">
        <f>MID(INGRESOS[[#This Row],[CUENTA]],1,4)</f>
        <v/>
      </c>
      <c r="E23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39" s="29"/>
      <c r="G239" s="29"/>
      <c r="H239" s="92"/>
      <c r="I239" s="93"/>
      <c r="J239" s="91"/>
    </row>
    <row r="240" spans="1:10" s="24" customFormat="1" x14ac:dyDescent="0.25">
      <c r="A240" s="28"/>
      <c r="B240" s="91"/>
      <c r="C240" s="14">
        <f>MONTH(INGRESOS[[#This Row],[FECHA]])</f>
        <v>1</v>
      </c>
      <c r="D240" s="26" t="str">
        <f>MID(INGRESOS[[#This Row],[CUENTA]],1,4)</f>
        <v/>
      </c>
      <c r="E24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0" s="29"/>
      <c r="G240" s="29"/>
      <c r="H240" s="92"/>
      <c r="I240" s="93"/>
      <c r="J240" s="91"/>
    </row>
    <row r="241" spans="1:10" s="24" customFormat="1" x14ac:dyDescent="0.25">
      <c r="A241" s="28"/>
      <c r="B241" s="91"/>
      <c r="C241" s="14">
        <f>MONTH(INGRESOS[[#This Row],[FECHA]])</f>
        <v>1</v>
      </c>
      <c r="D241" s="26" t="str">
        <f>MID(INGRESOS[[#This Row],[CUENTA]],1,4)</f>
        <v/>
      </c>
      <c r="E24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1" s="29"/>
      <c r="G241" s="29"/>
      <c r="H241" s="92"/>
      <c r="I241" s="93"/>
      <c r="J241" s="91"/>
    </row>
    <row r="242" spans="1:10" s="24" customFormat="1" x14ac:dyDescent="0.25">
      <c r="A242" s="28"/>
      <c r="B242" s="91"/>
      <c r="C242" s="14">
        <f>MONTH(INGRESOS[[#This Row],[FECHA]])</f>
        <v>1</v>
      </c>
      <c r="D242" s="26" t="str">
        <f>MID(INGRESOS[[#This Row],[CUENTA]],1,4)</f>
        <v/>
      </c>
      <c r="E24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2" s="29"/>
      <c r="G242" s="29"/>
      <c r="H242" s="92"/>
      <c r="I242" s="93"/>
      <c r="J242" s="91"/>
    </row>
    <row r="243" spans="1:10" s="24" customFormat="1" x14ac:dyDescent="0.25">
      <c r="A243" s="28"/>
      <c r="B243" s="91"/>
      <c r="C243" s="14">
        <f>MONTH(INGRESOS[[#This Row],[FECHA]])</f>
        <v>1</v>
      </c>
      <c r="D243" s="26" t="str">
        <f>MID(INGRESOS[[#This Row],[CUENTA]],1,4)</f>
        <v/>
      </c>
      <c r="E24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3" s="29"/>
      <c r="G243" s="29"/>
      <c r="H243" s="92"/>
      <c r="I243" s="93"/>
      <c r="J243" s="91"/>
    </row>
    <row r="244" spans="1:10" s="24" customFormat="1" x14ac:dyDescent="0.25">
      <c r="A244" s="28"/>
      <c r="B244" s="91"/>
      <c r="C244" s="14">
        <f>MONTH(INGRESOS[[#This Row],[FECHA]])</f>
        <v>1</v>
      </c>
      <c r="D244" s="26" t="str">
        <f>MID(INGRESOS[[#This Row],[CUENTA]],1,4)</f>
        <v/>
      </c>
      <c r="E24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4" s="29"/>
      <c r="G244" s="29"/>
      <c r="H244" s="92"/>
      <c r="I244" s="93"/>
      <c r="J244" s="91"/>
    </row>
    <row r="245" spans="1:10" s="24" customFormat="1" x14ac:dyDescent="0.25">
      <c r="A245" s="28"/>
      <c r="B245" s="91"/>
      <c r="C245" s="14">
        <f>MONTH(INGRESOS[[#This Row],[FECHA]])</f>
        <v>1</v>
      </c>
      <c r="D245" s="26" t="str">
        <f>MID(INGRESOS[[#This Row],[CUENTA]],1,4)</f>
        <v/>
      </c>
      <c r="E24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5" s="29"/>
      <c r="G245" s="29"/>
      <c r="H245" s="92"/>
      <c r="I245" s="93"/>
      <c r="J245" s="91"/>
    </row>
    <row r="246" spans="1:10" s="24" customFormat="1" x14ac:dyDescent="0.25">
      <c r="A246" s="28"/>
      <c r="B246" s="91"/>
      <c r="C246" s="14">
        <f>MONTH(INGRESOS[[#This Row],[FECHA]])</f>
        <v>1</v>
      </c>
      <c r="D246" s="26"/>
      <c r="E246" s="25"/>
      <c r="F246" s="29"/>
      <c r="G246" s="29"/>
      <c r="H246" s="92"/>
      <c r="I246" s="93"/>
      <c r="J246" s="91"/>
    </row>
    <row r="247" spans="1:10" s="24" customFormat="1" x14ac:dyDescent="0.25">
      <c r="A247" s="28"/>
      <c r="B247" s="91"/>
      <c r="C247" s="14">
        <f>MONTH(INGRESOS[[#This Row],[FECHA]])</f>
        <v>1</v>
      </c>
      <c r="D247" s="26"/>
      <c r="E247" s="25"/>
      <c r="F247" s="29"/>
      <c r="G247" s="29"/>
      <c r="H247" s="92"/>
      <c r="I247" s="93"/>
      <c r="J247" s="91"/>
    </row>
    <row r="248" spans="1:10" s="24" customFormat="1" x14ac:dyDescent="0.25">
      <c r="A248" s="31"/>
      <c r="B248" s="94"/>
      <c r="C248" s="14">
        <f>MONTH(INGRESOS[[#This Row],[FECHA]])</f>
        <v>1</v>
      </c>
      <c r="D248" s="33" t="str">
        <f>MID(INGRESOS[[#This Row],[CUENTA]],1,4)</f>
        <v/>
      </c>
      <c r="E24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8" s="34"/>
      <c r="G248" s="32"/>
      <c r="H248" s="95"/>
      <c r="I248" s="96"/>
      <c r="J248" s="94"/>
    </row>
    <row r="249" spans="1:10" s="24" customFormat="1" x14ac:dyDescent="0.25">
      <c r="A249" s="31"/>
      <c r="B249" s="94"/>
      <c r="C249" s="14">
        <f>MONTH(INGRESOS[[#This Row],[FECHA]])</f>
        <v>1</v>
      </c>
      <c r="D249" s="33" t="str">
        <f>MID(INGRESOS[[#This Row],[CUENTA]],1,4)</f>
        <v/>
      </c>
      <c r="E24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49" s="34"/>
      <c r="G249" s="32"/>
      <c r="H249" s="95"/>
      <c r="I249" s="96"/>
      <c r="J249" s="94"/>
    </row>
    <row r="250" spans="1:10" s="24" customFormat="1" x14ac:dyDescent="0.25">
      <c r="A250" s="31"/>
      <c r="B250" s="94"/>
      <c r="C250" s="14">
        <f>MONTH(INGRESOS[[#This Row],[FECHA]])</f>
        <v>1</v>
      </c>
      <c r="D250" s="33" t="str">
        <f>MID(INGRESOS[[#This Row],[CUENTA]],1,4)</f>
        <v/>
      </c>
      <c r="E25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0" s="34"/>
      <c r="G250" s="32"/>
      <c r="H250" s="95"/>
      <c r="I250" s="96"/>
      <c r="J250" s="94"/>
    </row>
    <row r="251" spans="1:10" s="24" customFormat="1" x14ac:dyDescent="0.25">
      <c r="A251" s="31"/>
      <c r="B251" s="94"/>
      <c r="C251" s="14">
        <f>MONTH(INGRESOS[[#This Row],[FECHA]])</f>
        <v>1</v>
      </c>
      <c r="D251" s="33" t="str">
        <f>MID(INGRESOS[[#This Row],[CUENTA]],1,4)</f>
        <v/>
      </c>
      <c r="E25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1" s="34"/>
      <c r="G251" s="32"/>
      <c r="H251" s="95"/>
      <c r="I251" s="96"/>
      <c r="J251" s="94"/>
    </row>
    <row r="252" spans="1:10" s="24" customFormat="1" x14ac:dyDescent="0.25">
      <c r="A252" s="31"/>
      <c r="B252" s="94"/>
      <c r="C252" s="14">
        <f>MONTH(INGRESOS[[#This Row],[FECHA]])</f>
        <v>1</v>
      </c>
      <c r="D252" s="33" t="str">
        <f>MID(INGRESOS[[#This Row],[CUENTA]],1,4)</f>
        <v/>
      </c>
      <c r="E25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2" s="34"/>
      <c r="G252" s="32"/>
      <c r="H252" s="95"/>
      <c r="I252" s="96"/>
      <c r="J252" s="94"/>
    </row>
    <row r="253" spans="1:10" s="24" customFormat="1" x14ac:dyDescent="0.25">
      <c r="A253" s="31"/>
      <c r="B253" s="94"/>
      <c r="C253" s="14">
        <f>MONTH(INGRESOS[[#This Row],[FECHA]])</f>
        <v>1</v>
      </c>
      <c r="D253" s="33" t="str">
        <f>MID(INGRESOS[[#This Row],[CUENTA]],1,4)</f>
        <v/>
      </c>
      <c r="E25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3" s="34"/>
      <c r="G253" s="32"/>
      <c r="H253" s="95"/>
      <c r="I253" s="96"/>
      <c r="J253" s="94"/>
    </row>
    <row r="254" spans="1:10" s="24" customFormat="1" x14ac:dyDescent="0.25">
      <c r="A254" s="31"/>
      <c r="B254" s="94"/>
      <c r="C254" s="14">
        <f>MONTH(INGRESOS[[#This Row],[FECHA]])</f>
        <v>1</v>
      </c>
      <c r="D254" s="33" t="str">
        <f>MID(INGRESOS[[#This Row],[CUENTA]],1,4)</f>
        <v/>
      </c>
      <c r="E25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4" s="34"/>
      <c r="G254" s="32"/>
      <c r="H254" s="95"/>
      <c r="I254" s="96"/>
      <c r="J254" s="94"/>
    </row>
    <row r="255" spans="1:10" s="24" customFormat="1" x14ac:dyDescent="0.25">
      <c r="A255" s="31"/>
      <c r="B255" s="94"/>
      <c r="C255" s="14">
        <f>MONTH(INGRESOS[[#This Row],[FECHA]])</f>
        <v>1</v>
      </c>
      <c r="D255" s="33" t="str">
        <f>MID(INGRESOS[[#This Row],[CUENTA]],1,4)</f>
        <v/>
      </c>
      <c r="E25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5" s="34"/>
      <c r="G255" s="32"/>
      <c r="H255" s="95"/>
      <c r="I255" s="96"/>
      <c r="J255" s="94"/>
    </row>
    <row r="256" spans="1:10" s="24" customFormat="1" x14ac:dyDescent="0.25">
      <c r="A256" s="31"/>
      <c r="B256" s="94"/>
      <c r="C256" s="14">
        <f>MONTH(INGRESOS[[#This Row],[FECHA]])</f>
        <v>1</v>
      </c>
      <c r="D256" s="33" t="str">
        <f>MID(INGRESOS[[#This Row],[CUENTA]],1,4)</f>
        <v/>
      </c>
      <c r="E25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6" s="34"/>
      <c r="G256" s="32"/>
      <c r="H256" s="95"/>
      <c r="I256" s="96"/>
      <c r="J256" s="94"/>
    </row>
    <row r="257" spans="1:10" s="24" customFormat="1" x14ac:dyDescent="0.25">
      <c r="A257" s="31"/>
      <c r="B257" s="94"/>
      <c r="C257" s="14">
        <f>MONTH(INGRESOS[[#This Row],[FECHA]])</f>
        <v>1</v>
      </c>
      <c r="D257" s="33" t="str">
        <f>MID(INGRESOS[[#This Row],[CUENTA]],1,4)</f>
        <v/>
      </c>
      <c r="E25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7" s="34"/>
      <c r="G257" s="32"/>
      <c r="H257" s="95"/>
      <c r="I257" s="96"/>
      <c r="J257" s="94"/>
    </row>
    <row r="258" spans="1:10" s="24" customFormat="1" x14ac:dyDescent="0.25">
      <c r="A258" s="31"/>
      <c r="B258" s="94"/>
      <c r="C258" s="14">
        <f>MONTH(INGRESOS[[#This Row],[FECHA]])</f>
        <v>1</v>
      </c>
      <c r="D258" s="33" t="str">
        <f>MID(INGRESOS[[#This Row],[CUENTA]],1,4)</f>
        <v/>
      </c>
      <c r="E25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8" s="34"/>
      <c r="G258" s="32"/>
      <c r="H258" s="95"/>
      <c r="I258" s="96"/>
      <c r="J258" s="94"/>
    </row>
    <row r="259" spans="1:10" s="24" customFormat="1" x14ac:dyDescent="0.25">
      <c r="A259" s="31"/>
      <c r="B259" s="94"/>
      <c r="C259" s="14">
        <f>MONTH(INGRESOS[[#This Row],[FECHA]])</f>
        <v>1</v>
      </c>
      <c r="D259" s="33" t="str">
        <f>MID(INGRESOS[[#This Row],[CUENTA]],1,4)</f>
        <v/>
      </c>
      <c r="E25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59" s="34"/>
      <c r="G259" s="32"/>
      <c r="H259" s="95"/>
      <c r="I259" s="96"/>
      <c r="J259" s="94"/>
    </row>
    <row r="260" spans="1:10" s="24" customFormat="1" x14ac:dyDescent="0.25">
      <c r="A260" s="31"/>
      <c r="B260" s="94"/>
      <c r="C260" s="14">
        <f>MONTH(INGRESOS[[#This Row],[FECHA]])</f>
        <v>1</v>
      </c>
      <c r="D260" s="33" t="str">
        <f>MID(INGRESOS[[#This Row],[CUENTA]],1,4)</f>
        <v/>
      </c>
      <c r="E26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0" s="34"/>
      <c r="G260" s="32"/>
      <c r="H260" s="95"/>
      <c r="I260" s="96"/>
      <c r="J260" s="94"/>
    </row>
    <row r="261" spans="1:10" s="24" customFormat="1" x14ac:dyDescent="0.25">
      <c r="A261" s="31"/>
      <c r="B261" s="94"/>
      <c r="C261" s="14">
        <f>MONTH(INGRESOS[[#This Row],[FECHA]])</f>
        <v>1</v>
      </c>
      <c r="D261" s="33" t="str">
        <f>MID(INGRESOS[[#This Row],[CUENTA]],1,4)</f>
        <v/>
      </c>
      <c r="E26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1" s="34"/>
      <c r="G261" s="32"/>
      <c r="H261" s="95"/>
      <c r="I261" s="96"/>
      <c r="J261" s="94"/>
    </row>
    <row r="262" spans="1:10" s="24" customFormat="1" x14ac:dyDescent="0.25">
      <c r="A262" s="31"/>
      <c r="B262" s="94"/>
      <c r="C262" s="14">
        <f>MONTH(INGRESOS[[#This Row],[FECHA]])</f>
        <v>1</v>
      </c>
      <c r="D262" s="33" t="str">
        <f>MID(INGRESOS[[#This Row],[CUENTA]],1,4)</f>
        <v/>
      </c>
      <c r="E26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2" s="34"/>
      <c r="G262" s="32"/>
      <c r="H262" s="95"/>
      <c r="I262" s="96"/>
      <c r="J262" s="94"/>
    </row>
    <row r="263" spans="1:10" s="24" customFormat="1" x14ac:dyDescent="0.25">
      <c r="A263" s="31"/>
      <c r="B263" s="94"/>
      <c r="C263" s="14">
        <f>MONTH(INGRESOS[[#This Row],[FECHA]])</f>
        <v>1</v>
      </c>
      <c r="D263" s="33" t="str">
        <f>MID(INGRESOS[[#This Row],[CUENTA]],1,4)</f>
        <v/>
      </c>
      <c r="E26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3" s="34"/>
      <c r="G263" s="32"/>
      <c r="H263" s="95"/>
      <c r="I263" s="96"/>
      <c r="J263" s="94"/>
    </row>
    <row r="264" spans="1:10" s="24" customFormat="1" x14ac:dyDescent="0.25">
      <c r="A264" s="31"/>
      <c r="B264" s="94"/>
      <c r="C264" s="14">
        <f>MONTH(INGRESOS[[#This Row],[FECHA]])</f>
        <v>1</v>
      </c>
      <c r="D264" s="33" t="str">
        <f>MID(INGRESOS[[#This Row],[CUENTA]],1,4)</f>
        <v/>
      </c>
      <c r="E26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4" s="34"/>
      <c r="G264" s="32"/>
      <c r="H264" s="95"/>
      <c r="I264" s="96"/>
      <c r="J264" s="94"/>
    </row>
    <row r="265" spans="1:10" s="24" customFormat="1" x14ac:dyDescent="0.25">
      <c r="A265" s="31"/>
      <c r="B265" s="94"/>
      <c r="C265" s="14">
        <f>MONTH(INGRESOS[[#This Row],[FECHA]])</f>
        <v>1</v>
      </c>
      <c r="D265" s="33" t="str">
        <f>MID(INGRESOS[[#This Row],[CUENTA]],1,4)</f>
        <v/>
      </c>
      <c r="E26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5" s="34"/>
      <c r="G265" s="32"/>
      <c r="H265" s="95"/>
      <c r="I265" s="96"/>
      <c r="J265" s="94"/>
    </row>
    <row r="266" spans="1:10" s="24" customFormat="1" x14ac:dyDescent="0.25">
      <c r="A266" s="31"/>
      <c r="B266" s="94"/>
      <c r="C266" s="14">
        <f>MONTH(INGRESOS[[#This Row],[FECHA]])</f>
        <v>1</v>
      </c>
      <c r="D266" s="33" t="str">
        <f>MID(INGRESOS[[#This Row],[CUENTA]],1,4)</f>
        <v/>
      </c>
      <c r="E26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6" s="34"/>
      <c r="G266" s="32"/>
      <c r="H266" s="95"/>
      <c r="I266" s="96"/>
      <c r="J266" s="94"/>
    </row>
    <row r="267" spans="1:10" s="24" customFormat="1" x14ac:dyDescent="0.25">
      <c r="A267" s="31"/>
      <c r="B267" s="94"/>
      <c r="C267" s="14">
        <f>MONTH(INGRESOS[[#This Row],[FECHA]])</f>
        <v>1</v>
      </c>
      <c r="D267" s="33" t="str">
        <f>MID(INGRESOS[[#This Row],[CUENTA]],1,4)</f>
        <v/>
      </c>
      <c r="E26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7" s="34"/>
      <c r="G267" s="32"/>
      <c r="H267" s="95"/>
      <c r="I267" s="96"/>
      <c r="J267" s="94"/>
    </row>
    <row r="268" spans="1:10" s="24" customFormat="1" x14ac:dyDescent="0.25">
      <c r="A268" s="31"/>
      <c r="B268" s="94"/>
      <c r="C268" s="14">
        <f>MONTH(INGRESOS[[#This Row],[FECHA]])</f>
        <v>1</v>
      </c>
      <c r="D268" s="33" t="str">
        <f>MID(INGRESOS[[#This Row],[CUENTA]],1,4)</f>
        <v/>
      </c>
      <c r="E26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8" s="34"/>
      <c r="G268" s="32"/>
      <c r="H268" s="95"/>
      <c r="I268" s="96"/>
      <c r="J268" s="94"/>
    </row>
    <row r="269" spans="1:10" s="24" customFormat="1" x14ac:dyDescent="0.25">
      <c r="A269" s="31"/>
      <c r="B269" s="94"/>
      <c r="C269" s="14">
        <f>MONTH(INGRESOS[[#This Row],[FECHA]])</f>
        <v>1</v>
      </c>
      <c r="D269" s="33" t="str">
        <f>MID(INGRESOS[[#This Row],[CUENTA]],1,4)</f>
        <v/>
      </c>
      <c r="E26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69" s="34"/>
      <c r="G269" s="32"/>
      <c r="H269" s="95"/>
      <c r="I269" s="96"/>
      <c r="J269" s="94"/>
    </row>
    <row r="270" spans="1:10" s="24" customFormat="1" x14ac:dyDescent="0.25">
      <c r="A270" s="31"/>
      <c r="B270" s="94"/>
      <c r="C270" s="14">
        <f>MONTH(INGRESOS[[#This Row],[FECHA]])</f>
        <v>1</v>
      </c>
      <c r="D270" s="33" t="str">
        <f>MID(INGRESOS[[#This Row],[CUENTA]],1,4)</f>
        <v/>
      </c>
      <c r="E27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0" s="34"/>
      <c r="G270" s="32"/>
      <c r="H270" s="95"/>
      <c r="I270" s="96"/>
      <c r="J270" s="94"/>
    </row>
    <row r="271" spans="1:10" s="24" customFormat="1" x14ac:dyDescent="0.25">
      <c r="A271" s="31"/>
      <c r="B271" s="94"/>
      <c r="C271" s="14">
        <f>MONTH(INGRESOS[[#This Row],[FECHA]])</f>
        <v>1</v>
      </c>
      <c r="D271" s="33" t="str">
        <f>MID(INGRESOS[[#This Row],[CUENTA]],1,4)</f>
        <v/>
      </c>
      <c r="E27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1" s="34"/>
      <c r="G271" s="32"/>
      <c r="H271" s="95"/>
      <c r="I271" s="96"/>
      <c r="J271" s="94"/>
    </row>
    <row r="272" spans="1:10" s="24" customFormat="1" x14ac:dyDescent="0.25">
      <c r="A272" s="31"/>
      <c r="B272" s="94"/>
      <c r="C272" s="14">
        <f>MONTH(INGRESOS[[#This Row],[FECHA]])</f>
        <v>1</v>
      </c>
      <c r="D272" s="33" t="str">
        <f>MID(INGRESOS[[#This Row],[CUENTA]],1,4)</f>
        <v/>
      </c>
      <c r="E27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2" s="34"/>
      <c r="G272" s="32"/>
      <c r="H272" s="95"/>
      <c r="I272" s="96"/>
      <c r="J272" s="94"/>
    </row>
    <row r="273" spans="1:10" s="24" customFormat="1" x14ac:dyDescent="0.25">
      <c r="A273" s="31"/>
      <c r="B273" s="94"/>
      <c r="C273" s="14">
        <f>MONTH(INGRESOS[[#This Row],[FECHA]])</f>
        <v>1</v>
      </c>
      <c r="D273" s="33" t="str">
        <f>MID(INGRESOS[[#This Row],[CUENTA]],1,4)</f>
        <v/>
      </c>
      <c r="E27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3" s="34"/>
      <c r="G273" s="32"/>
      <c r="H273" s="95"/>
      <c r="I273" s="96"/>
      <c r="J273" s="94"/>
    </row>
    <row r="274" spans="1:10" s="24" customFormat="1" x14ac:dyDescent="0.25">
      <c r="A274" s="31"/>
      <c r="B274" s="94"/>
      <c r="C274" s="14">
        <f>MONTH(INGRESOS[[#This Row],[FECHA]])</f>
        <v>1</v>
      </c>
      <c r="D274" s="33" t="str">
        <f>MID(INGRESOS[[#This Row],[CUENTA]],1,4)</f>
        <v/>
      </c>
      <c r="E27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4" s="34"/>
      <c r="G274" s="32"/>
      <c r="H274" s="95"/>
      <c r="I274" s="96"/>
      <c r="J274" s="94"/>
    </row>
    <row r="275" spans="1:10" s="24" customFormat="1" x14ac:dyDescent="0.25">
      <c r="A275" s="31"/>
      <c r="B275" s="94"/>
      <c r="C275" s="14">
        <f>MONTH(INGRESOS[[#This Row],[FECHA]])</f>
        <v>1</v>
      </c>
      <c r="D275" s="33" t="str">
        <f>MID(INGRESOS[[#This Row],[CUENTA]],1,4)</f>
        <v/>
      </c>
      <c r="E27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5" s="34"/>
      <c r="G275" s="32"/>
      <c r="H275" s="95"/>
      <c r="I275" s="96"/>
      <c r="J275" s="94"/>
    </row>
    <row r="276" spans="1:10" s="24" customFormat="1" x14ac:dyDescent="0.25">
      <c r="A276" s="31"/>
      <c r="B276" s="94"/>
      <c r="C276" s="14">
        <f>MONTH(INGRESOS[[#This Row],[FECHA]])</f>
        <v>1</v>
      </c>
      <c r="D276" s="33" t="str">
        <f>MID(INGRESOS[[#This Row],[CUENTA]],1,4)</f>
        <v/>
      </c>
      <c r="E27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6" s="34"/>
      <c r="G276" s="32"/>
      <c r="H276" s="95"/>
      <c r="I276" s="96"/>
      <c r="J276" s="94"/>
    </row>
    <row r="277" spans="1:10" s="24" customFormat="1" x14ac:dyDescent="0.25">
      <c r="A277" s="31"/>
      <c r="B277" s="94"/>
      <c r="C277" s="14">
        <f>MONTH(INGRESOS[[#This Row],[FECHA]])</f>
        <v>1</v>
      </c>
      <c r="D277" s="33" t="str">
        <f>MID(INGRESOS[[#This Row],[CUENTA]],1,4)</f>
        <v/>
      </c>
      <c r="E27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7" s="34"/>
      <c r="G277" s="32"/>
      <c r="H277" s="95"/>
      <c r="I277" s="96"/>
      <c r="J277" s="94"/>
    </row>
    <row r="278" spans="1:10" s="24" customFormat="1" x14ac:dyDescent="0.25">
      <c r="A278" s="31"/>
      <c r="B278" s="94"/>
      <c r="C278" s="14">
        <f>MONTH(INGRESOS[[#This Row],[FECHA]])</f>
        <v>1</v>
      </c>
      <c r="D278" s="33" t="str">
        <f>MID(INGRESOS[[#This Row],[CUENTA]],1,4)</f>
        <v/>
      </c>
      <c r="E27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8" s="34"/>
      <c r="G278" s="32"/>
      <c r="H278" s="95"/>
      <c r="I278" s="96"/>
      <c r="J278" s="94"/>
    </row>
    <row r="279" spans="1:10" s="24" customFormat="1" x14ac:dyDescent="0.25">
      <c r="A279" s="31"/>
      <c r="B279" s="94"/>
      <c r="C279" s="14">
        <f>MONTH(INGRESOS[[#This Row],[FECHA]])</f>
        <v>1</v>
      </c>
      <c r="D279" s="33" t="str">
        <f>MID(INGRESOS[[#This Row],[CUENTA]],1,4)</f>
        <v/>
      </c>
      <c r="E27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79" s="34"/>
      <c r="G279" s="32"/>
      <c r="H279" s="95"/>
      <c r="I279" s="96"/>
      <c r="J279" s="94"/>
    </row>
    <row r="280" spans="1:10" s="24" customFormat="1" x14ac:dyDescent="0.25">
      <c r="A280" s="31"/>
      <c r="B280" s="94"/>
      <c r="C280" s="14">
        <f>MONTH(INGRESOS[[#This Row],[FECHA]])</f>
        <v>1</v>
      </c>
      <c r="D280" s="33" t="str">
        <f>MID(INGRESOS[[#This Row],[CUENTA]],1,4)</f>
        <v/>
      </c>
      <c r="E28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0" s="34"/>
      <c r="G280" s="32"/>
      <c r="H280" s="95"/>
      <c r="I280" s="96"/>
      <c r="J280" s="94"/>
    </row>
    <row r="281" spans="1:10" s="24" customFormat="1" x14ac:dyDescent="0.25">
      <c r="A281" s="31"/>
      <c r="B281" s="94"/>
      <c r="C281" s="14">
        <f>MONTH(INGRESOS[[#This Row],[FECHA]])</f>
        <v>1</v>
      </c>
      <c r="D281" s="33" t="str">
        <f>MID(INGRESOS[[#This Row],[CUENTA]],1,4)</f>
        <v/>
      </c>
      <c r="E28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1" s="34"/>
      <c r="G281" s="32"/>
      <c r="H281" s="95"/>
      <c r="I281" s="96"/>
      <c r="J281" s="94"/>
    </row>
    <row r="282" spans="1:10" s="24" customFormat="1" x14ac:dyDescent="0.25">
      <c r="A282" s="31"/>
      <c r="B282" s="94"/>
      <c r="C282" s="14">
        <f>MONTH(INGRESOS[[#This Row],[FECHA]])</f>
        <v>1</v>
      </c>
      <c r="D282" s="33" t="str">
        <f>MID(INGRESOS[[#This Row],[CUENTA]],1,4)</f>
        <v/>
      </c>
      <c r="E28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2" s="34"/>
      <c r="G282" s="32"/>
      <c r="H282" s="95"/>
      <c r="I282" s="96"/>
      <c r="J282" s="94"/>
    </row>
    <row r="283" spans="1:10" s="24" customFormat="1" x14ac:dyDescent="0.25">
      <c r="A283" s="31"/>
      <c r="B283" s="94"/>
      <c r="C283" s="14">
        <f>MONTH(INGRESOS[[#This Row],[FECHA]])</f>
        <v>1</v>
      </c>
      <c r="D283" s="33" t="str">
        <f>MID(INGRESOS[[#This Row],[CUENTA]],1,4)</f>
        <v/>
      </c>
      <c r="E28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3" s="34"/>
      <c r="G283" s="32"/>
      <c r="H283" s="95"/>
      <c r="I283" s="96"/>
      <c r="J283" s="94"/>
    </row>
    <row r="284" spans="1:10" s="24" customFormat="1" x14ac:dyDescent="0.25">
      <c r="A284" s="31"/>
      <c r="B284" s="94"/>
      <c r="C284" s="14">
        <f>MONTH(INGRESOS[[#This Row],[FECHA]])</f>
        <v>1</v>
      </c>
      <c r="D284" s="33" t="str">
        <f>MID(INGRESOS[[#This Row],[CUENTA]],1,4)</f>
        <v/>
      </c>
      <c r="E28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4" s="34"/>
      <c r="G284" s="32"/>
      <c r="H284" s="95"/>
      <c r="I284" s="96"/>
      <c r="J284" s="94"/>
    </row>
    <row r="285" spans="1:10" s="24" customFormat="1" x14ac:dyDescent="0.25">
      <c r="A285" s="31"/>
      <c r="B285" s="94"/>
      <c r="C285" s="14">
        <f>MONTH(INGRESOS[[#This Row],[FECHA]])</f>
        <v>1</v>
      </c>
      <c r="D285" s="33" t="str">
        <f>MID(INGRESOS[[#This Row],[CUENTA]],1,4)</f>
        <v/>
      </c>
      <c r="E28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5" s="34"/>
      <c r="G285" s="32"/>
      <c r="H285" s="95"/>
      <c r="I285" s="96"/>
      <c r="J285" s="94"/>
    </row>
    <row r="286" spans="1:10" s="24" customFormat="1" x14ac:dyDescent="0.25">
      <c r="A286" s="31"/>
      <c r="B286" s="94"/>
      <c r="C286" s="14">
        <f>MONTH(INGRESOS[[#This Row],[FECHA]])</f>
        <v>1</v>
      </c>
      <c r="D286" s="33" t="str">
        <f>MID(INGRESOS[[#This Row],[CUENTA]],1,4)</f>
        <v/>
      </c>
      <c r="E28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6" s="34"/>
      <c r="G286" s="32"/>
      <c r="H286" s="95"/>
      <c r="I286" s="96"/>
      <c r="J286" s="94"/>
    </row>
    <row r="287" spans="1:10" s="24" customFormat="1" x14ac:dyDescent="0.25">
      <c r="A287" s="31"/>
      <c r="B287" s="94"/>
      <c r="C287" s="14">
        <f>MONTH(INGRESOS[[#This Row],[FECHA]])</f>
        <v>1</v>
      </c>
      <c r="D287" s="33" t="str">
        <f>MID(INGRESOS[[#This Row],[CUENTA]],1,4)</f>
        <v/>
      </c>
      <c r="E28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7" s="34"/>
      <c r="G287" s="32"/>
      <c r="H287" s="95"/>
      <c r="I287" s="96"/>
      <c r="J287" s="94"/>
    </row>
    <row r="288" spans="1:10" s="24" customFormat="1" x14ac:dyDescent="0.25">
      <c r="A288" s="31"/>
      <c r="B288" s="94"/>
      <c r="C288" s="14">
        <f>MONTH(INGRESOS[[#This Row],[FECHA]])</f>
        <v>1</v>
      </c>
      <c r="D288" s="33" t="str">
        <f>MID(INGRESOS[[#This Row],[CUENTA]],1,4)</f>
        <v/>
      </c>
      <c r="E28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8" s="34"/>
      <c r="G288" s="32"/>
      <c r="H288" s="95"/>
      <c r="I288" s="96"/>
      <c r="J288" s="94"/>
    </row>
    <row r="289" spans="1:10" s="24" customFormat="1" x14ac:dyDescent="0.25">
      <c r="A289" s="31"/>
      <c r="B289" s="94"/>
      <c r="C289" s="14">
        <f>MONTH(INGRESOS[[#This Row],[FECHA]])</f>
        <v>1</v>
      </c>
      <c r="D289" s="33" t="str">
        <f>MID(INGRESOS[[#This Row],[CUENTA]],1,4)</f>
        <v/>
      </c>
      <c r="E28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89" s="34"/>
      <c r="G289" s="32"/>
      <c r="H289" s="95"/>
      <c r="I289" s="96"/>
      <c r="J289" s="94"/>
    </row>
    <row r="290" spans="1:10" s="24" customFormat="1" x14ac:dyDescent="0.25">
      <c r="A290" s="31"/>
      <c r="B290" s="94"/>
      <c r="C290" s="14">
        <f>MONTH(INGRESOS[[#This Row],[FECHA]])</f>
        <v>1</v>
      </c>
      <c r="D290" s="33" t="str">
        <f>MID(INGRESOS[[#This Row],[CUENTA]],1,4)</f>
        <v/>
      </c>
      <c r="E29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0" s="34"/>
      <c r="G290" s="32"/>
      <c r="H290" s="95"/>
      <c r="I290" s="96"/>
      <c r="J290" s="94"/>
    </row>
    <row r="291" spans="1:10" s="24" customFormat="1" x14ac:dyDescent="0.25">
      <c r="A291" s="31"/>
      <c r="B291" s="94"/>
      <c r="C291" s="14">
        <f>MONTH(INGRESOS[[#This Row],[FECHA]])</f>
        <v>1</v>
      </c>
      <c r="D291" s="33" t="str">
        <f>MID(INGRESOS[[#This Row],[CUENTA]],1,4)</f>
        <v/>
      </c>
      <c r="E29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1" s="34"/>
      <c r="G291" s="32"/>
      <c r="H291" s="95"/>
      <c r="I291" s="96"/>
      <c r="J291" s="94"/>
    </row>
    <row r="292" spans="1:10" s="24" customFormat="1" x14ac:dyDescent="0.25">
      <c r="A292" s="31"/>
      <c r="B292" s="94"/>
      <c r="C292" s="14">
        <f>MONTH(INGRESOS[[#This Row],[FECHA]])</f>
        <v>1</v>
      </c>
      <c r="D292" s="33" t="str">
        <f>MID(INGRESOS[[#This Row],[CUENTA]],1,4)</f>
        <v/>
      </c>
      <c r="E29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2" s="34"/>
      <c r="G292" s="32"/>
      <c r="H292" s="95"/>
      <c r="I292" s="96"/>
      <c r="J292" s="94"/>
    </row>
    <row r="293" spans="1:10" s="24" customFormat="1" x14ac:dyDescent="0.25">
      <c r="A293" s="31"/>
      <c r="B293" s="94"/>
      <c r="C293" s="14">
        <f>MONTH(INGRESOS[[#This Row],[FECHA]])</f>
        <v>1</v>
      </c>
      <c r="D293" s="33" t="str">
        <f>MID(INGRESOS[[#This Row],[CUENTA]],1,4)</f>
        <v/>
      </c>
      <c r="E29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3" s="34"/>
      <c r="G293" s="32"/>
      <c r="H293" s="95"/>
      <c r="I293" s="96"/>
      <c r="J293" s="94"/>
    </row>
    <row r="294" spans="1:10" s="24" customFormat="1" x14ac:dyDescent="0.25">
      <c r="A294" s="31"/>
      <c r="B294" s="94"/>
      <c r="C294" s="14">
        <f>MONTH(INGRESOS[[#This Row],[FECHA]])</f>
        <v>1</v>
      </c>
      <c r="D294" s="33" t="str">
        <f>MID(INGRESOS[[#This Row],[CUENTA]],1,4)</f>
        <v/>
      </c>
      <c r="E29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4" s="34"/>
      <c r="G294" s="32"/>
      <c r="H294" s="95"/>
      <c r="I294" s="96"/>
      <c r="J294" s="94"/>
    </row>
    <row r="295" spans="1:10" s="24" customFormat="1" x14ac:dyDescent="0.25">
      <c r="A295" s="31"/>
      <c r="B295" s="94"/>
      <c r="C295" s="14">
        <f>MONTH(INGRESOS[[#This Row],[FECHA]])</f>
        <v>1</v>
      </c>
      <c r="D295" s="33" t="str">
        <f>MID(INGRESOS[[#This Row],[CUENTA]],1,4)</f>
        <v/>
      </c>
      <c r="E29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5" s="34"/>
      <c r="G295" s="32"/>
      <c r="H295" s="95"/>
      <c r="I295" s="96"/>
      <c r="J295" s="94"/>
    </row>
    <row r="296" spans="1:10" s="24" customFormat="1" x14ac:dyDescent="0.25">
      <c r="A296" s="31"/>
      <c r="B296" s="94"/>
      <c r="C296" s="14">
        <f>MONTH(INGRESOS[[#This Row],[FECHA]])</f>
        <v>1</v>
      </c>
      <c r="D296" s="33" t="str">
        <f>MID(INGRESOS[[#This Row],[CUENTA]],1,4)</f>
        <v/>
      </c>
      <c r="E29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6" s="34"/>
      <c r="G296" s="32"/>
      <c r="H296" s="95"/>
      <c r="I296" s="96"/>
      <c r="J296" s="94"/>
    </row>
    <row r="297" spans="1:10" s="24" customFormat="1" x14ac:dyDescent="0.25">
      <c r="A297" s="31"/>
      <c r="B297" s="94"/>
      <c r="C297" s="14">
        <f>MONTH(INGRESOS[[#This Row],[FECHA]])</f>
        <v>1</v>
      </c>
      <c r="D297" s="33" t="str">
        <f>MID(INGRESOS[[#This Row],[CUENTA]],1,4)</f>
        <v/>
      </c>
      <c r="E29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7" s="34"/>
      <c r="G297" s="32"/>
      <c r="H297" s="95"/>
      <c r="I297" s="96"/>
      <c r="J297" s="94"/>
    </row>
    <row r="298" spans="1:10" s="24" customFormat="1" x14ac:dyDescent="0.25">
      <c r="A298" s="31"/>
      <c r="B298" s="94"/>
      <c r="C298" s="14">
        <f>MONTH(INGRESOS[[#This Row],[FECHA]])</f>
        <v>1</v>
      </c>
      <c r="D298" s="33" t="str">
        <f>MID(INGRESOS[[#This Row],[CUENTA]],1,4)</f>
        <v/>
      </c>
      <c r="E29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8" s="34"/>
      <c r="G298" s="32"/>
      <c r="H298" s="95"/>
      <c r="I298" s="96"/>
      <c r="J298" s="94"/>
    </row>
    <row r="299" spans="1:10" s="24" customFormat="1" x14ac:dyDescent="0.25">
      <c r="A299" s="31"/>
      <c r="B299" s="94"/>
      <c r="C299" s="14">
        <f>MONTH(INGRESOS[[#This Row],[FECHA]])</f>
        <v>1</v>
      </c>
      <c r="D299" s="33" t="str">
        <f>MID(INGRESOS[[#This Row],[CUENTA]],1,4)</f>
        <v/>
      </c>
      <c r="E29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299" s="34"/>
      <c r="G299" s="32"/>
      <c r="H299" s="95"/>
      <c r="I299" s="96"/>
      <c r="J299" s="94"/>
    </row>
    <row r="300" spans="1:10" s="24" customFormat="1" x14ac:dyDescent="0.25">
      <c r="A300" s="31"/>
      <c r="B300" s="94"/>
      <c r="C300" s="14">
        <f>MONTH(INGRESOS[[#This Row],[FECHA]])</f>
        <v>1</v>
      </c>
      <c r="D300" s="33" t="str">
        <f>MID(INGRESOS[[#This Row],[CUENTA]],1,4)</f>
        <v/>
      </c>
      <c r="E30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0" s="34"/>
      <c r="G300" s="32"/>
      <c r="H300" s="95"/>
      <c r="I300" s="96"/>
      <c r="J300" s="94"/>
    </row>
    <row r="301" spans="1:10" s="24" customFormat="1" x14ac:dyDescent="0.25">
      <c r="A301" s="31"/>
      <c r="B301" s="94"/>
      <c r="C301" s="14">
        <f>MONTH(INGRESOS[[#This Row],[FECHA]])</f>
        <v>1</v>
      </c>
      <c r="D301" s="33" t="str">
        <f>MID(INGRESOS[[#This Row],[CUENTA]],1,4)</f>
        <v/>
      </c>
      <c r="E30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1" s="34"/>
      <c r="G301" s="32"/>
      <c r="H301" s="95"/>
      <c r="I301" s="96"/>
      <c r="J301" s="94"/>
    </row>
    <row r="302" spans="1:10" s="24" customFormat="1" x14ac:dyDescent="0.25">
      <c r="A302" s="31"/>
      <c r="B302" s="94"/>
      <c r="C302" s="14">
        <f>MONTH(INGRESOS[[#This Row],[FECHA]])</f>
        <v>1</v>
      </c>
      <c r="D302" s="33" t="str">
        <f>MID(INGRESOS[[#This Row],[CUENTA]],1,4)</f>
        <v/>
      </c>
      <c r="E30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2" s="34"/>
      <c r="G302" s="32"/>
      <c r="H302" s="95"/>
      <c r="I302" s="96"/>
      <c r="J302" s="94"/>
    </row>
    <row r="303" spans="1:10" s="24" customFormat="1" x14ac:dyDescent="0.25">
      <c r="A303" s="31"/>
      <c r="B303" s="94"/>
      <c r="C303" s="14">
        <f>MONTH(INGRESOS[[#This Row],[FECHA]])</f>
        <v>1</v>
      </c>
      <c r="D303" s="33" t="str">
        <f>MID(INGRESOS[[#This Row],[CUENTA]],1,4)</f>
        <v/>
      </c>
      <c r="E30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3" s="34"/>
      <c r="G303" s="32"/>
      <c r="H303" s="95"/>
      <c r="I303" s="96"/>
      <c r="J303" s="94"/>
    </row>
    <row r="304" spans="1:10" s="24" customFormat="1" x14ac:dyDescent="0.25">
      <c r="A304" s="31"/>
      <c r="B304" s="94"/>
      <c r="C304" s="14">
        <f>MONTH(INGRESOS[[#This Row],[FECHA]])</f>
        <v>1</v>
      </c>
      <c r="D304" s="33" t="str">
        <f>MID(INGRESOS[[#This Row],[CUENTA]],1,4)</f>
        <v/>
      </c>
      <c r="E30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4" s="34"/>
      <c r="G304" s="32"/>
      <c r="H304" s="95"/>
      <c r="I304" s="96"/>
      <c r="J304" s="94"/>
    </row>
    <row r="305" spans="1:10" s="24" customFormat="1" x14ac:dyDescent="0.25">
      <c r="A305" s="31"/>
      <c r="B305" s="94"/>
      <c r="C305" s="14">
        <f>MONTH(INGRESOS[[#This Row],[FECHA]])</f>
        <v>1</v>
      </c>
      <c r="D305" s="33" t="str">
        <f>MID(INGRESOS[[#This Row],[CUENTA]],1,4)</f>
        <v/>
      </c>
      <c r="E30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5" s="34"/>
      <c r="G305" s="32"/>
      <c r="H305" s="95"/>
      <c r="I305" s="96"/>
      <c r="J305" s="94"/>
    </row>
    <row r="306" spans="1:10" s="24" customFormat="1" x14ac:dyDescent="0.25">
      <c r="A306" s="31"/>
      <c r="B306" s="94"/>
      <c r="C306" s="14">
        <f>MONTH(INGRESOS[[#This Row],[FECHA]])</f>
        <v>1</v>
      </c>
      <c r="D306" s="33" t="str">
        <f>MID(INGRESOS[[#This Row],[CUENTA]],1,4)</f>
        <v/>
      </c>
      <c r="E30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6" s="34"/>
      <c r="G306" s="32"/>
      <c r="H306" s="95"/>
      <c r="I306" s="96"/>
      <c r="J306" s="94"/>
    </row>
    <row r="307" spans="1:10" s="24" customFormat="1" x14ac:dyDescent="0.25">
      <c r="A307" s="31"/>
      <c r="B307" s="94"/>
      <c r="C307" s="14">
        <f>MONTH(INGRESOS[[#This Row],[FECHA]])</f>
        <v>1</v>
      </c>
      <c r="D307" s="33" t="str">
        <f>MID(INGRESOS[[#This Row],[CUENTA]],1,4)</f>
        <v/>
      </c>
      <c r="E30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7" s="34"/>
      <c r="G307" s="32"/>
      <c r="H307" s="95"/>
      <c r="I307" s="96"/>
      <c r="J307" s="94"/>
    </row>
    <row r="308" spans="1:10" s="24" customFormat="1" x14ac:dyDescent="0.25">
      <c r="A308" s="31"/>
      <c r="B308" s="94"/>
      <c r="C308" s="14">
        <f>MONTH(INGRESOS[[#This Row],[FECHA]])</f>
        <v>1</v>
      </c>
      <c r="D308" s="33" t="str">
        <f>MID(INGRESOS[[#This Row],[CUENTA]],1,4)</f>
        <v/>
      </c>
      <c r="E30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8" s="34"/>
      <c r="G308" s="32"/>
      <c r="H308" s="95"/>
      <c r="I308" s="96"/>
      <c r="J308" s="94"/>
    </row>
    <row r="309" spans="1:10" s="24" customFormat="1" x14ac:dyDescent="0.25">
      <c r="A309" s="31"/>
      <c r="B309" s="94"/>
      <c r="C309" s="14">
        <f>MONTH(INGRESOS[[#This Row],[FECHA]])</f>
        <v>1</v>
      </c>
      <c r="D309" s="33" t="str">
        <f>MID(INGRESOS[[#This Row],[CUENTA]],1,4)</f>
        <v/>
      </c>
      <c r="E30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09" s="34"/>
      <c r="G309" s="32"/>
      <c r="H309" s="95"/>
      <c r="I309" s="96"/>
      <c r="J309" s="94"/>
    </row>
    <row r="310" spans="1:10" s="24" customFormat="1" x14ac:dyDescent="0.25">
      <c r="A310" s="31"/>
      <c r="B310" s="94"/>
      <c r="C310" s="14">
        <f>MONTH(INGRESOS[[#This Row],[FECHA]])</f>
        <v>1</v>
      </c>
      <c r="D310" s="33" t="str">
        <f>MID(INGRESOS[[#This Row],[CUENTA]],1,4)</f>
        <v/>
      </c>
      <c r="E31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0" s="34"/>
      <c r="G310" s="32"/>
      <c r="H310" s="95"/>
      <c r="I310" s="96"/>
      <c r="J310" s="94"/>
    </row>
    <row r="311" spans="1:10" s="24" customFormat="1" x14ac:dyDescent="0.25">
      <c r="A311" s="31"/>
      <c r="B311" s="94"/>
      <c r="C311" s="14">
        <f>MONTH(INGRESOS[[#This Row],[FECHA]])</f>
        <v>1</v>
      </c>
      <c r="D311" s="33" t="str">
        <f>MID(INGRESOS[[#This Row],[CUENTA]],1,4)</f>
        <v/>
      </c>
      <c r="E31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1" s="34"/>
      <c r="G311" s="32"/>
      <c r="H311" s="95"/>
      <c r="I311" s="96"/>
      <c r="J311" s="94"/>
    </row>
    <row r="312" spans="1:10" s="24" customFormat="1" x14ac:dyDescent="0.25">
      <c r="A312" s="31"/>
      <c r="B312" s="94"/>
      <c r="C312" s="14">
        <f>MONTH(INGRESOS[[#This Row],[FECHA]])</f>
        <v>1</v>
      </c>
      <c r="D312" s="33" t="str">
        <f>MID(INGRESOS[[#This Row],[CUENTA]],1,4)</f>
        <v/>
      </c>
      <c r="E31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2" s="34"/>
      <c r="G312" s="32"/>
      <c r="H312" s="95"/>
      <c r="I312" s="96"/>
      <c r="J312" s="94"/>
    </row>
    <row r="313" spans="1:10" s="24" customFormat="1" x14ac:dyDescent="0.25">
      <c r="A313" s="31"/>
      <c r="B313" s="94"/>
      <c r="C313" s="14">
        <f>MONTH(INGRESOS[[#This Row],[FECHA]])</f>
        <v>1</v>
      </c>
      <c r="D313" s="33" t="str">
        <f>MID(INGRESOS[[#This Row],[CUENTA]],1,4)</f>
        <v/>
      </c>
      <c r="E31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3" s="34"/>
      <c r="G313" s="32"/>
      <c r="H313" s="95"/>
      <c r="I313" s="96"/>
      <c r="J313" s="94"/>
    </row>
    <row r="314" spans="1:10" s="24" customFormat="1" x14ac:dyDescent="0.25">
      <c r="A314" s="31"/>
      <c r="B314" s="94"/>
      <c r="C314" s="14">
        <f>MONTH(INGRESOS[[#This Row],[FECHA]])</f>
        <v>1</v>
      </c>
      <c r="D314" s="33" t="str">
        <f>MID(INGRESOS[[#This Row],[CUENTA]],1,4)</f>
        <v/>
      </c>
      <c r="E31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4" s="34"/>
      <c r="G314" s="32"/>
      <c r="H314" s="95"/>
      <c r="I314" s="96"/>
      <c r="J314" s="94"/>
    </row>
    <row r="315" spans="1:10" s="24" customFormat="1" x14ac:dyDescent="0.25">
      <c r="A315" s="31"/>
      <c r="B315" s="94"/>
      <c r="C315" s="14">
        <f>MONTH(INGRESOS[[#This Row],[FECHA]])</f>
        <v>1</v>
      </c>
      <c r="D315" s="33" t="str">
        <f>MID(INGRESOS[[#This Row],[CUENTA]],1,4)</f>
        <v/>
      </c>
      <c r="E31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5" s="34"/>
      <c r="G315" s="32"/>
      <c r="H315" s="95"/>
      <c r="I315" s="96"/>
      <c r="J315" s="94"/>
    </row>
    <row r="316" spans="1:10" s="24" customFormat="1" x14ac:dyDescent="0.25">
      <c r="A316" s="31"/>
      <c r="B316" s="94"/>
      <c r="C316" s="14">
        <f>MONTH(INGRESOS[[#This Row],[FECHA]])</f>
        <v>1</v>
      </c>
      <c r="D316" s="33" t="str">
        <f>MID(INGRESOS[[#This Row],[CUENTA]],1,4)</f>
        <v/>
      </c>
      <c r="E31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6" s="34"/>
      <c r="G316" s="32"/>
      <c r="H316" s="95"/>
      <c r="I316" s="96"/>
      <c r="J316" s="94"/>
    </row>
    <row r="317" spans="1:10" s="24" customFormat="1" x14ac:dyDescent="0.25">
      <c r="A317" s="31"/>
      <c r="B317" s="94"/>
      <c r="C317" s="14">
        <f>MONTH(INGRESOS[[#This Row],[FECHA]])</f>
        <v>1</v>
      </c>
      <c r="D317" s="33" t="str">
        <f>MID(INGRESOS[[#This Row],[CUENTA]],1,4)</f>
        <v/>
      </c>
      <c r="E31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7" s="34"/>
      <c r="G317" s="32"/>
      <c r="H317" s="95"/>
      <c r="I317" s="96"/>
      <c r="J317" s="94"/>
    </row>
    <row r="318" spans="1:10" s="24" customFormat="1" x14ac:dyDescent="0.25">
      <c r="A318" s="31"/>
      <c r="B318" s="94"/>
      <c r="C318" s="14">
        <f>MONTH(INGRESOS[[#This Row],[FECHA]])</f>
        <v>1</v>
      </c>
      <c r="D318" s="33" t="str">
        <f>MID(INGRESOS[[#This Row],[CUENTA]],1,4)</f>
        <v/>
      </c>
      <c r="E31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8" s="34"/>
      <c r="G318" s="32"/>
      <c r="H318" s="95"/>
      <c r="I318" s="96"/>
      <c r="J318" s="94"/>
    </row>
    <row r="319" spans="1:10" s="24" customFormat="1" x14ac:dyDescent="0.25">
      <c r="A319" s="31"/>
      <c r="B319" s="94"/>
      <c r="C319" s="14">
        <f>MONTH(INGRESOS[[#This Row],[FECHA]])</f>
        <v>1</v>
      </c>
      <c r="D319" s="33" t="str">
        <f>MID(INGRESOS[[#This Row],[CUENTA]],1,4)</f>
        <v/>
      </c>
      <c r="E31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19" s="34"/>
      <c r="G319" s="32"/>
      <c r="H319" s="95"/>
      <c r="I319" s="96"/>
      <c r="J319" s="94"/>
    </row>
    <row r="320" spans="1:10" s="24" customFormat="1" x14ac:dyDescent="0.25">
      <c r="A320" s="31"/>
      <c r="B320" s="94"/>
      <c r="C320" s="14">
        <f>MONTH(INGRESOS[[#This Row],[FECHA]])</f>
        <v>1</v>
      </c>
      <c r="D320" s="33" t="str">
        <f>MID(INGRESOS[[#This Row],[CUENTA]],1,4)</f>
        <v/>
      </c>
      <c r="E32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0" s="34"/>
      <c r="G320" s="32"/>
      <c r="H320" s="95"/>
      <c r="I320" s="96"/>
      <c r="J320" s="94"/>
    </row>
    <row r="321" spans="1:10" s="24" customFormat="1" x14ac:dyDescent="0.25">
      <c r="A321" s="31"/>
      <c r="B321" s="94"/>
      <c r="C321" s="14">
        <f>MONTH(INGRESOS[[#This Row],[FECHA]])</f>
        <v>1</v>
      </c>
      <c r="D321" s="33" t="str">
        <f>MID(INGRESOS[[#This Row],[CUENTA]],1,4)</f>
        <v/>
      </c>
      <c r="E32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1" s="34"/>
      <c r="G321" s="32"/>
      <c r="H321" s="95"/>
      <c r="I321" s="96"/>
      <c r="J321" s="94"/>
    </row>
    <row r="322" spans="1:10" s="24" customFormat="1" x14ac:dyDescent="0.25">
      <c r="A322" s="31"/>
      <c r="B322" s="94"/>
      <c r="C322" s="14">
        <f>MONTH(INGRESOS[[#This Row],[FECHA]])</f>
        <v>1</v>
      </c>
      <c r="D322" s="33" t="str">
        <f>MID(INGRESOS[[#This Row],[CUENTA]],1,4)</f>
        <v/>
      </c>
      <c r="E32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2" s="34"/>
      <c r="G322" s="32"/>
      <c r="H322" s="95"/>
      <c r="I322" s="96"/>
      <c r="J322" s="94"/>
    </row>
    <row r="323" spans="1:10" s="24" customFormat="1" x14ac:dyDescent="0.25">
      <c r="A323" s="31"/>
      <c r="B323" s="94"/>
      <c r="C323" s="14">
        <f>MONTH(INGRESOS[[#This Row],[FECHA]])</f>
        <v>1</v>
      </c>
      <c r="D323" s="33" t="str">
        <f>MID(INGRESOS[[#This Row],[CUENTA]],1,4)</f>
        <v/>
      </c>
      <c r="E32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3" s="34"/>
      <c r="G323" s="32"/>
      <c r="H323" s="95"/>
      <c r="I323" s="96"/>
      <c r="J323" s="94"/>
    </row>
    <row r="324" spans="1:10" s="24" customFormat="1" x14ac:dyDescent="0.25">
      <c r="A324" s="31"/>
      <c r="B324" s="94"/>
      <c r="C324" s="14">
        <f>MONTH(INGRESOS[[#This Row],[FECHA]])</f>
        <v>1</v>
      </c>
      <c r="D324" s="33" t="str">
        <f>MID(INGRESOS[[#This Row],[CUENTA]],1,4)</f>
        <v/>
      </c>
      <c r="E32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4" s="34"/>
      <c r="G324" s="32"/>
      <c r="H324" s="95"/>
      <c r="I324" s="96"/>
      <c r="J324" s="94"/>
    </row>
    <row r="325" spans="1:10" s="24" customFormat="1" x14ac:dyDescent="0.25">
      <c r="A325" s="31"/>
      <c r="B325" s="94"/>
      <c r="C325" s="14">
        <f>MONTH(INGRESOS[[#This Row],[FECHA]])</f>
        <v>1</v>
      </c>
      <c r="D325" s="33" t="str">
        <f>MID(INGRESOS[[#This Row],[CUENTA]],1,4)</f>
        <v/>
      </c>
      <c r="E32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5" s="34"/>
      <c r="G325" s="32"/>
      <c r="H325" s="95"/>
      <c r="I325" s="96"/>
      <c r="J325" s="94"/>
    </row>
    <row r="326" spans="1:10" s="24" customFormat="1" x14ac:dyDescent="0.25">
      <c r="A326" s="31"/>
      <c r="B326" s="94"/>
      <c r="C326" s="14">
        <f>MONTH(INGRESOS[[#This Row],[FECHA]])</f>
        <v>1</v>
      </c>
      <c r="D326" s="33" t="str">
        <f>MID(INGRESOS[[#This Row],[CUENTA]],1,4)</f>
        <v/>
      </c>
      <c r="E32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6" s="34"/>
      <c r="G326" s="32"/>
      <c r="H326" s="95"/>
      <c r="I326" s="96"/>
      <c r="J326" s="94"/>
    </row>
    <row r="327" spans="1:10" s="24" customFormat="1" x14ac:dyDescent="0.25">
      <c r="A327" s="31"/>
      <c r="B327" s="94"/>
      <c r="C327" s="14">
        <f>MONTH(INGRESOS[[#This Row],[FECHA]])</f>
        <v>1</v>
      </c>
      <c r="D327" s="33" t="str">
        <f>MID(INGRESOS[[#This Row],[CUENTA]],1,4)</f>
        <v/>
      </c>
      <c r="E32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27" s="34"/>
      <c r="G327" s="32"/>
      <c r="H327" s="95"/>
      <c r="I327" s="96"/>
      <c r="J327" s="94"/>
    </row>
    <row r="328" spans="1:10" s="24" customFormat="1" x14ac:dyDescent="0.25">
      <c r="A328" s="31"/>
      <c r="B328" s="94"/>
      <c r="C328" s="14">
        <f>MONTH(INGRESOS[[#This Row],[FECHA]])</f>
        <v>1</v>
      </c>
      <c r="D328" s="33"/>
      <c r="E328" s="32"/>
      <c r="F328" s="34"/>
      <c r="G328" s="32"/>
      <c r="H328" s="95"/>
      <c r="I328" s="96"/>
      <c r="J328" s="94"/>
    </row>
    <row r="329" spans="1:10" s="24" customFormat="1" x14ac:dyDescent="0.25">
      <c r="A329" s="31"/>
      <c r="B329" s="94"/>
      <c r="C329" s="14">
        <f>MONTH(INGRESOS[[#This Row],[FECHA]])</f>
        <v>1</v>
      </c>
      <c r="D329" s="33"/>
      <c r="E329" s="32"/>
      <c r="F329" s="34"/>
      <c r="G329" s="32"/>
      <c r="H329" s="95"/>
      <c r="I329" s="96"/>
      <c r="J329" s="94"/>
    </row>
    <row r="330" spans="1:10" s="24" customFormat="1" x14ac:dyDescent="0.25">
      <c r="A330" s="28"/>
      <c r="B330" s="91"/>
      <c r="C330" s="14">
        <f>MONTH(INGRESOS[[#This Row],[FECHA]])</f>
        <v>1</v>
      </c>
      <c r="D330" s="26" t="str">
        <f>MID(INGRESOS[[#This Row],[CUENTA]],1,4)</f>
        <v/>
      </c>
      <c r="E33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0" s="29"/>
      <c r="G330" s="25"/>
      <c r="H330" s="92"/>
      <c r="I330" s="93"/>
      <c r="J330" s="91"/>
    </row>
    <row r="331" spans="1:10" s="24" customFormat="1" x14ac:dyDescent="0.25">
      <c r="A331" s="28"/>
      <c r="B331" s="91"/>
      <c r="C331" s="14">
        <f>MONTH(INGRESOS[[#This Row],[FECHA]])</f>
        <v>1</v>
      </c>
      <c r="D331" s="26" t="str">
        <f>MID(INGRESOS[[#This Row],[CUENTA]],1,4)</f>
        <v/>
      </c>
      <c r="E33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1" s="29"/>
      <c r="G331" s="25"/>
      <c r="H331" s="92"/>
      <c r="I331" s="93"/>
      <c r="J331" s="91"/>
    </row>
    <row r="332" spans="1:10" s="24" customFormat="1" x14ac:dyDescent="0.25">
      <c r="A332" s="28"/>
      <c r="B332" s="91"/>
      <c r="C332" s="14">
        <f>MONTH(INGRESOS[[#This Row],[FECHA]])</f>
        <v>1</v>
      </c>
      <c r="D332" s="26" t="str">
        <f>MID(INGRESOS[[#This Row],[CUENTA]],1,4)</f>
        <v/>
      </c>
      <c r="E33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2" s="29"/>
      <c r="G332" s="25"/>
      <c r="H332" s="92"/>
      <c r="I332" s="93"/>
      <c r="J332" s="91"/>
    </row>
    <row r="333" spans="1:10" s="24" customFormat="1" x14ac:dyDescent="0.25">
      <c r="A333" s="28"/>
      <c r="B333" s="91"/>
      <c r="C333" s="14">
        <f>MONTH(INGRESOS[[#This Row],[FECHA]])</f>
        <v>1</v>
      </c>
      <c r="D333" s="26" t="str">
        <f>MID(INGRESOS[[#This Row],[CUENTA]],1,4)</f>
        <v/>
      </c>
      <c r="E33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3" s="29"/>
      <c r="G333" s="25"/>
      <c r="H333" s="92"/>
      <c r="I333" s="93"/>
      <c r="J333" s="91"/>
    </row>
    <row r="334" spans="1:10" s="24" customFormat="1" x14ac:dyDescent="0.25">
      <c r="A334" s="28"/>
      <c r="B334" s="91"/>
      <c r="C334" s="14">
        <f>MONTH(INGRESOS[[#This Row],[FECHA]])</f>
        <v>1</v>
      </c>
      <c r="D334" s="26" t="str">
        <f>MID(INGRESOS[[#This Row],[CUENTA]],1,4)</f>
        <v/>
      </c>
      <c r="E33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4" s="29"/>
      <c r="G334" s="25"/>
      <c r="H334" s="92"/>
      <c r="I334" s="93"/>
      <c r="J334" s="91"/>
    </row>
    <row r="335" spans="1:10" s="24" customFormat="1" x14ac:dyDescent="0.25">
      <c r="A335" s="28"/>
      <c r="B335" s="91"/>
      <c r="C335" s="14">
        <f>MONTH(INGRESOS[[#This Row],[FECHA]])</f>
        <v>1</v>
      </c>
      <c r="D335" s="26" t="str">
        <f>MID(INGRESOS[[#This Row],[CUENTA]],1,4)</f>
        <v/>
      </c>
      <c r="E33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5" s="29"/>
      <c r="G335" s="25"/>
      <c r="H335" s="92"/>
      <c r="I335" s="93"/>
      <c r="J335" s="91"/>
    </row>
    <row r="336" spans="1:10" s="24" customFormat="1" x14ac:dyDescent="0.25">
      <c r="A336" s="28"/>
      <c r="B336" s="91"/>
      <c r="C336" s="14">
        <f>MONTH(INGRESOS[[#This Row],[FECHA]])</f>
        <v>1</v>
      </c>
      <c r="D336" s="26" t="str">
        <f>MID(INGRESOS[[#This Row],[CUENTA]],1,4)</f>
        <v/>
      </c>
      <c r="E33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6" s="29"/>
      <c r="G336" s="25"/>
      <c r="H336" s="92"/>
      <c r="I336" s="93"/>
      <c r="J336" s="91"/>
    </row>
    <row r="337" spans="1:10" s="24" customFormat="1" x14ac:dyDescent="0.25">
      <c r="A337" s="28"/>
      <c r="B337" s="91"/>
      <c r="C337" s="14">
        <f>MONTH(INGRESOS[[#This Row],[FECHA]])</f>
        <v>1</v>
      </c>
      <c r="D337" s="26" t="str">
        <f>MID(INGRESOS[[#This Row],[CUENTA]],1,4)</f>
        <v/>
      </c>
      <c r="E33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7" s="29"/>
      <c r="G337" s="25"/>
      <c r="H337" s="92"/>
      <c r="I337" s="93"/>
      <c r="J337" s="91"/>
    </row>
    <row r="338" spans="1:10" s="24" customFormat="1" x14ac:dyDescent="0.25">
      <c r="A338" s="28"/>
      <c r="B338" s="91"/>
      <c r="C338" s="14">
        <f>MONTH(INGRESOS[[#This Row],[FECHA]])</f>
        <v>1</v>
      </c>
      <c r="D338" s="26" t="str">
        <f>MID(INGRESOS[[#This Row],[CUENTA]],1,4)</f>
        <v/>
      </c>
      <c r="E33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8" s="29"/>
      <c r="G338" s="25"/>
      <c r="H338" s="92"/>
      <c r="I338" s="93"/>
      <c r="J338" s="91"/>
    </row>
    <row r="339" spans="1:10" s="24" customFormat="1" x14ac:dyDescent="0.25">
      <c r="A339" s="28"/>
      <c r="B339" s="91"/>
      <c r="C339" s="14">
        <f>MONTH(INGRESOS[[#This Row],[FECHA]])</f>
        <v>1</v>
      </c>
      <c r="D339" s="26" t="str">
        <f>MID(INGRESOS[[#This Row],[CUENTA]],1,4)</f>
        <v/>
      </c>
      <c r="E33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39" s="29"/>
      <c r="G339" s="25"/>
      <c r="H339" s="92"/>
      <c r="I339" s="93"/>
      <c r="J339" s="91"/>
    </row>
    <row r="340" spans="1:10" s="24" customFormat="1" x14ac:dyDescent="0.25">
      <c r="A340" s="28"/>
      <c r="B340" s="91"/>
      <c r="C340" s="14">
        <f>MONTH(INGRESOS[[#This Row],[FECHA]])</f>
        <v>1</v>
      </c>
      <c r="D340" s="26" t="str">
        <f>MID(INGRESOS[[#This Row],[CUENTA]],1,4)</f>
        <v/>
      </c>
      <c r="E34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0" s="29"/>
      <c r="G340" s="25"/>
      <c r="H340" s="92"/>
      <c r="I340" s="93"/>
      <c r="J340" s="91"/>
    </row>
    <row r="341" spans="1:10" s="24" customFormat="1" x14ac:dyDescent="0.25">
      <c r="A341" s="28"/>
      <c r="B341" s="91"/>
      <c r="C341" s="14">
        <f>MONTH(INGRESOS[[#This Row],[FECHA]])</f>
        <v>1</v>
      </c>
      <c r="D341" s="26" t="str">
        <f>MID(INGRESOS[[#This Row],[CUENTA]],1,4)</f>
        <v/>
      </c>
      <c r="E34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1" s="29"/>
      <c r="G341" s="25"/>
      <c r="H341" s="92"/>
      <c r="I341" s="93"/>
      <c r="J341" s="91"/>
    </row>
    <row r="342" spans="1:10" s="24" customFormat="1" x14ac:dyDescent="0.25">
      <c r="A342" s="28"/>
      <c r="B342" s="91"/>
      <c r="C342" s="14">
        <f>MONTH(INGRESOS[[#This Row],[FECHA]])</f>
        <v>1</v>
      </c>
      <c r="D342" s="26" t="str">
        <f>MID(INGRESOS[[#This Row],[CUENTA]],1,4)</f>
        <v/>
      </c>
      <c r="E34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2" s="29"/>
      <c r="G342" s="25"/>
      <c r="H342" s="92"/>
      <c r="I342" s="93"/>
      <c r="J342" s="91"/>
    </row>
    <row r="343" spans="1:10" s="24" customFormat="1" x14ac:dyDescent="0.25">
      <c r="A343" s="28"/>
      <c r="B343" s="91"/>
      <c r="C343" s="14">
        <f>MONTH(INGRESOS[[#This Row],[FECHA]])</f>
        <v>1</v>
      </c>
      <c r="D343" s="26" t="str">
        <f>MID(INGRESOS[[#This Row],[CUENTA]],1,4)</f>
        <v/>
      </c>
      <c r="E34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3" s="29"/>
      <c r="G343" s="25"/>
      <c r="H343" s="92"/>
      <c r="I343" s="93"/>
      <c r="J343" s="91"/>
    </row>
    <row r="344" spans="1:10" s="24" customFormat="1" x14ac:dyDescent="0.25">
      <c r="A344" s="28"/>
      <c r="B344" s="91"/>
      <c r="C344" s="14">
        <f>MONTH(INGRESOS[[#This Row],[FECHA]])</f>
        <v>1</v>
      </c>
      <c r="D344" s="26" t="str">
        <f>MID(INGRESOS[[#This Row],[CUENTA]],1,4)</f>
        <v/>
      </c>
      <c r="E34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4" s="29"/>
      <c r="G344" s="25"/>
      <c r="H344" s="92"/>
      <c r="I344" s="93"/>
      <c r="J344" s="91"/>
    </row>
    <row r="345" spans="1:10" s="24" customFormat="1" x14ac:dyDescent="0.25">
      <c r="A345" s="28"/>
      <c r="B345" s="91"/>
      <c r="C345" s="14">
        <f>MONTH(INGRESOS[[#This Row],[FECHA]])</f>
        <v>1</v>
      </c>
      <c r="D345" s="26" t="str">
        <f>MID(INGRESOS[[#This Row],[CUENTA]],1,4)</f>
        <v/>
      </c>
      <c r="E34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5" s="29"/>
      <c r="G345" s="25"/>
      <c r="H345" s="92"/>
      <c r="I345" s="93"/>
      <c r="J345" s="91"/>
    </row>
    <row r="346" spans="1:10" s="24" customFormat="1" x14ac:dyDescent="0.25">
      <c r="A346" s="28"/>
      <c r="B346" s="91"/>
      <c r="C346" s="14">
        <f>MONTH(INGRESOS[[#This Row],[FECHA]])</f>
        <v>1</v>
      </c>
      <c r="D346" s="26" t="str">
        <f>MID(INGRESOS[[#This Row],[CUENTA]],1,4)</f>
        <v/>
      </c>
      <c r="E34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6" s="29"/>
      <c r="G346" s="25"/>
      <c r="H346" s="92"/>
      <c r="I346" s="93"/>
      <c r="J346" s="93"/>
    </row>
    <row r="347" spans="1:10" s="24" customFormat="1" x14ac:dyDescent="0.25">
      <c r="A347" s="28"/>
      <c r="B347" s="91"/>
      <c r="C347" s="14">
        <f>MONTH(INGRESOS[[#This Row],[FECHA]])</f>
        <v>1</v>
      </c>
      <c r="D347" s="26" t="str">
        <f>MID(INGRESOS[[#This Row],[CUENTA]],1,4)</f>
        <v/>
      </c>
      <c r="E34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7" s="29"/>
      <c r="G347" s="25"/>
      <c r="H347" s="92"/>
      <c r="I347" s="93"/>
      <c r="J347" s="93"/>
    </row>
    <row r="348" spans="1:10" s="24" customFormat="1" x14ac:dyDescent="0.25">
      <c r="A348" s="28"/>
      <c r="B348" s="91"/>
      <c r="C348" s="14">
        <f>MONTH(INGRESOS[[#This Row],[FECHA]])</f>
        <v>1</v>
      </c>
      <c r="D348" s="26" t="str">
        <f>MID(INGRESOS[[#This Row],[CUENTA]],1,4)</f>
        <v/>
      </c>
      <c r="E34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8" s="29"/>
      <c r="G348" s="25"/>
      <c r="H348" s="92"/>
      <c r="I348" s="93"/>
      <c r="J348" s="93"/>
    </row>
    <row r="349" spans="1:10" s="24" customFormat="1" x14ac:dyDescent="0.25">
      <c r="A349" s="28"/>
      <c r="B349" s="91"/>
      <c r="C349" s="14">
        <f>MONTH(INGRESOS[[#This Row],[FECHA]])</f>
        <v>1</v>
      </c>
      <c r="D349" s="26" t="str">
        <f>MID(INGRESOS[[#This Row],[CUENTA]],1,4)</f>
        <v/>
      </c>
      <c r="E34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49" s="29"/>
      <c r="G349" s="25"/>
      <c r="H349" s="92"/>
      <c r="I349" s="93"/>
      <c r="J349" s="93"/>
    </row>
    <row r="350" spans="1:10" s="24" customFormat="1" x14ac:dyDescent="0.25">
      <c r="A350" s="28"/>
      <c r="B350" s="91"/>
      <c r="C350" s="14">
        <f>MONTH(INGRESOS[[#This Row],[FECHA]])</f>
        <v>1</v>
      </c>
      <c r="D350" s="26" t="str">
        <f>MID(INGRESOS[[#This Row],[CUENTA]],1,4)</f>
        <v/>
      </c>
      <c r="E35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0" s="29"/>
      <c r="G350" s="25"/>
      <c r="H350" s="92"/>
      <c r="I350" s="93"/>
      <c r="J350" s="93"/>
    </row>
    <row r="351" spans="1:10" s="24" customFormat="1" x14ac:dyDescent="0.25">
      <c r="A351" s="28"/>
      <c r="B351" s="91"/>
      <c r="C351" s="14">
        <f>MONTH(INGRESOS[[#This Row],[FECHA]])</f>
        <v>1</v>
      </c>
      <c r="D351" s="26" t="str">
        <f>MID(INGRESOS[[#This Row],[CUENTA]],1,4)</f>
        <v/>
      </c>
      <c r="E35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1" s="29"/>
      <c r="G351" s="25"/>
      <c r="H351" s="92"/>
      <c r="I351" s="93"/>
      <c r="J351" s="93"/>
    </row>
    <row r="352" spans="1:10" s="24" customFormat="1" x14ac:dyDescent="0.25">
      <c r="A352" s="28"/>
      <c r="B352" s="91"/>
      <c r="C352" s="14">
        <f>MONTH(INGRESOS[[#This Row],[FECHA]])</f>
        <v>1</v>
      </c>
      <c r="D352" s="26" t="str">
        <f>MID(INGRESOS[[#This Row],[CUENTA]],1,4)</f>
        <v/>
      </c>
      <c r="E35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2" s="29"/>
      <c r="G352" s="25"/>
      <c r="H352" s="92"/>
      <c r="I352" s="93"/>
      <c r="J352" s="93"/>
    </row>
    <row r="353" spans="1:10" s="24" customFormat="1" x14ac:dyDescent="0.25">
      <c r="A353" s="28"/>
      <c r="B353" s="91"/>
      <c r="C353" s="14">
        <f>MONTH(INGRESOS[[#This Row],[FECHA]])</f>
        <v>1</v>
      </c>
      <c r="D353" s="26" t="str">
        <f>MID(INGRESOS[[#This Row],[CUENTA]],1,4)</f>
        <v/>
      </c>
      <c r="E35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3" s="29"/>
      <c r="G353" s="25"/>
      <c r="H353" s="92"/>
      <c r="I353" s="93"/>
      <c r="J353" s="93"/>
    </row>
    <row r="354" spans="1:10" s="24" customFormat="1" x14ac:dyDescent="0.25">
      <c r="A354" s="28"/>
      <c r="B354" s="91"/>
      <c r="C354" s="14">
        <f>MONTH(INGRESOS[[#This Row],[FECHA]])</f>
        <v>1</v>
      </c>
      <c r="D354" s="26" t="str">
        <f>MID(INGRESOS[[#This Row],[CUENTA]],1,4)</f>
        <v/>
      </c>
      <c r="E35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4" s="29"/>
      <c r="G354" s="25"/>
      <c r="H354" s="92"/>
      <c r="I354" s="93"/>
      <c r="J354" s="93"/>
    </row>
    <row r="355" spans="1:10" s="24" customFormat="1" x14ac:dyDescent="0.25">
      <c r="A355" s="28"/>
      <c r="B355" s="91"/>
      <c r="C355" s="14">
        <f>MONTH(INGRESOS[[#This Row],[FECHA]])</f>
        <v>1</v>
      </c>
      <c r="D355" s="26" t="str">
        <f>MID(INGRESOS[[#This Row],[CUENTA]],1,4)</f>
        <v/>
      </c>
      <c r="E35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5" s="29"/>
      <c r="G355" s="25"/>
      <c r="H355" s="92"/>
      <c r="I355" s="93"/>
      <c r="J355" s="93"/>
    </row>
    <row r="356" spans="1:10" s="24" customFormat="1" x14ac:dyDescent="0.25">
      <c r="A356" s="28"/>
      <c r="B356" s="91"/>
      <c r="C356" s="14">
        <f>MONTH(INGRESOS[[#This Row],[FECHA]])</f>
        <v>1</v>
      </c>
      <c r="D356" s="26" t="str">
        <f>MID(INGRESOS[[#This Row],[CUENTA]],1,4)</f>
        <v/>
      </c>
      <c r="E35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6" s="29"/>
      <c r="G356" s="25"/>
      <c r="H356" s="92"/>
      <c r="I356" s="93"/>
      <c r="J356" s="93"/>
    </row>
    <row r="357" spans="1:10" s="24" customFormat="1" x14ac:dyDescent="0.25">
      <c r="A357" s="28"/>
      <c r="B357" s="91"/>
      <c r="C357" s="14">
        <f>MONTH(INGRESOS[[#This Row],[FECHA]])</f>
        <v>1</v>
      </c>
      <c r="D357" s="26" t="str">
        <f>MID(INGRESOS[[#This Row],[CUENTA]],1,4)</f>
        <v/>
      </c>
      <c r="E35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7" s="29"/>
      <c r="G357" s="25"/>
      <c r="H357" s="92"/>
      <c r="I357" s="93"/>
      <c r="J357" s="93"/>
    </row>
    <row r="358" spans="1:10" s="24" customFormat="1" x14ac:dyDescent="0.25">
      <c r="A358" s="28"/>
      <c r="B358" s="91"/>
      <c r="C358" s="14">
        <f>MONTH(INGRESOS[[#This Row],[FECHA]])</f>
        <v>1</v>
      </c>
      <c r="D358" s="26" t="str">
        <f>MID(INGRESOS[[#This Row],[CUENTA]],1,4)</f>
        <v/>
      </c>
      <c r="E35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8" s="29"/>
      <c r="G358" s="25"/>
      <c r="H358" s="92"/>
      <c r="I358" s="93"/>
      <c r="J358" s="93"/>
    </row>
    <row r="359" spans="1:10" s="24" customFormat="1" x14ac:dyDescent="0.25">
      <c r="A359" s="28"/>
      <c r="B359" s="91"/>
      <c r="C359" s="14">
        <f>MONTH(INGRESOS[[#This Row],[FECHA]])</f>
        <v>1</v>
      </c>
      <c r="D359" s="26" t="str">
        <f>MID(INGRESOS[[#This Row],[CUENTA]],1,4)</f>
        <v/>
      </c>
      <c r="E35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59" s="29"/>
      <c r="G359" s="25"/>
      <c r="H359" s="92"/>
      <c r="I359" s="93"/>
      <c r="J359" s="93"/>
    </row>
    <row r="360" spans="1:10" s="24" customFormat="1" x14ac:dyDescent="0.25">
      <c r="A360" s="28"/>
      <c r="B360" s="91"/>
      <c r="C360" s="14">
        <f>MONTH(INGRESOS[[#This Row],[FECHA]])</f>
        <v>1</v>
      </c>
      <c r="D360" s="26" t="str">
        <f>MID(INGRESOS[[#This Row],[CUENTA]],1,4)</f>
        <v/>
      </c>
      <c r="E36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0" s="29"/>
      <c r="G360" s="25"/>
      <c r="H360" s="92"/>
      <c r="I360" s="93"/>
      <c r="J360" s="93"/>
    </row>
    <row r="361" spans="1:10" s="24" customFormat="1" x14ac:dyDescent="0.25">
      <c r="A361" s="28"/>
      <c r="B361" s="91"/>
      <c r="C361" s="14">
        <f>MONTH(INGRESOS[[#This Row],[FECHA]])</f>
        <v>1</v>
      </c>
      <c r="D361" s="26" t="str">
        <f>MID(INGRESOS[[#This Row],[CUENTA]],1,4)</f>
        <v/>
      </c>
      <c r="E36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1" s="29"/>
      <c r="G361" s="25"/>
      <c r="H361" s="92"/>
      <c r="I361" s="93"/>
      <c r="J361" s="93"/>
    </row>
    <row r="362" spans="1:10" s="24" customFormat="1" x14ac:dyDescent="0.25">
      <c r="A362" s="28"/>
      <c r="B362" s="91"/>
      <c r="C362" s="14">
        <f>MONTH(INGRESOS[[#This Row],[FECHA]])</f>
        <v>1</v>
      </c>
      <c r="D362" s="26" t="str">
        <f>MID(INGRESOS[[#This Row],[CUENTA]],1,4)</f>
        <v/>
      </c>
      <c r="E36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2" s="29"/>
      <c r="G362" s="25"/>
      <c r="H362" s="92"/>
      <c r="I362" s="93"/>
      <c r="J362" s="93"/>
    </row>
    <row r="363" spans="1:10" s="24" customFormat="1" x14ac:dyDescent="0.25">
      <c r="A363" s="28"/>
      <c r="B363" s="91"/>
      <c r="C363" s="14">
        <f>MONTH(INGRESOS[[#This Row],[FECHA]])</f>
        <v>1</v>
      </c>
      <c r="D363" s="26" t="str">
        <f>MID(INGRESOS[[#This Row],[CUENTA]],1,4)</f>
        <v/>
      </c>
      <c r="E36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3" s="29"/>
      <c r="G363" s="25"/>
      <c r="H363" s="92"/>
      <c r="I363" s="93"/>
      <c r="J363" s="91"/>
    </row>
    <row r="364" spans="1:10" s="24" customFormat="1" x14ac:dyDescent="0.25">
      <c r="A364" s="28"/>
      <c r="B364" s="91"/>
      <c r="C364" s="14">
        <f>MONTH(INGRESOS[[#This Row],[FECHA]])</f>
        <v>1</v>
      </c>
      <c r="D364" s="26" t="str">
        <f>MID(INGRESOS[[#This Row],[CUENTA]],1,4)</f>
        <v/>
      </c>
      <c r="E36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4" s="29"/>
      <c r="G364" s="25"/>
      <c r="H364" s="92"/>
      <c r="I364" s="93"/>
      <c r="J364" s="91"/>
    </row>
    <row r="365" spans="1:10" s="24" customFormat="1" x14ac:dyDescent="0.25">
      <c r="A365" s="28"/>
      <c r="B365" s="91"/>
      <c r="C365" s="14">
        <f>MONTH(INGRESOS[[#This Row],[FECHA]])</f>
        <v>1</v>
      </c>
      <c r="D365" s="26" t="str">
        <f>MID(INGRESOS[[#This Row],[CUENTA]],1,4)</f>
        <v/>
      </c>
      <c r="E36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5" s="29"/>
      <c r="G365" s="25"/>
      <c r="H365" s="92"/>
      <c r="I365" s="93"/>
      <c r="J365" s="91"/>
    </row>
    <row r="366" spans="1:10" s="24" customFormat="1" x14ac:dyDescent="0.25">
      <c r="A366" s="28"/>
      <c r="B366" s="91"/>
      <c r="C366" s="14">
        <f>MONTH(INGRESOS[[#This Row],[FECHA]])</f>
        <v>1</v>
      </c>
      <c r="D366" s="26" t="str">
        <f>MID(INGRESOS[[#This Row],[CUENTA]],1,4)</f>
        <v/>
      </c>
      <c r="E36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6" s="29"/>
      <c r="G366" s="25"/>
      <c r="H366" s="92"/>
      <c r="I366" s="93"/>
      <c r="J366" s="91"/>
    </row>
    <row r="367" spans="1:10" s="24" customFormat="1" x14ac:dyDescent="0.25">
      <c r="A367" s="28"/>
      <c r="B367" s="91"/>
      <c r="C367" s="14">
        <f>MONTH(INGRESOS[[#This Row],[FECHA]])</f>
        <v>1</v>
      </c>
      <c r="D367" s="26" t="str">
        <f>MID(INGRESOS[[#This Row],[CUENTA]],1,4)</f>
        <v/>
      </c>
      <c r="E36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7" s="29"/>
      <c r="G367" s="25"/>
      <c r="H367" s="92"/>
      <c r="I367" s="93"/>
      <c r="J367" s="91"/>
    </row>
    <row r="368" spans="1:10" s="24" customFormat="1" x14ac:dyDescent="0.25">
      <c r="A368" s="28"/>
      <c r="B368" s="91"/>
      <c r="C368" s="14">
        <f>MONTH(INGRESOS[[#This Row],[FECHA]])</f>
        <v>1</v>
      </c>
      <c r="D368" s="26" t="str">
        <f>MID(INGRESOS[[#This Row],[CUENTA]],1,4)</f>
        <v/>
      </c>
      <c r="E36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8" s="29"/>
      <c r="G368" s="25"/>
      <c r="H368" s="92"/>
      <c r="I368" s="93"/>
      <c r="J368" s="91"/>
    </row>
    <row r="369" spans="1:10" s="24" customFormat="1" x14ac:dyDescent="0.25">
      <c r="A369" s="28"/>
      <c r="B369" s="91"/>
      <c r="C369" s="14">
        <f>MONTH(INGRESOS[[#This Row],[FECHA]])</f>
        <v>1</v>
      </c>
      <c r="D369" s="26" t="str">
        <f>MID(INGRESOS[[#This Row],[CUENTA]],1,4)</f>
        <v/>
      </c>
      <c r="E36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69" s="29"/>
      <c r="G369" s="25"/>
      <c r="H369" s="92"/>
      <c r="I369" s="93"/>
      <c r="J369" s="91"/>
    </row>
    <row r="370" spans="1:10" s="24" customFormat="1" x14ac:dyDescent="0.25">
      <c r="A370" s="28"/>
      <c r="B370" s="91"/>
      <c r="C370" s="14">
        <f>MONTH(INGRESOS[[#This Row],[FECHA]])</f>
        <v>1</v>
      </c>
      <c r="D370" s="26" t="str">
        <f>MID(INGRESOS[[#This Row],[CUENTA]],1,4)</f>
        <v/>
      </c>
      <c r="E37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0" s="29"/>
      <c r="G370" s="25"/>
      <c r="H370" s="92"/>
      <c r="I370" s="93"/>
      <c r="J370" s="91"/>
    </row>
    <row r="371" spans="1:10" s="24" customFormat="1" x14ac:dyDescent="0.25">
      <c r="A371" s="28"/>
      <c r="B371" s="91"/>
      <c r="C371" s="14">
        <f>MONTH(INGRESOS[[#This Row],[FECHA]])</f>
        <v>1</v>
      </c>
      <c r="D371" s="26" t="str">
        <f>MID(INGRESOS[[#This Row],[CUENTA]],1,4)</f>
        <v/>
      </c>
      <c r="E37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1" s="29"/>
      <c r="G371" s="25"/>
      <c r="H371" s="92"/>
      <c r="I371" s="93"/>
      <c r="J371" s="91"/>
    </row>
    <row r="372" spans="1:10" s="24" customFormat="1" x14ac:dyDescent="0.25">
      <c r="A372" s="28"/>
      <c r="B372" s="91"/>
      <c r="C372" s="14">
        <f>MONTH(INGRESOS[[#This Row],[FECHA]])</f>
        <v>1</v>
      </c>
      <c r="D372" s="26" t="str">
        <f>MID(INGRESOS[[#This Row],[CUENTA]],1,4)</f>
        <v/>
      </c>
      <c r="E37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2" s="29"/>
      <c r="G372" s="25"/>
      <c r="H372" s="92"/>
      <c r="I372" s="93"/>
      <c r="J372" s="91"/>
    </row>
    <row r="373" spans="1:10" s="24" customFormat="1" x14ac:dyDescent="0.25">
      <c r="A373" s="28"/>
      <c r="B373" s="91"/>
      <c r="C373" s="14">
        <f>MONTH(INGRESOS[[#This Row],[FECHA]])</f>
        <v>1</v>
      </c>
      <c r="D373" s="26" t="str">
        <f>MID(INGRESOS[[#This Row],[CUENTA]],1,4)</f>
        <v/>
      </c>
      <c r="E37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3" s="29"/>
      <c r="G373" s="25"/>
      <c r="H373" s="92"/>
      <c r="I373" s="93"/>
      <c r="J373" s="91"/>
    </row>
    <row r="374" spans="1:10" s="24" customFormat="1" x14ac:dyDescent="0.25">
      <c r="A374" s="28"/>
      <c r="B374" s="91"/>
      <c r="C374" s="14">
        <f>MONTH(INGRESOS[[#This Row],[FECHA]])</f>
        <v>1</v>
      </c>
      <c r="D374" s="26" t="str">
        <f>MID(INGRESOS[[#This Row],[CUENTA]],1,4)</f>
        <v/>
      </c>
      <c r="E37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4" s="29"/>
      <c r="G374" s="25"/>
      <c r="H374" s="92"/>
      <c r="I374" s="93"/>
      <c r="J374" s="91"/>
    </row>
    <row r="375" spans="1:10" s="24" customFormat="1" x14ac:dyDescent="0.25">
      <c r="A375" s="28"/>
      <c r="B375" s="91"/>
      <c r="C375" s="14">
        <f>MONTH(INGRESOS[[#This Row],[FECHA]])</f>
        <v>1</v>
      </c>
      <c r="D375" s="26" t="str">
        <f>MID(INGRESOS[[#This Row],[CUENTA]],1,4)</f>
        <v/>
      </c>
      <c r="E37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5" s="29"/>
      <c r="G375" s="25"/>
      <c r="H375" s="92"/>
      <c r="I375" s="93"/>
      <c r="J375" s="91"/>
    </row>
    <row r="376" spans="1:10" s="24" customFormat="1" x14ac:dyDescent="0.25">
      <c r="A376" s="28"/>
      <c r="B376" s="91"/>
      <c r="C376" s="14">
        <f>MONTH(INGRESOS[[#This Row],[FECHA]])</f>
        <v>1</v>
      </c>
      <c r="D376" s="26" t="str">
        <f>MID(INGRESOS[[#This Row],[CUENTA]],1,4)</f>
        <v/>
      </c>
      <c r="E37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6" s="29"/>
      <c r="G376" s="25"/>
      <c r="H376" s="92"/>
      <c r="I376" s="93"/>
      <c r="J376" s="91"/>
    </row>
    <row r="377" spans="1:10" s="24" customFormat="1" x14ac:dyDescent="0.25">
      <c r="A377" s="28"/>
      <c r="B377" s="91"/>
      <c r="C377" s="14">
        <f>MONTH(INGRESOS[[#This Row],[FECHA]])</f>
        <v>1</v>
      </c>
      <c r="D377" s="26" t="str">
        <f>MID(INGRESOS[[#This Row],[CUENTA]],1,4)</f>
        <v/>
      </c>
      <c r="E37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7" s="29"/>
      <c r="G377" s="25"/>
      <c r="H377" s="92"/>
      <c r="I377" s="93"/>
      <c r="J377" s="91"/>
    </row>
    <row r="378" spans="1:10" s="24" customFormat="1" x14ac:dyDescent="0.25">
      <c r="A378" s="28"/>
      <c r="B378" s="91"/>
      <c r="C378" s="14">
        <f>MONTH(INGRESOS[[#This Row],[FECHA]])</f>
        <v>1</v>
      </c>
      <c r="D378" s="26" t="str">
        <f>MID(INGRESOS[[#This Row],[CUENTA]],1,4)</f>
        <v/>
      </c>
      <c r="E37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8" s="29"/>
      <c r="G378" s="25"/>
      <c r="H378" s="92"/>
      <c r="I378" s="93"/>
      <c r="J378" s="91"/>
    </row>
    <row r="379" spans="1:10" s="24" customFormat="1" x14ac:dyDescent="0.25">
      <c r="A379" s="28"/>
      <c r="B379" s="91"/>
      <c r="C379" s="14">
        <f>MONTH(INGRESOS[[#This Row],[FECHA]])</f>
        <v>1</v>
      </c>
      <c r="D379" s="26" t="str">
        <f>MID(INGRESOS[[#This Row],[CUENTA]],1,4)</f>
        <v/>
      </c>
      <c r="E37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79" s="29"/>
      <c r="G379" s="25"/>
      <c r="H379" s="92"/>
      <c r="I379" s="93"/>
      <c r="J379" s="91"/>
    </row>
    <row r="380" spans="1:10" s="24" customFormat="1" x14ac:dyDescent="0.25">
      <c r="A380" s="28"/>
      <c r="B380" s="91"/>
      <c r="C380" s="14">
        <f>MONTH(INGRESOS[[#This Row],[FECHA]])</f>
        <v>1</v>
      </c>
      <c r="D380" s="26" t="str">
        <f>MID(INGRESOS[[#This Row],[CUENTA]],1,4)</f>
        <v/>
      </c>
      <c r="E38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0" s="29"/>
      <c r="G380" s="25"/>
      <c r="H380" s="92"/>
      <c r="I380" s="93"/>
      <c r="J380" s="91"/>
    </row>
    <row r="381" spans="1:10" s="24" customFormat="1" x14ac:dyDescent="0.25">
      <c r="A381" s="28"/>
      <c r="B381" s="91"/>
      <c r="C381" s="14">
        <f>MONTH(INGRESOS[[#This Row],[FECHA]])</f>
        <v>1</v>
      </c>
      <c r="D381" s="26" t="str">
        <f>MID(INGRESOS[[#This Row],[CUENTA]],1,4)</f>
        <v/>
      </c>
      <c r="E38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1" s="29"/>
      <c r="G381" s="25"/>
      <c r="H381" s="92"/>
      <c r="I381" s="93"/>
      <c r="J381" s="91"/>
    </row>
    <row r="382" spans="1:10" s="24" customFormat="1" x14ac:dyDescent="0.25">
      <c r="A382" s="28"/>
      <c r="B382" s="91"/>
      <c r="C382" s="14">
        <f>MONTH(INGRESOS[[#This Row],[FECHA]])</f>
        <v>1</v>
      </c>
      <c r="D382" s="26" t="str">
        <f>MID(INGRESOS[[#This Row],[CUENTA]],1,4)</f>
        <v/>
      </c>
      <c r="E38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2" s="29"/>
      <c r="G382" s="25"/>
      <c r="H382" s="92"/>
      <c r="I382" s="93"/>
      <c r="J382" s="91"/>
    </row>
    <row r="383" spans="1:10" s="24" customFormat="1" x14ac:dyDescent="0.25">
      <c r="A383" s="28"/>
      <c r="B383" s="91"/>
      <c r="C383" s="14">
        <f>MONTH(INGRESOS[[#This Row],[FECHA]])</f>
        <v>1</v>
      </c>
      <c r="D383" s="26" t="str">
        <f>MID(INGRESOS[[#This Row],[CUENTA]],1,4)</f>
        <v/>
      </c>
      <c r="E38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3" s="29"/>
      <c r="G383" s="25"/>
      <c r="H383" s="92"/>
      <c r="I383" s="93"/>
      <c r="J383" s="91"/>
    </row>
    <row r="384" spans="1:10" s="24" customFormat="1" x14ac:dyDescent="0.25">
      <c r="A384" s="28"/>
      <c r="B384" s="91"/>
      <c r="C384" s="14">
        <f>MONTH(INGRESOS[[#This Row],[FECHA]])</f>
        <v>1</v>
      </c>
      <c r="D384" s="26" t="str">
        <f>MID(INGRESOS[[#This Row],[CUENTA]],1,4)</f>
        <v/>
      </c>
      <c r="E38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4" s="29"/>
      <c r="G384" s="25"/>
      <c r="H384" s="92"/>
      <c r="I384" s="93"/>
      <c r="J384" s="91"/>
    </row>
    <row r="385" spans="1:10" s="24" customFormat="1" x14ac:dyDescent="0.25">
      <c r="A385" s="28"/>
      <c r="B385" s="91"/>
      <c r="C385" s="14">
        <f>MONTH(INGRESOS[[#This Row],[FECHA]])</f>
        <v>1</v>
      </c>
      <c r="D385" s="26" t="str">
        <f>MID(INGRESOS[[#This Row],[CUENTA]],1,4)</f>
        <v/>
      </c>
      <c r="E38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5" s="29"/>
      <c r="G385" s="25"/>
      <c r="H385" s="92"/>
      <c r="I385" s="93"/>
      <c r="J385" s="91"/>
    </row>
    <row r="386" spans="1:10" s="24" customFormat="1" x14ac:dyDescent="0.25">
      <c r="A386" s="28"/>
      <c r="B386" s="91"/>
      <c r="C386" s="14">
        <f>MONTH(INGRESOS[[#This Row],[FECHA]])</f>
        <v>1</v>
      </c>
      <c r="D386" s="26" t="str">
        <f>MID(INGRESOS[[#This Row],[CUENTA]],1,4)</f>
        <v/>
      </c>
      <c r="E38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6" s="29"/>
      <c r="G386" s="25"/>
      <c r="H386" s="92"/>
      <c r="I386" s="93"/>
      <c r="J386" s="91"/>
    </row>
    <row r="387" spans="1:10" s="24" customFormat="1" x14ac:dyDescent="0.25">
      <c r="A387" s="28"/>
      <c r="B387" s="91"/>
      <c r="C387" s="14">
        <f>MONTH(INGRESOS[[#This Row],[FECHA]])</f>
        <v>1</v>
      </c>
      <c r="D387" s="26" t="str">
        <f>MID(INGRESOS[[#This Row],[CUENTA]],1,4)</f>
        <v/>
      </c>
      <c r="E38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7" s="29"/>
      <c r="G387" s="25"/>
      <c r="H387" s="92"/>
      <c r="I387" s="93"/>
      <c r="J387" s="91"/>
    </row>
    <row r="388" spans="1:10" s="24" customFormat="1" x14ac:dyDescent="0.25">
      <c r="A388" s="28"/>
      <c r="B388" s="91"/>
      <c r="C388" s="14">
        <f>MONTH(INGRESOS[[#This Row],[FECHA]])</f>
        <v>1</v>
      </c>
      <c r="D388" s="26" t="str">
        <f>MID(INGRESOS[[#This Row],[CUENTA]],1,4)</f>
        <v/>
      </c>
      <c r="E38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8" s="29"/>
      <c r="G388" s="25"/>
      <c r="H388" s="92"/>
      <c r="I388" s="93"/>
      <c r="J388" s="91"/>
    </row>
    <row r="389" spans="1:10" s="24" customFormat="1" x14ac:dyDescent="0.25">
      <c r="A389" s="28"/>
      <c r="B389" s="91"/>
      <c r="C389" s="14">
        <f>MONTH(INGRESOS[[#This Row],[FECHA]])</f>
        <v>1</v>
      </c>
      <c r="D389" s="26" t="str">
        <f>MID(INGRESOS[[#This Row],[CUENTA]],1,4)</f>
        <v/>
      </c>
      <c r="E38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89" s="29"/>
      <c r="G389" s="25"/>
      <c r="H389" s="92"/>
      <c r="I389" s="93"/>
      <c r="J389" s="91"/>
    </row>
    <row r="390" spans="1:10" s="24" customFormat="1" x14ac:dyDescent="0.25">
      <c r="A390" s="28"/>
      <c r="B390" s="91"/>
      <c r="C390" s="14">
        <f>MONTH(INGRESOS[[#This Row],[FECHA]])</f>
        <v>1</v>
      </c>
      <c r="D390" s="26" t="str">
        <f>MID(INGRESOS[[#This Row],[CUENTA]],1,4)</f>
        <v/>
      </c>
      <c r="E39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0" s="29"/>
      <c r="G390" s="25"/>
      <c r="H390" s="92"/>
      <c r="I390" s="93"/>
      <c r="J390" s="91"/>
    </row>
    <row r="391" spans="1:10" s="24" customFormat="1" x14ac:dyDescent="0.25">
      <c r="A391" s="28"/>
      <c r="B391" s="91"/>
      <c r="C391" s="14">
        <f>MONTH(INGRESOS[[#This Row],[FECHA]])</f>
        <v>1</v>
      </c>
      <c r="D391" s="26" t="str">
        <f>MID(INGRESOS[[#This Row],[CUENTA]],1,4)</f>
        <v/>
      </c>
      <c r="E39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1" s="29"/>
      <c r="G391" s="25"/>
      <c r="H391" s="92"/>
      <c r="I391" s="93"/>
      <c r="J391" s="91"/>
    </row>
    <row r="392" spans="1:10" s="24" customFormat="1" x14ac:dyDescent="0.25">
      <c r="A392" s="28"/>
      <c r="B392" s="91"/>
      <c r="C392" s="14">
        <f>MONTH(INGRESOS[[#This Row],[FECHA]])</f>
        <v>1</v>
      </c>
      <c r="D392" s="26" t="str">
        <f>MID(INGRESOS[[#This Row],[CUENTA]],1,4)</f>
        <v/>
      </c>
      <c r="E39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2" s="29"/>
      <c r="G392" s="25"/>
      <c r="H392" s="92"/>
      <c r="I392" s="93"/>
      <c r="J392" s="91"/>
    </row>
    <row r="393" spans="1:10" s="24" customFormat="1" x14ac:dyDescent="0.25">
      <c r="A393" s="28"/>
      <c r="B393" s="91"/>
      <c r="C393" s="14">
        <f>MONTH(INGRESOS[[#This Row],[FECHA]])</f>
        <v>1</v>
      </c>
      <c r="D393" s="26" t="str">
        <f>MID(INGRESOS[[#This Row],[CUENTA]],1,4)</f>
        <v/>
      </c>
      <c r="E39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3" s="29"/>
      <c r="G393" s="25"/>
      <c r="H393" s="92"/>
      <c r="I393" s="93"/>
      <c r="J393" s="91"/>
    </row>
    <row r="394" spans="1:10" s="24" customFormat="1" x14ac:dyDescent="0.25">
      <c r="A394" s="28"/>
      <c r="B394" s="91"/>
      <c r="C394" s="14">
        <f>MONTH(INGRESOS[[#This Row],[FECHA]])</f>
        <v>1</v>
      </c>
      <c r="D394" s="26" t="str">
        <f>MID(INGRESOS[[#This Row],[CUENTA]],1,4)</f>
        <v/>
      </c>
      <c r="E394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4" s="29"/>
      <c r="G394" s="25"/>
      <c r="H394" s="92"/>
      <c r="I394" s="93"/>
      <c r="J394" s="91"/>
    </row>
    <row r="395" spans="1:10" s="24" customFormat="1" x14ac:dyDescent="0.25">
      <c r="A395" s="28"/>
      <c r="B395" s="91"/>
      <c r="C395" s="14">
        <f>MONTH(INGRESOS[[#This Row],[FECHA]])</f>
        <v>1</v>
      </c>
      <c r="D395" s="26" t="str">
        <f>MID(INGRESOS[[#This Row],[CUENTA]],1,4)</f>
        <v/>
      </c>
      <c r="E395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5" s="29"/>
      <c r="G395" s="25"/>
      <c r="H395" s="92"/>
      <c r="I395" s="93"/>
      <c r="J395" s="91"/>
    </row>
    <row r="396" spans="1:10" s="24" customFormat="1" x14ac:dyDescent="0.25">
      <c r="A396" s="28"/>
      <c r="B396" s="91"/>
      <c r="C396" s="14">
        <f>MONTH(INGRESOS[[#This Row],[FECHA]])</f>
        <v>1</v>
      </c>
      <c r="D396" s="26" t="str">
        <f>MID(INGRESOS[[#This Row],[CUENTA]],1,4)</f>
        <v/>
      </c>
      <c r="E396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6" s="29"/>
      <c r="G396" s="25"/>
      <c r="H396" s="92"/>
      <c r="I396" s="93"/>
      <c r="J396" s="91"/>
    </row>
    <row r="397" spans="1:10" s="24" customFormat="1" x14ac:dyDescent="0.25">
      <c r="A397" s="28"/>
      <c r="B397" s="91"/>
      <c r="C397" s="14">
        <f>MONTH(INGRESOS[[#This Row],[FECHA]])</f>
        <v>1</v>
      </c>
      <c r="D397" s="26" t="str">
        <f>MID(INGRESOS[[#This Row],[CUENTA]],1,4)</f>
        <v/>
      </c>
      <c r="E397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7" s="29"/>
      <c r="G397" s="25"/>
      <c r="H397" s="92"/>
      <c r="I397" s="93"/>
      <c r="J397" s="91"/>
    </row>
    <row r="398" spans="1:10" s="24" customFormat="1" x14ac:dyDescent="0.25">
      <c r="A398" s="28"/>
      <c r="B398" s="91"/>
      <c r="C398" s="14">
        <f>MONTH(INGRESOS[[#This Row],[FECHA]])</f>
        <v>1</v>
      </c>
      <c r="D398" s="26" t="str">
        <f>MID(INGRESOS[[#This Row],[CUENTA]],1,4)</f>
        <v/>
      </c>
      <c r="E398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8" s="29"/>
      <c r="G398" s="25"/>
      <c r="H398" s="92"/>
      <c r="I398" s="93"/>
      <c r="J398" s="91"/>
    </row>
    <row r="399" spans="1:10" s="24" customFormat="1" x14ac:dyDescent="0.25">
      <c r="A399" s="28"/>
      <c r="B399" s="91"/>
      <c r="C399" s="14">
        <f>MONTH(INGRESOS[[#This Row],[FECHA]])</f>
        <v>1</v>
      </c>
      <c r="D399" s="26" t="str">
        <f>MID(INGRESOS[[#This Row],[CUENTA]],1,4)</f>
        <v/>
      </c>
      <c r="E399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399" s="29"/>
      <c r="G399" s="25"/>
      <c r="H399" s="92"/>
      <c r="I399" s="93"/>
      <c r="J399" s="91"/>
    </row>
    <row r="400" spans="1:10" s="24" customFormat="1" x14ac:dyDescent="0.25">
      <c r="A400" s="28"/>
      <c r="B400" s="91"/>
      <c r="C400" s="14">
        <f>MONTH(INGRESOS[[#This Row],[FECHA]])</f>
        <v>1</v>
      </c>
      <c r="D400" s="26" t="str">
        <f>MID(INGRESOS[[#This Row],[CUENTA]],1,4)</f>
        <v/>
      </c>
      <c r="E400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0" s="29"/>
      <c r="G400" s="25"/>
      <c r="H400" s="92"/>
      <c r="I400" s="93"/>
      <c r="J400" s="91"/>
    </row>
    <row r="401" spans="1:10" x14ac:dyDescent="0.25">
      <c r="A401" s="28"/>
      <c r="B401" s="91"/>
      <c r="C401" s="14">
        <f>MONTH(INGRESOS[[#This Row],[FECHA]])</f>
        <v>1</v>
      </c>
      <c r="D401" s="26" t="str">
        <f>MID(INGRESOS[[#This Row],[CUENTA]],1,4)</f>
        <v/>
      </c>
      <c r="E401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1" s="29"/>
      <c r="G401" s="25"/>
      <c r="H401" s="92"/>
      <c r="I401" s="93"/>
      <c r="J401" s="91"/>
    </row>
    <row r="402" spans="1:10" x14ac:dyDescent="0.25">
      <c r="A402" s="28"/>
      <c r="B402" s="91"/>
      <c r="C402" s="14">
        <f>MONTH(INGRESOS[[#This Row],[FECHA]])</f>
        <v>1</v>
      </c>
      <c r="D402" s="26" t="str">
        <f>MID(INGRESOS[[#This Row],[CUENTA]],1,4)</f>
        <v/>
      </c>
      <c r="E402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2" s="29"/>
      <c r="G402" s="25"/>
      <c r="H402" s="92"/>
      <c r="I402" s="93"/>
      <c r="J402" s="91"/>
    </row>
    <row r="403" spans="1:10" x14ac:dyDescent="0.25">
      <c r="A403" s="28"/>
      <c r="B403" s="91"/>
      <c r="C403" s="14">
        <f>MONTH(INGRESOS[[#This Row],[FECHA]])</f>
        <v>1</v>
      </c>
      <c r="D403" s="26" t="str">
        <f>MID(INGRESOS[[#This Row],[CUENTA]],1,4)</f>
        <v/>
      </c>
      <c r="E403" s="25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3" s="29"/>
      <c r="G403" s="25"/>
      <c r="H403" s="92"/>
      <c r="I403" s="93"/>
      <c r="J403" s="91"/>
    </row>
    <row r="404" spans="1:10" x14ac:dyDescent="0.25">
      <c r="A404" s="28"/>
      <c r="B404" s="91"/>
      <c r="C404" s="25"/>
      <c r="D404" s="26"/>
      <c r="E404" s="25"/>
      <c r="F404" s="29"/>
      <c r="G404" s="25"/>
      <c r="H404" s="92"/>
      <c r="I404" s="93"/>
      <c r="J404" s="91"/>
    </row>
    <row r="405" spans="1:10" x14ac:dyDescent="0.25">
      <c r="A405" s="28"/>
      <c r="B405" s="91"/>
      <c r="C405" s="25"/>
      <c r="D405" s="26"/>
      <c r="E405" s="25"/>
      <c r="F405" s="29"/>
      <c r="G405" s="25"/>
      <c r="H405" s="92"/>
      <c r="I405" s="93"/>
      <c r="J405" s="91"/>
    </row>
    <row r="406" spans="1:10" x14ac:dyDescent="0.25">
      <c r="A406" s="31"/>
      <c r="B406" s="94"/>
      <c r="C406" s="32">
        <f>MONTH(INGRESOS[[#This Row],[FECHA]])</f>
        <v>1</v>
      </c>
      <c r="D406" s="33" t="str">
        <f>MID(INGRESOS[[#This Row],[CUENTA]],1,4)</f>
        <v/>
      </c>
      <c r="E40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6" s="34"/>
      <c r="G406" s="32"/>
      <c r="H406" s="95"/>
      <c r="I406" s="96"/>
      <c r="J406" s="94"/>
    </row>
    <row r="407" spans="1:10" x14ac:dyDescent="0.25">
      <c r="A407" s="31"/>
      <c r="B407" s="94"/>
      <c r="C407" s="32">
        <f>MONTH(INGRESOS[[#This Row],[FECHA]])</f>
        <v>1</v>
      </c>
      <c r="D407" s="33" t="str">
        <f>MID(INGRESOS[[#This Row],[CUENTA]],1,4)</f>
        <v/>
      </c>
      <c r="E40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7" s="34"/>
      <c r="G407" s="32"/>
      <c r="H407" s="95"/>
      <c r="I407" s="96"/>
      <c r="J407" s="94"/>
    </row>
    <row r="408" spans="1:10" x14ac:dyDescent="0.25">
      <c r="A408" s="31"/>
      <c r="B408" s="94"/>
      <c r="C408" s="32">
        <f>MONTH(INGRESOS[[#This Row],[FECHA]])</f>
        <v>1</v>
      </c>
      <c r="D408" s="33" t="str">
        <f>MID(INGRESOS[[#This Row],[CUENTA]],1,4)</f>
        <v/>
      </c>
      <c r="E40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8" s="50"/>
      <c r="G408" s="51"/>
      <c r="H408" s="52"/>
      <c r="I408" s="53"/>
      <c r="J408" s="94"/>
    </row>
    <row r="409" spans="1:10" x14ac:dyDescent="0.25">
      <c r="A409" s="31"/>
      <c r="B409" s="94"/>
      <c r="C409" s="32">
        <f>MONTH(INGRESOS[[#This Row],[FECHA]])</f>
        <v>1</v>
      </c>
      <c r="D409" s="33" t="str">
        <f>MID(INGRESOS[[#This Row],[CUENTA]],1,4)</f>
        <v/>
      </c>
      <c r="E40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09" s="50"/>
      <c r="G409" s="51"/>
      <c r="H409" s="52"/>
      <c r="I409" s="53"/>
      <c r="J409" s="94"/>
    </row>
    <row r="410" spans="1:10" x14ac:dyDescent="0.25">
      <c r="A410" s="31"/>
      <c r="B410" s="94"/>
      <c r="C410" s="32">
        <f>MONTH(INGRESOS[[#This Row],[FECHA]])</f>
        <v>1</v>
      </c>
      <c r="D410" s="33" t="str">
        <f>MID(INGRESOS[[#This Row],[CUENTA]],1,4)</f>
        <v/>
      </c>
      <c r="E41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0" s="34"/>
      <c r="G410" s="32"/>
      <c r="H410" s="95"/>
      <c r="I410" s="96"/>
      <c r="J410" s="94"/>
    </row>
    <row r="411" spans="1:10" x14ac:dyDescent="0.25">
      <c r="A411" s="31"/>
      <c r="B411" s="94"/>
      <c r="C411" s="32">
        <f>MONTH(INGRESOS[[#This Row],[FECHA]])</f>
        <v>1</v>
      </c>
      <c r="D411" s="33" t="str">
        <f>MID(INGRESOS[[#This Row],[CUENTA]],1,4)</f>
        <v/>
      </c>
      <c r="E41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1" s="34"/>
      <c r="G411" s="32"/>
      <c r="H411" s="95"/>
      <c r="I411" s="96"/>
      <c r="J411" s="94"/>
    </row>
    <row r="412" spans="1:10" x14ac:dyDescent="0.25">
      <c r="A412" s="31"/>
      <c r="B412" s="94"/>
      <c r="C412" s="32">
        <f>MONTH(INGRESOS[[#This Row],[FECHA]])</f>
        <v>1</v>
      </c>
      <c r="D412" s="33" t="str">
        <f>MID(INGRESOS[[#This Row],[CUENTA]],1,4)</f>
        <v/>
      </c>
      <c r="E41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2" s="34"/>
      <c r="G412" s="32"/>
      <c r="H412" s="95"/>
      <c r="I412" s="96"/>
      <c r="J412" s="94"/>
    </row>
    <row r="413" spans="1:10" x14ac:dyDescent="0.25">
      <c r="A413" s="31"/>
      <c r="B413" s="94"/>
      <c r="C413" s="32">
        <f>MONTH(INGRESOS[[#This Row],[FECHA]])</f>
        <v>1</v>
      </c>
      <c r="D413" s="33" t="str">
        <f>MID(INGRESOS[[#This Row],[CUENTA]],1,4)</f>
        <v/>
      </c>
      <c r="E41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3" s="34"/>
      <c r="G413" s="32"/>
      <c r="H413" s="95"/>
      <c r="I413" s="96"/>
      <c r="J413" s="94"/>
    </row>
    <row r="414" spans="1:10" x14ac:dyDescent="0.25">
      <c r="A414" s="31"/>
      <c r="B414" s="94"/>
      <c r="C414" s="32">
        <f>MONTH(INGRESOS[[#This Row],[FECHA]])</f>
        <v>1</v>
      </c>
      <c r="D414" s="33" t="str">
        <f>MID(INGRESOS[[#This Row],[CUENTA]],1,4)</f>
        <v/>
      </c>
      <c r="E41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4" s="34"/>
      <c r="G414" s="32"/>
      <c r="H414" s="95"/>
      <c r="I414" s="96"/>
      <c r="J414" s="94"/>
    </row>
    <row r="415" spans="1:10" x14ac:dyDescent="0.25">
      <c r="A415" s="31"/>
      <c r="B415" s="94"/>
      <c r="C415" s="32">
        <f>MONTH(INGRESOS[[#This Row],[FECHA]])</f>
        <v>1</v>
      </c>
      <c r="D415" s="33" t="str">
        <f>MID(INGRESOS[[#This Row],[CUENTA]],1,4)</f>
        <v/>
      </c>
      <c r="E41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5" s="34"/>
      <c r="G415" s="32"/>
      <c r="H415" s="95"/>
      <c r="I415" s="96"/>
      <c r="J415" s="94"/>
    </row>
    <row r="416" spans="1:10" x14ac:dyDescent="0.25">
      <c r="A416" s="31"/>
      <c r="B416" s="94"/>
      <c r="C416" s="32">
        <f>MONTH(INGRESOS[[#This Row],[FECHA]])</f>
        <v>1</v>
      </c>
      <c r="D416" s="33" t="str">
        <f>MID(INGRESOS[[#This Row],[CUENTA]],1,4)</f>
        <v/>
      </c>
      <c r="E41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6" s="34"/>
      <c r="G416" s="32"/>
      <c r="H416" s="95"/>
      <c r="I416" s="96"/>
      <c r="J416" s="94"/>
    </row>
    <row r="417" spans="1:10" x14ac:dyDescent="0.25">
      <c r="A417" s="31"/>
      <c r="B417" s="94"/>
      <c r="C417" s="32">
        <f>MONTH(INGRESOS[[#This Row],[FECHA]])</f>
        <v>1</v>
      </c>
      <c r="D417" s="33" t="str">
        <f>MID(INGRESOS[[#This Row],[CUENTA]],1,4)</f>
        <v/>
      </c>
      <c r="E41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7" s="34"/>
      <c r="G417" s="32"/>
      <c r="H417" s="95"/>
      <c r="I417" s="96"/>
      <c r="J417" s="94"/>
    </row>
    <row r="418" spans="1:10" x14ac:dyDescent="0.25">
      <c r="A418" s="31"/>
      <c r="B418" s="94"/>
      <c r="C418" s="32">
        <f>MONTH(INGRESOS[[#This Row],[FECHA]])</f>
        <v>1</v>
      </c>
      <c r="D418" s="33" t="str">
        <f>MID(INGRESOS[[#This Row],[CUENTA]],1,4)</f>
        <v/>
      </c>
      <c r="E41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8" s="34"/>
      <c r="G418" s="32"/>
      <c r="H418" s="95"/>
      <c r="I418" s="96"/>
      <c r="J418" s="94"/>
    </row>
    <row r="419" spans="1:10" x14ac:dyDescent="0.25">
      <c r="A419" s="31"/>
      <c r="B419" s="94"/>
      <c r="C419" s="32">
        <f>MONTH(INGRESOS[[#This Row],[FECHA]])</f>
        <v>1</v>
      </c>
      <c r="D419" s="33" t="str">
        <f>MID(INGRESOS[[#This Row],[CUENTA]],1,4)</f>
        <v/>
      </c>
      <c r="E41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19" s="34"/>
      <c r="G419" s="32"/>
      <c r="H419" s="95"/>
      <c r="I419" s="96"/>
      <c r="J419" s="94"/>
    </row>
    <row r="420" spans="1:10" x14ac:dyDescent="0.25">
      <c r="A420" s="31"/>
      <c r="B420" s="94"/>
      <c r="C420" s="32">
        <f>MONTH(INGRESOS[[#This Row],[FECHA]])</f>
        <v>1</v>
      </c>
      <c r="D420" s="33" t="str">
        <f>MID(INGRESOS[[#This Row],[CUENTA]],1,4)</f>
        <v/>
      </c>
      <c r="E42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0" s="34"/>
      <c r="G420" s="32"/>
      <c r="H420" s="95"/>
      <c r="I420" s="96"/>
      <c r="J420" s="94"/>
    </row>
    <row r="421" spans="1:10" x14ac:dyDescent="0.25">
      <c r="A421" s="31"/>
      <c r="B421" s="94"/>
      <c r="C421" s="32">
        <f>MONTH(INGRESOS[[#This Row],[FECHA]])</f>
        <v>1</v>
      </c>
      <c r="D421" s="33" t="str">
        <f>MID(INGRESOS[[#This Row],[CUENTA]],1,4)</f>
        <v/>
      </c>
      <c r="E42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1" s="34"/>
      <c r="G421" s="32"/>
      <c r="H421" s="95"/>
      <c r="I421" s="96"/>
      <c r="J421" s="94"/>
    </row>
    <row r="422" spans="1:10" x14ac:dyDescent="0.25">
      <c r="A422" s="31"/>
      <c r="B422" s="94"/>
      <c r="C422" s="32">
        <f>MONTH(INGRESOS[[#This Row],[FECHA]])</f>
        <v>1</v>
      </c>
      <c r="D422" s="33" t="str">
        <f>MID(INGRESOS[[#This Row],[CUENTA]],1,4)</f>
        <v/>
      </c>
      <c r="E42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2" s="34"/>
      <c r="G422" s="32"/>
      <c r="H422" s="95"/>
      <c r="I422" s="96"/>
      <c r="J422" s="94"/>
    </row>
    <row r="423" spans="1:10" x14ac:dyDescent="0.25">
      <c r="A423" s="31"/>
      <c r="B423" s="94"/>
      <c r="C423" s="32">
        <f>MONTH(INGRESOS[[#This Row],[FECHA]])</f>
        <v>1</v>
      </c>
      <c r="D423" s="33" t="str">
        <f>MID(INGRESOS[[#This Row],[CUENTA]],1,4)</f>
        <v/>
      </c>
      <c r="E42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3" s="34"/>
      <c r="G423" s="32"/>
      <c r="H423" s="95"/>
      <c r="I423" s="96"/>
      <c r="J423" s="94"/>
    </row>
    <row r="424" spans="1:10" x14ac:dyDescent="0.25">
      <c r="A424" s="31"/>
      <c r="B424" s="94"/>
      <c r="C424" s="32">
        <f>MONTH(INGRESOS[[#This Row],[FECHA]])</f>
        <v>1</v>
      </c>
      <c r="D424" s="33" t="str">
        <f>MID(INGRESOS[[#This Row],[CUENTA]],1,4)</f>
        <v/>
      </c>
      <c r="E42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4" s="34"/>
      <c r="G424" s="32"/>
      <c r="H424" s="95"/>
      <c r="I424" s="96"/>
      <c r="J424" s="94"/>
    </row>
    <row r="425" spans="1:10" x14ac:dyDescent="0.25">
      <c r="A425" s="31"/>
      <c r="B425" s="94"/>
      <c r="C425" s="32">
        <f>MONTH(INGRESOS[[#This Row],[FECHA]])</f>
        <v>1</v>
      </c>
      <c r="D425" s="33" t="str">
        <f>MID(INGRESOS[[#This Row],[CUENTA]],1,4)</f>
        <v/>
      </c>
      <c r="E42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5" s="34"/>
      <c r="G425" s="32"/>
      <c r="H425" s="95"/>
      <c r="I425" s="96"/>
      <c r="J425" s="94"/>
    </row>
    <row r="426" spans="1:10" x14ac:dyDescent="0.25">
      <c r="A426" s="31"/>
      <c r="B426" s="94"/>
      <c r="C426" s="32">
        <f>MONTH(INGRESOS[[#This Row],[FECHA]])</f>
        <v>1</v>
      </c>
      <c r="D426" s="33" t="str">
        <f>MID(INGRESOS[[#This Row],[CUENTA]],1,4)</f>
        <v/>
      </c>
      <c r="E42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6" s="34"/>
      <c r="G426" s="32"/>
      <c r="H426" s="95"/>
      <c r="I426" s="96"/>
      <c r="J426" s="94"/>
    </row>
    <row r="427" spans="1:10" x14ac:dyDescent="0.25">
      <c r="A427" s="31"/>
      <c r="B427" s="94"/>
      <c r="C427" s="32">
        <f>MONTH(INGRESOS[[#This Row],[FECHA]])</f>
        <v>1</v>
      </c>
      <c r="D427" s="33" t="str">
        <f>MID(INGRESOS[[#This Row],[CUENTA]],1,4)</f>
        <v/>
      </c>
      <c r="E42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7" s="34"/>
      <c r="G427" s="32"/>
      <c r="H427" s="95"/>
      <c r="I427" s="96"/>
      <c r="J427" s="94"/>
    </row>
    <row r="428" spans="1:10" x14ac:dyDescent="0.25">
      <c r="A428" s="31"/>
      <c r="B428" s="94"/>
      <c r="C428" s="32">
        <f>MONTH(INGRESOS[[#This Row],[FECHA]])</f>
        <v>1</v>
      </c>
      <c r="D428" s="33" t="str">
        <f>MID(INGRESOS[[#This Row],[CUENTA]],1,4)</f>
        <v/>
      </c>
      <c r="E42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8" s="34"/>
      <c r="G428" s="32"/>
      <c r="H428" s="95"/>
      <c r="I428" s="96"/>
      <c r="J428" s="94"/>
    </row>
    <row r="429" spans="1:10" x14ac:dyDescent="0.25">
      <c r="A429" s="31"/>
      <c r="B429" s="94"/>
      <c r="C429" s="32">
        <f>MONTH(INGRESOS[[#This Row],[FECHA]])</f>
        <v>1</v>
      </c>
      <c r="D429" s="33" t="str">
        <f>MID(INGRESOS[[#This Row],[CUENTA]],1,4)</f>
        <v/>
      </c>
      <c r="E42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29" s="34"/>
      <c r="G429" s="32"/>
      <c r="H429" s="95"/>
      <c r="I429" s="96"/>
      <c r="J429" s="94"/>
    </row>
    <row r="430" spans="1:10" x14ac:dyDescent="0.25">
      <c r="A430" s="31"/>
      <c r="B430" s="94"/>
      <c r="C430" s="32">
        <f>MONTH(INGRESOS[[#This Row],[FECHA]])</f>
        <v>1</v>
      </c>
      <c r="D430" s="33" t="str">
        <f>MID(INGRESOS[[#This Row],[CUENTA]],1,4)</f>
        <v/>
      </c>
      <c r="E43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0" s="34"/>
      <c r="G430" s="32"/>
      <c r="H430" s="95"/>
      <c r="I430" s="96"/>
      <c r="J430" s="94"/>
    </row>
    <row r="431" spans="1:10" x14ac:dyDescent="0.25">
      <c r="A431" s="31"/>
      <c r="B431" s="94"/>
      <c r="C431" s="32">
        <f>MONTH(INGRESOS[[#This Row],[FECHA]])</f>
        <v>1</v>
      </c>
      <c r="D431" s="33" t="str">
        <f>MID(INGRESOS[[#This Row],[CUENTA]],1,4)</f>
        <v/>
      </c>
      <c r="E43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1" s="34"/>
      <c r="G431" s="32"/>
      <c r="H431" s="95"/>
      <c r="I431" s="96"/>
      <c r="J431" s="94"/>
    </row>
    <row r="432" spans="1:10" x14ac:dyDescent="0.25">
      <c r="A432" s="31"/>
      <c r="B432" s="94"/>
      <c r="C432" s="32">
        <f>MONTH(INGRESOS[[#This Row],[FECHA]])</f>
        <v>1</v>
      </c>
      <c r="D432" s="33" t="str">
        <f>MID(INGRESOS[[#This Row],[CUENTA]],1,4)</f>
        <v/>
      </c>
      <c r="E43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2" s="34"/>
      <c r="G432" s="32"/>
      <c r="H432" s="95"/>
      <c r="I432" s="96"/>
      <c r="J432" s="94"/>
    </row>
    <row r="433" spans="1:10" x14ac:dyDescent="0.25">
      <c r="A433" s="31"/>
      <c r="B433" s="94"/>
      <c r="C433" s="32">
        <f>MONTH(INGRESOS[[#This Row],[FECHA]])</f>
        <v>1</v>
      </c>
      <c r="D433" s="33" t="str">
        <f>MID(INGRESOS[[#This Row],[CUENTA]],1,4)</f>
        <v/>
      </c>
      <c r="E43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3" s="34"/>
      <c r="G433" s="32"/>
      <c r="H433" s="95"/>
      <c r="I433" s="96"/>
      <c r="J433" s="94"/>
    </row>
    <row r="434" spans="1:10" x14ac:dyDescent="0.25">
      <c r="A434" s="31"/>
      <c r="B434" s="94"/>
      <c r="C434" s="32">
        <f>MONTH(INGRESOS[[#This Row],[FECHA]])</f>
        <v>1</v>
      </c>
      <c r="D434" s="33" t="str">
        <f>MID(INGRESOS[[#This Row],[CUENTA]],1,4)</f>
        <v/>
      </c>
      <c r="E43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4" s="34"/>
      <c r="G434" s="32"/>
      <c r="H434" s="95"/>
      <c r="I434" s="96"/>
      <c r="J434" s="94"/>
    </row>
    <row r="435" spans="1:10" x14ac:dyDescent="0.25">
      <c r="A435" s="31"/>
      <c r="B435" s="97"/>
      <c r="C435" s="32">
        <f>MONTH(INGRESOS[[#This Row],[FECHA]])</f>
        <v>1</v>
      </c>
      <c r="D435" s="33" t="str">
        <f>MID(INGRESOS[[#This Row],[CUENTA]],1,4)</f>
        <v/>
      </c>
      <c r="E43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5" s="34"/>
      <c r="G435" s="32"/>
      <c r="H435" s="95"/>
      <c r="I435" s="96"/>
      <c r="J435" s="94"/>
    </row>
    <row r="436" spans="1:10" x14ac:dyDescent="0.25">
      <c r="A436" s="31"/>
      <c r="B436" s="94"/>
      <c r="C436" s="32">
        <f>MONTH(INGRESOS[[#This Row],[FECHA]])</f>
        <v>1</v>
      </c>
      <c r="D436" s="33" t="str">
        <f>MID(INGRESOS[[#This Row],[CUENTA]],1,4)</f>
        <v/>
      </c>
      <c r="E43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6" s="34"/>
      <c r="G436" s="32"/>
      <c r="H436" s="95"/>
      <c r="I436" s="96"/>
      <c r="J436" s="94"/>
    </row>
    <row r="437" spans="1:10" x14ac:dyDescent="0.25">
      <c r="A437" s="31"/>
      <c r="B437" s="94"/>
      <c r="C437" s="32">
        <f>MONTH(INGRESOS[[#This Row],[FECHA]])</f>
        <v>1</v>
      </c>
      <c r="D437" s="33" t="str">
        <f>MID(INGRESOS[[#This Row],[CUENTA]],1,4)</f>
        <v/>
      </c>
      <c r="E43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7" s="34"/>
      <c r="G437" s="32"/>
      <c r="H437" s="95"/>
      <c r="I437" s="96"/>
      <c r="J437" s="94"/>
    </row>
    <row r="438" spans="1:10" x14ac:dyDescent="0.25">
      <c r="A438" s="31"/>
      <c r="B438" s="94"/>
      <c r="C438" s="32">
        <f>MONTH(INGRESOS[[#This Row],[FECHA]])</f>
        <v>1</v>
      </c>
      <c r="D438" s="33" t="str">
        <f>MID(INGRESOS[[#This Row],[CUENTA]],1,4)</f>
        <v/>
      </c>
      <c r="E43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8" s="34"/>
      <c r="G438" s="32"/>
      <c r="H438" s="95"/>
      <c r="I438" s="96"/>
      <c r="J438" s="94"/>
    </row>
    <row r="439" spans="1:10" x14ac:dyDescent="0.25">
      <c r="A439" s="31"/>
      <c r="B439" s="94"/>
      <c r="C439" s="32">
        <f>MONTH(INGRESOS[[#This Row],[FECHA]])</f>
        <v>1</v>
      </c>
      <c r="D439" s="33" t="str">
        <f>MID(INGRESOS[[#This Row],[CUENTA]],1,4)</f>
        <v/>
      </c>
      <c r="E43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39" s="34"/>
      <c r="G439" s="32"/>
      <c r="H439" s="95"/>
      <c r="I439" s="96"/>
      <c r="J439" s="94"/>
    </row>
    <row r="440" spans="1:10" x14ac:dyDescent="0.25">
      <c r="A440" s="31"/>
      <c r="B440" s="94"/>
      <c r="C440" s="32">
        <f>MONTH(INGRESOS[[#This Row],[FECHA]])</f>
        <v>1</v>
      </c>
      <c r="D440" s="33" t="str">
        <f>MID(INGRESOS[[#This Row],[CUENTA]],1,4)</f>
        <v/>
      </c>
      <c r="E44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0" s="34"/>
      <c r="G440" s="32"/>
      <c r="H440" s="95"/>
      <c r="I440" s="96"/>
      <c r="J440" s="94"/>
    </row>
    <row r="441" spans="1:10" x14ac:dyDescent="0.25">
      <c r="A441" s="31"/>
      <c r="B441" s="94"/>
      <c r="C441" s="32">
        <f>MONTH(INGRESOS[[#This Row],[FECHA]])</f>
        <v>1</v>
      </c>
      <c r="D441" s="33" t="str">
        <f>MID(INGRESOS[[#This Row],[CUENTA]],1,4)</f>
        <v/>
      </c>
      <c r="E44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1" s="34"/>
      <c r="G441" s="32"/>
      <c r="H441" s="95"/>
      <c r="I441" s="96"/>
      <c r="J441" s="94"/>
    </row>
    <row r="442" spans="1:10" x14ac:dyDescent="0.25">
      <c r="A442" s="31"/>
      <c r="B442" s="94"/>
      <c r="C442" s="32">
        <f>MONTH(INGRESOS[[#This Row],[FECHA]])</f>
        <v>1</v>
      </c>
      <c r="D442" s="33" t="str">
        <f>MID(INGRESOS[[#This Row],[CUENTA]],1,4)</f>
        <v/>
      </c>
      <c r="E44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2" s="34"/>
      <c r="G442" s="32"/>
      <c r="H442" s="95"/>
      <c r="I442" s="96"/>
      <c r="J442" s="94"/>
    </row>
    <row r="443" spans="1:10" x14ac:dyDescent="0.25">
      <c r="A443" s="31"/>
      <c r="B443" s="94"/>
      <c r="C443" s="32">
        <f>MONTH(INGRESOS[[#This Row],[FECHA]])</f>
        <v>1</v>
      </c>
      <c r="D443" s="33" t="str">
        <f>MID(INGRESOS[[#This Row],[CUENTA]],1,4)</f>
        <v/>
      </c>
      <c r="E44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3" s="34"/>
      <c r="G443" s="32"/>
      <c r="H443" s="95"/>
      <c r="I443" s="96"/>
      <c r="J443" s="94"/>
    </row>
    <row r="444" spans="1:10" x14ac:dyDescent="0.25">
      <c r="A444" s="31"/>
      <c r="B444" s="94"/>
      <c r="C444" s="32">
        <f>MONTH(INGRESOS[[#This Row],[FECHA]])</f>
        <v>1</v>
      </c>
      <c r="D444" s="33" t="str">
        <f>MID(INGRESOS[[#This Row],[CUENTA]],1,4)</f>
        <v/>
      </c>
      <c r="E44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4" s="34"/>
      <c r="G444" s="32"/>
      <c r="H444" s="95"/>
      <c r="I444" s="96"/>
      <c r="J444" s="94"/>
    </row>
    <row r="445" spans="1:10" x14ac:dyDescent="0.25">
      <c r="A445" s="31"/>
      <c r="B445" s="94"/>
      <c r="C445" s="32">
        <f>MONTH(INGRESOS[[#This Row],[FECHA]])</f>
        <v>1</v>
      </c>
      <c r="D445" s="33" t="str">
        <f>MID(INGRESOS[[#This Row],[CUENTA]],1,4)</f>
        <v/>
      </c>
      <c r="E44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5" s="34"/>
      <c r="G445" s="32"/>
      <c r="H445" s="95"/>
      <c r="I445" s="96"/>
      <c r="J445" s="94"/>
    </row>
    <row r="446" spans="1:10" x14ac:dyDescent="0.25">
      <c r="A446" s="31"/>
      <c r="B446" s="94"/>
      <c r="C446" s="32">
        <f>MONTH(INGRESOS[[#This Row],[FECHA]])</f>
        <v>1</v>
      </c>
      <c r="D446" s="33" t="str">
        <f>MID(INGRESOS[[#This Row],[CUENTA]],1,4)</f>
        <v/>
      </c>
      <c r="E44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6" s="34"/>
      <c r="G446" s="32"/>
      <c r="H446" s="95"/>
      <c r="I446" s="96"/>
      <c r="J446" s="94"/>
    </row>
    <row r="447" spans="1:10" x14ac:dyDescent="0.25">
      <c r="A447" s="31"/>
      <c r="B447" s="94"/>
      <c r="C447" s="32">
        <f>MONTH(INGRESOS[[#This Row],[FECHA]])</f>
        <v>1</v>
      </c>
      <c r="D447" s="33" t="str">
        <f>MID(INGRESOS[[#This Row],[CUENTA]],1,4)</f>
        <v/>
      </c>
      <c r="E44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7" s="34"/>
      <c r="G447" s="32"/>
      <c r="H447" s="95"/>
      <c r="I447" s="96"/>
      <c r="J447" s="94"/>
    </row>
    <row r="448" spans="1:10" x14ac:dyDescent="0.25">
      <c r="A448" s="31"/>
      <c r="B448" s="94"/>
      <c r="C448" s="32">
        <f>MONTH(INGRESOS[[#This Row],[FECHA]])</f>
        <v>1</v>
      </c>
      <c r="D448" s="33" t="str">
        <f>MID(INGRESOS[[#This Row],[CUENTA]],1,4)</f>
        <v/>
      </c>
      <c r="E44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8" s="34"/>
      <c r="G448" s="32"/>
      <c r="H448" s="95"/>
      <c r="I448" s="96"/>
      <c r="J448" s="94"/>
    </row>
    <row r="449" spans="1:10" x14ac:dyDescent="0.25">
      <c r="A449" s="31"/>
      <c r="B449" s="94"/>
      <c r="C449" s="32">
        <f>MONTH(INGRESOS[[#This Row],[FECHA]])</f>
        <v>1</v>
      </c>
      <c r="D449" s="33" t="str">
        <f>MID(INGRESOS[[#This Row],[CUENTA]],1,4)</f>
        <v/>
      </c>
      <c r="E44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49" s="34"/>
      <c r="G449" s="32"/>
      <c r="H449" s="95"/>
      <c r="I449" s="96"/>
      <c r="J449" s="94"/>
    </row>
    <row r="450" spans="1:10" x14ac:dyDescent="0.25">
      <c r="A450" s="31"/>
      <c r="B450" s="94"/>
      <c r="C450" s="32">
        <f>MONTH(INGRESOS[[#This Row],[FECHA]])</f>
        <v>1</v>
      </c>
      <c r="D450" s="33" t="str">
        <f>MID(INGRESOS[[#This Row],[CUENTA]],1,4)</f>
        <v/>
      </c>
      <c r="E45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0" s="34"/>
      <c r="G450" s="32"/>
      <c r="H450" s="95"/>
      <c r="I450" s="96"/>
      <c r="J450" s="94"/>
    </row>
    <row r="451" spans="1:10" x14ac:dyDescent="0.25">
      <c r="A451" s="31"/>
      <c r="B451" s="94"/>
      <c r="C451" s="32">
        <f>MONTH(INGRESOS[[#This Row],[FECHA]])</f>
        <v>1</v>
      </c>
      <c r="D451" s="33" t="str">
        <f>MID(INGRESOS[[#This Row],[CUENTA]],1,4)</f>
        <v/>
      </c>
      <c r="E45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1" s="34"/>
      <c r="G451" s="32"/>
      <c r="H451" s="95"/>
      <c r="I451" s="96"/>
      <c r="J451" s="94"/>
    </row>
    <row r="452" spans="1:10" x14ac:dyDescent="0.25">
      <c r="A452" s="31"/>
      <c r="B452" s="94"/>
      <c r="C452" s="32">
        <f>MONTH(INGRESOS[[#This Row],[FECHA]])</f>
        <v>1</v>
      </c>
      <c r="D452" s="33" t="str">
        <f>MID(INGRESOS[[#This Row],[CUENTA]],1,4)</f>
        <v/>
      </c>
      <c r="E45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2" s="34"/>
      <c r="G452" s="32"/>
      <c r="H452" s="95"/>
      <c r="I452" s="96"/>
      <c r="J452" s="94"/>
    </row>
    <row r="453" spans="1:10" x14ac:dyDescent="0.25">
      <c r="A453" s="31"/>
      <c r="B453" s="94"/>
      <c r="C453" s="32">
        <f>MONTH(INGRESOS[[#This Row],[FECHA]])</f>
        <v>1</v>
      </c>
      <c r="D453" s="33" t="str">
        <f>MID(INGRESOS[[#This Row],[CUENTA]],1,4)</f>
        <v/>
      </c>
      <c r="E45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3" s="34"/>
      <c r="G453" s="32"/>
      <c r="H453" s="95"/>
      <c r="I453" s="96"/>
      <c r="J453" s="94"/>
    </row>
    <row r="454" spans="1:10" x14ac:dyDescent="0.25">
      <c r="A454" s="31"/>
      <c r="B454" s="94"/>
      <c r="C454" s="32">
        <f>MONTH(INGRESOS[[#This Row],[FECHA]])</f>
        <v>1</v>
      </c>
      <c r="D454" s="33" t="str">
        <f>MID(INGRESOS[[#This Row],[CUENTA]],1,4)</f>
        <v/>
      </c>
      <c r="E45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4" s="34"/>
      <c r="G454" s="32"/>
      <c r="H454" s="95"/>
      <c r="I454" s="96"/>
      <c r="J454" s="94"/>
    </row>
    <row r="455" spans="1:10" x14ac:dyDescent="0.25">
      <c r="A455" s="31"/>
      <c r="B455" s="94"/>
      <c r="C455" s="32">
        <f>MONTH(INGRESOS[[#This Row],[FECHA]])</f>
        <v>1</v>
      </c>
      <c r="D455" s="33" t="str">
        <f>MID(INGRESOS[[#This Row],[CUENTA]],1,4)</f>
        <v/>
      </c>
      <c r="E45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5" s="34"/>
      <c r="G455" s="32"/>
      <c r="H455" s="95"/>
      <c r="I455" s="96"/>
      <c r="J455" s="94"/>
    </row>
    <row r="456" spans="1:10" x14ac:dyDescent="0.25">
      <c r="A456" s="31"/>
      <c r="B456" s="94"/>
      <c r="C456" s="32">
        <f>MONTH(INGRESOS[[#This Row],[FECHA]])</f>
        <v>1</v>
      </c>
      <c r="D456" s="33" t="str">
        <f>MID(INGRESOS[[#This Row],[CUENTA]],1,4)</f>
        <v/>
      </c>
      <c r="E45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6" s="34"/>
      <c r="G456" s="32"/>
      <c r="H456" s="95"/>
      <c r="I456" s="96"/>
      <c r="J456" s="94"/>
    </row>
    <row r="457" spans="1:10" x14ac:dyDescent="0.25">
      <c r="A457" s="31"/>
      <c r="B457" s="94"/>
      <c r="C457" s="32">
        <f>MONTH(INGRESOS[[#This Row],[FECHA]])</f>
        <v>1</v>
      </c>
      <c r="D457" s="33" t="str">
        <f>MID(INGRESOS[[#This Row],[CUENTA]],1,4)</f>
        <v/>
      </c>
      <c r="E45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7" s="34"/>
      <c r="G457" s="32"/>
      <c r="H457" s="95"/>
      <c r="I457" s="96"/>
      <c r="J457" s="94"/>
    </row>
    <row r="458" spans="1:10" x14ac:dyDescent="0.25">
      <c r="A458" s="31"/>
      <c r="B458" s="94"/>
      <c r="C458" s="32">
        <f>MONTH(INGRESOS[[#This Row],[FECHA]])</f>
        <v>1</v>
      </c>
      <c r="D458" s="33" t="str">
        <f>MID(INGRESOS[[#This Row],[CUENTA]],1,4)</f>
        <v/>
      </c>
      <c r="E45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8" s="34"/>
      <c r="G458" s="32"/>
      <c r="H458" s="95"/>
      <c r="I458" s="96"/>
      <c r="J458" s="94"/>
    </row>
    <row r="459" spans="1:10" x14ac:dyDescent="0.25">
      <c r="A459" s="31"/>
      <c r="B459" s="94"/>
      <c r="C459" s="32">
        <f>MONTH(INGRESOS[[#This Row],[FECHA]])</f>
        <v>1</v>
      </c>
      <c r="D459" s="33" t="str">
        <f>MID(INGRESOS[[#This Row],[CUENTA]],1,4)</f>
        <v/>
      </c>
      <c r="E45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59" s="34"/>
      <c r="G459" s="32"/>
      <c r="H459" s="95"/>
      <c r="I459" s="96"/>
      <c r="J459" s="94"/>
    </row>
    <row r="460" spans="1:10" x14ac:dyDescent="0.25">
      <c r="A460" s="31"/>
      <c r="B460" s="94"/>
      <c r="C460" s="32">
        <f>MONTH(INGRESOS[[#This Row],[FECHA]])</f>
        <v>1</v>
      </c>
      <c r="D460" s="33" t="str">
        <f>MID(INGRESOS[[#This Row],[CUENTA]],1,4)</f>
        <v/>
      </c>
      <c r="E46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0" s="34"/>
      <c r="G460" s="32"/>
      <c r="H460" s="95"/>
      <c r="I460" s="96"/>
      <c r="J460" s="94"/>
    </row>
    <row r="461" spans="1:10" x14ac:dyDescent="0.25">
      <c r="A461" s="31"/>
      <c r="B461" s="94"/>
      <c r="C461" s="32">
        <f>MONTH(INGRESOS[[#This Row],[FECHA]])</f>
        <v>1</v>
      </c>
      <c r="D461" s="33" t="str">
        <f>MID(INGRESOS[[#This Row],[CUENTA]],1,4)</f>
        <v/>
      </c>
      <c r="E46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1" s="34"/>
      <c r="G461" s="32"/>
      <c r="H461" s="95"/>
      <c r="I461" s="96"/>
      <c r="J461" s="94"/>
    </row>
    <row r="462" spans="1:10" x14ac:dyDescent="0.25">
      <c r="A462" s="31"/>
      <c r="B462" s="94"/>
      <c r="C462" s="32">
        <f>MONTH(INGRESOS[[#This Row],[FECHA]])</f>
        <v>1</v>
      </c>
      <c r="D462" s="33" t="str">
        <f>MID(INGRESOS[[#This Row],[CUENTA]],1,4)</f>
        <v/>
      </c>
      <c r="E46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2" s="34"/>
      <c r="G462" s="32"/>
      <c r="H462" s="95"/>
      <c r="I462" s="96"/>
      <c r="J462" s="94"/>
    </row>
    <row r="463" spans="1:10" x14ac:dyDescent="0.25">
      <c r="A463" s="31"/>
      <c r="B463" s="94"/>
      <c r="C463" s="32">
        <f>MONTH(INGRESOS[[#This Row],[FECHA]])</f>
        <v>1</v>
      </c>
      <c r="D463" s="33" t="str">
        <f>MID(INGRESOS[[#This Row],[CUENTA]],1,4)</f>
        <v/>
      </c>
      <c r="E46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3" s="34"/>
      <c r="G463" s="32"/>
      <c r="H463" s="95"/>
      <c r="I463" s="96"/>
      <c r="J463" s="94"/>
    </row>
    <row r="464" spans="1:10" x14ac:dyDescent="0.25">
      <c r="A464" s="31"/>
      <c r="B464" s="94"/>
      <c r="C464" s="32">
        <f>MONTH(INGRESOS[[#This Row],[FECHA]])</f>
        <v>1</v>
      </c>
      <c r="D464" s="33" t="str">
        <f>MID(INGRESOS[[#This Row],[CUENTA]],1,4)</f>
        <v/>
      </c>
      <c r="E46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4" s="34"/>
      <c r="G464" s="32"/>
      <c r="H464" s="95"/>
      <c r="I464" s="96"/>
      <c r="J464" s="94"/>
    </row>
    <row r="465" spans="1:10" x14ac:dyDescent="0.25">
      <c r="A465" s="31"/>
      <c r="B465" s="94"/>
      <c r="C465" s="32">
        <f>MONTH(INGRESOS[[#This Row],[FECHA]])</f>
        <v>1</v>
      </c>
      <c r="D465" s="33" t="str">
        <f>MID(INGRESOS[[#This Row],[CUENTA]],1,4)</f>
        <v/>
      </c>
      <c r="E46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5" s="34"/>
      <c r="G465" s="32"/>
      <c r="H465" s="95"/>
      <c r="I465" s="96"/>
      <c r="J465" s="94"/>
    </row>
    <row r="466" spans="1:10" x14ac:dyDescent="0.25">
      <c r="A466" s="31"/>
      <c r="B466" s="94"/>
      <c r="C466" s="32">
        <f>MONTH(INGRESOS[[#This Row],[FECHA]])</f>
        <v>1</v>
      </c>
      <c r="D466" s="33" t="str">
        <f>MID(INGRESOS[[#This Row],[CUENTA]],1,4)</f>
        <v/>
      </c>
      <c r="E466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6" s="34"/>
      <c r="G466" s="32"/>
      <c r="H466" s="95"/>
      <c r="I466" s="96"/>
      <c r="J466" s="94"/>
    </row>
    <row r="467" spans="1:10" x14ac:dyDescent="0.25">
      <c r="A467" s="31"/>
      <c r="B467" s="94"/>
      <c r="C467" s="32">
        <f>MONTH(INGRESOS[[#This Row],[FECHA]])</f>
        <v>1</v>
      </c>
      <c r="D467" s="33" t="str">
        <f>MID(INGRESOS[[#This Row],[CUENTA]],1,4)</f>
        <v/>
      </c>
      <c r="E467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7" s="34"/>
      <c r="G467" s="32"/>
      <c r="H467" s="95"/>
      <c r="I467" s="96"/>
      <c r="J467" s="94"/>
    </row>
    <row r="468" spans="1:10" x14ac:dyDescent="0.25">
      <c r="A468" s="31"/>
      <c r="B468" s="94"/>
      <c r="C468" s="32">
        <f>MONTH(INGRESOS[[#This Row],[FECHA]])</f>
        <v>1</v>
      </c>
      <c r="D468" s="33" t="str">
        <f>MID(INGRESOS[[#This Row],[CUENTA]],1,4)</f>
        <v/>
      </c>
      <c r="E468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8" s="34"/>
      <c r="G468" s="32"/>
      <c r="H468" s="95"/>
      <c r="I468" s="96"/>
      <c r="J468" s="94"/>
    </row>
    <row r="469" spans="1:10" x14ac:dyDescent="0.25">
      <c r="A469" s="31"/>
      <c r="B469" s="94"/>
      <c r="C469" s="32">
        <f>MONTH(INGRESOS[[#This Row],[FECHA]])</f>
        <v>1</v>
      </c>
      <c r="D469" s="33" t="str">
        <f>MID(INGRESOS[[#This Row],[CUENTA]],1,4)</f>
        <v/>
      </c>
      <c r="E469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69" s="34"/>
      <c r="G469" s="32"/>
      <c r="H469" s="95"/>
      <c r="I469" s="96"/>
      <c r="J469" s="94"/>
    </row>
    <row r="470" spans="1:10" x14ac:dyDescent="0.25">
      <c r="A470" s="31"/>
      <c r="B470" s="94"/>
      <c r="C470" s="32">
        <f>MONTH(INGRESOS[[#This Row],[FECHA]])</f>
        <v>1</v>
      </c>
      <c r="D470" s="33" t="str">
        <f>MID(INGRESOS[[#This Row],[CUENTA]],1,4)</f>
        <v/>
      </c>
      <c r="E470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0" s="34"/>
      <c r="G470" s="32"/>
      <c r="H470" s="95"/>
      <c r="I470" s="96"/>
      <c r="J470" s="94"/>
    </row>
    <row r="471" spans="1:10" x14ac:dyDescent="0.25">
      <c r="A471" s="31"/>
      <c r="B471" s="94"/>
      <c r="C471" s="32">
        <f>MONTH(INGRESOS[[#This Row],[FECHA]])</f>
        <v>1</v>
      </c>
      <c r="D471" s="33" t="str">
        <f>MID(INGRESOS[[#This Row],[CUENTA]],1,4)</f>
        <v/>
      </c>
      <c r="E471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1" s="34"/>
      <c r="G471" s="32"/>
      <c r="H471" s="95"/>
      <c r="I471" s="96"/>
      <c r="J471" s="94"/>
    </row>
    <row r="472" spans="1:10" x14ac:dyDescent="0.25">
      <c r="A472" s="31"/>
      <c r="B472" s="94"/>
      <c r="C472" s="32">
        <f>MONTH(INGRESOS[[#This Row],[FECHA]])</f>
        <v>1</v>
      </c>
      <c r="D472" s="33" t="str">
        <f>MID(INGRESOS[[#This Row],[CUENTA]],1,4)</f>
        <v/>
      </c>
      <c r="E472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2" s="34"/>
      <c r="G472" s="32"/>
      <c r="H472" s="95"/>
      <c r="I472" s="96"/>
      <c r="J472" s="94"/>
    </row>
    <row r="473" spans="1:10" x14ac:dyDescent="0.25">
      <c r="A473" s="31"/>
      <c r="B473" s="94"/>
      <c r="C473" s="32">
        <f>MONTH(INGRESOS[[#This Row],[FECHA]])</f>
        <v>1</v>
      </c>
      <c r="D473" s="33" t="str">
        <f>MID(INGRESOS[[#This Row],[CUENTA]],1,4)</f>
        <v/>
      </c>
      <c r="E473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3" s="34"/>
      <c r="G473" s="32"/>
      <c r="H473" s="95"/>
      <c r="I473" s="96"/>
      <c r="J473" s="94"/>
    </row>
    <row r="474" spans="1:10" x14ac:dyDescent="0.25">
      <c r="A474" s="31"/>
      <c r="B474" s="94"/>
      <c r="C474" s="32">
        <f>MONTH(INGRESOS[[#This Row],[FECHA]])</f>
        <v>1</v>
      </c>
      <c r="D474" s="33" t="str">
        <f>MID(INGRESOS[[#This Row],[CUENTA]],1,4)</f>
        <v/>
      </c>
      <c r="E474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4" s="34"/>
      <c r="G474" s="32"/>
      <c r="H474" s="95"/>
      <c r="I474" s="96"/>
      <c r="J474" s="94"/>
    </row>
    <row r="475" spans="1:10" x14ac:dyDescent="0.25">
      <c r="A475" s="31"/>
      <c r="B475" s="94"/>
      <c r="C475" s="32">
        <f>MONTH(INGRESOS[[#This Row],[FECHA]])</f>
        <v>1</v>
      </c>
      <c r="D475" s="33" t="str">
        <f>MID(INGRESOS[[#This Row],[CUENTA]],1,4)</f>
        <v/>
      </c>
      <c r="E475" s="32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5" s="34"/>
      <c r="G475" s="32"/>
      <c r="H475" s="95"/>
      <c r="I475" s="96"/>
      <c r="J475" s="94"/>
    </row>
    <row r="476" spans="1:10" x14ac:dyDescent="0.25">
      <c r="A476" s="98"/>
      <c r="B476" s="99"/>
      <c r="C476" s="99"/>
      <c r="D476" s="98"/>
      <c r="E476" s="99"/>
      <c r="F476" s="99"/>
      <c r="G476" s="99"/>
      <c r="H476" s="100"/>
      <c r="I476" s="101"/>
      <c r="J476" s="99"/>
    </row>
    <row r="477" spans="1:10" x14ac:dyDescent="0.25">
      <c r="A477" s="102"/>
      <c r="B477" s="103"/>
      <c r="C477" s="99"/>
      <c r="D477" s="98"/>
      <c r="E477" s="99"/>
      <c r="F477" s="103"/>
      <c r="G477" s="99"/>
      <c r="H477" s="104"/>
      <c r="I477" s="101"/>
      <c r="J477" s="103"/>
    </row>
    <row r="478" spans="1:10" x14ac:dyDescent="0.25">
      <c r="A478" s="102"/>
      <c r="B478" s="103"/>
      <c r="C478" s="99">
        <f>MONTH(INGRESOS[[#This Row],[FECHA]])</f>
        <v>1</v>
      </c>
      <c r="D478" s="98" t="str">
        <f>MID(INGRESOS[[#This Row],[CUENTA]],1,4)</f>
        <v/>
      </c>
      <c r="E47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8" s="103"/>
      <c r="G478" s="99"/>
      <c r="H478" s="104"/>
      <c r="I478" s="101"/>
      <c r="J478" s="103"/>
    </row>
    <row r="479" spans="1:10" x14ac:dyDescent="0.25">
      <c r="A479" s="102"/>
      <c r="B479" s="99"/>
      <c r="C479" s="99">
        <f>MONTH(INGRESOS[[#This Row],[FECHA]])</f>
        <v>1</v>
      </c>
      <c r="D479" s="98" t="str">
        <f>MID(INGRESOS[[#This Row],[CUENTA]],1,4)</f>
        <v/>
      </c>
      <c r="E47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79" s="103"/>
      <c r="G479" s="99"/>
      <c r="H479" s="100"/>
      <c r="I479" s="101"/>
      <c r="J479" s="99"/>
    </row>
    <row r="480" spans="1:10" x14ac:dyDescent="0.25">
      <c r="A480" s="98"/>
      <c r="B480" s="99"/>
      <c r="C480" s="99">
        <f>MONTH(INGRESOS[[#This Row],[FECHA]])</f>
        <v>1</v>
      </c>
      <c r="D480" s="98" t="str">
        <f>MID(INGRESOS[[#This Row],[CUENTA]],1,4)</f>
        <v/>
      </c>
      <c r="E48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0" s="99"/>
      <c r="G480" s="99"/>
      <c r="H480" s="100"/>
      <c r="I480" s="101"/>
      <c r="J480" s="99"/>
    </row>
    <row r="481" spans="1:10" x14ac:dyDescent="0.25">
      <c r="A481" s="102"/>
      <c r="B481" s="99"/>
      <c r="C481" s="99">
        <f>MONTH(INGRESOS[[#This Row],[FECHA]])</f>
        <v>1</v>
      </c>
      <c r="D481" s="98" t="str">
        <f>MID(INGRESOS[[#This Row],[CUENTA]],1,4)</f>
        <v/>
      </c>
      <c r="E48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1" s="103"/>
      <c r="G481" s="99"/>
      <c r="H481" s="100"/>
      <c r="I481" s="101"/>
      <c r="J481" s="103"/>
    </row>
    <row r="482" spans="1:10" x14ac:dyDescent="0.25">
      <c r="A482" s="102"/>
      <c r="B482" s="99"/>
      <c r="C482" s="99">
        <f>MONTH(INGRESOS[[#This Row],[FECHA]])</f>
        <v>1</v>
      </c>
      <c r="D482" s="98" t="str">
        <f>MID(INGRESOS[[#This Row],[CUENTA]],1,4)</f>
        <v/>
      </c>
      <c r="E48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2" s="103"/>
      <c r="G482" s="103"/>
      <c r="H482" s="104"/>
      <c r="I482" s="105"/>
      <c r="J482" s="103"/>
    </row>
    <row r="483" spans="1:10" x14ac:dyDescent="0.25">
      <c r="A483" s="102"/>
      <c r="B483" s="103"/>
      <c r="C483" s="99">
        <f>MONTH(INGRESOS[[#This Row],[FECHA]])</f>
        <v>1</v>
      </c>
      <c r="D483" s="98" t="str">
        <f>MID(INGRESOS[[#This Row],[CUENTA]],1,4)</f>
        <v/>
      </c>
      <c r="E48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3" s="103"/>
      <c r="G483" s="103"/>
      <c r="H483" s="104"/>
      <c r="I483" s="105"/>
      <c r="J483" s="103"/>
    </row>
    <row r="484" spans="1:10" x14ac:dyDescent="0.25">
      <c r="A484" s="98"/>
      <c r="B484" s="99"/>
      <c r="C484" s="99">
        <f>MONTH(INGRESOS[[#This Row],[FECHA]])</f>
        <v>1</v>
      </c>
      <c r="D484" s="98" t="str">
        <f>MID(INGRESOS[[#This Row],[CUENTA]],1,4)</f>
        <v/>
      </c>
      <c r="E48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4" s="99"/>
      <c r="G484" s="99"/>
      <c r="H484" s="100"/>
      <c r="I484" s="101"/>
      <c r="J484" s="99"/>
    </row>
    <row r="485" spans="1:10" x14ac:dyDescent="0.25">
      <c r="A485" s="98"/>
      <c r="B485" s="99"/>
      <c r="C485" s="99">
        <f>MONTH(INGRESOS[[#This Row],[FECHA]])</f>
        <v>1</v>
      </c>
      <c r="D485" s="98" t="str">
        <f>MID(INGRESOS[[#This Row],[CUENTA]],1,4)</f>
        <v/>
      </c>
      <c r="E48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5" s="99"/>
      <c r="G485" s="99"/>
      <c r="H485" s="100"/>
      <c r="I485" s="101"/>
      <c r="J485" s="99"/>
    </row>
    <row r="486" spans="1:10" x14ac:dyDescent="0.25">
      <c r="A486" s="98"/>
      <c r="B486" s="99"/>
      <c r="C486" s="99">
        <f>MONTH(INGRESOS[[#This Row],[FECHA]])</f>
        <v>1</v>
      </c>
      <c r="D486" s="98" t="str">
        <f>MID(INGRESOS[[#This Row],[CUENTA]],1,4)</f>
        <v/>
      </c>
      <c r="E48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6" s="99"/>
      <c r="G486" s="103"/>
      <c r="H486" s="100"/>
      <c r="I486" s="105"/>
      <c r="J486" s="103"/>
    </row>
    <row r="487" spans="1:10" x14ac:dyDescent="0.25">
      <c r="A487" s="98"/>
      <c r="B487" s="99"/>
      <c r="C487" s="99">
        <f>MONTH(INGRESOS[[#This Row],[FECHA]])</f>
        <v>1</v>
      </c>
      <c r="D487" s="98" t="str">
        <f>MID(INGRESOS[[#This Row],[CUENTA]],1,4)</f>
        <v/>
      </c>
      <c r="E48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7" s="103"/>
      <c r="G487" s="103"/>
      <c r="H487" s="104"/>
      <c r="I487" s="105"/>
      <c r="J487" s="103"/>
    </row>
    <row r="488" spans="1:10" x14ac:dyDescent="0.25">
      <c r="A488" s="98"/>
      <c r="B488" s="99"/>
      <c r="C488" s="99">
        <f>MONTH(INGRESOS[[#This Row],[FECHA]])</f>
        <v>1</v>
      </c>
      <c r="D488" s="98" t="str">
        <f>MID(INGRESOS[[#This Row],[CUENTA]],1,4)</f>
        <v/>
      </c>
      <c r="E48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8" s="99"/>
      <c r="G488" s="103"/>
      <c r="H488" s="100"/>
      <c r="I488" s="101"/>
      <c r="J488" s="99"/>
    </row>
    <row r="489" spans="1:10" x14ac:dyDescent="0.25">
      <c r="A489" s="98"/>
      <c r="B489" s="99"/>
      <c r="C489" s="99">
        <f>MONTH(INGRESOS[[#This Row],[FECHA]])</f>
        <v>1</v>
      </c>
      <c r="D489" s="98" t="str">
        <f>MID(INGRESOS[[#This Row],[CUENTA]],1,4)</f>
        <v/>
      </c>
      <c r="E48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89" s="103"/>
      <c r="G489" s="99"/>
      <c r="H489" s="104"/>
      <c r="I489" s="101"/>
      <c r="J489" s="99"/>
    </row>
    <row r="490" spans="1:10" x14ac:dyDescent="0.25">
      <c r="A490" s="98"/>
      <c r="B490" s="99"/>
      <c r="C490" s="99">
        <f>MONTH(INGRESOS[[#This Row],[FECHA]])</f>
        <v>1</v>
      </c>
      <c r="D490" s="98" t="str">
        <f>MID(INGRESOS[[#This Row],[CUENTA]],1,4)</f>
        <v/>
      </c>
      <c r="E49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0" s="99"/>
      <c r="G490" s="99"/>
      <c r="H490" s="100"/>
      <c r="I490" s="105"/>
      <c r="J490" s="103"/>
    </row>
    <row r="491" spans="1:10" x14ac:dyDescent="0.25">
      <c r="A491" s="98"/>
      <c r="B491" s="99"/>
      <c r="C491" s="99">
        <f>MONTH(INGRESOS[[#This Row],[FECHA]])</f>
        <v>1</v>
      </c>
      <c r="D491" s="98" t="str">
        <f>MID(INGRESOS[[#This Row],[CUENTA]],1,4)</f>
        <v/>
      </c>
      <c r="E49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1" s="103"/>
      <c r="G491" s="99"/>
      <c r="H491" s="100"/>
      <c r="I491" s="101"/>
      <c r="J491" s="99"/>
    </row>
    <row r="492" spans="1:10" x14ac:dyDescent="0.25">
      <c r="A492" s="98"/>
      <c r="B492" s="99"/>
      <c r="C492" s="99">
        <f>MONTH(INGRESOS[[#This Row],[FECHA]])</f>
        <v>1</v>
      </c>
      <c r="D492" s="98" t="str">
        <f>MID(INGRESOS[[#This Row],[CUENTA]],1,4)</f>
        <v/>
      </c>
      <c r="E49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2" s="14"/>
      <c r="G492" s="14"/>
      <c r="H492" s="100"/>
      <c r="I492" s="101"/>
      <c r="J492" s="99"/>
    </row>
    <row r="493" spans="1:10" x14ac:dyDescent="0.25">
      <c r="A493" s="98"/>
      <c r="B493" s="103"/>
      <c r="C493" s="99">
        <f>MONTH(INGRESOS[[#This Row],[FECHA]])</f>
        <v>1</v>
      </c>
      <c r="D493" s="98" t="str">
        <f>MID(INGRESOS[[#This Row],[CUENTA]],1,4)</f>
        <v/>
      </c>
      <c r="E49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3" s="20"/>
      <c r="G493" s="20"/>
      <c r="H493" s="104"/>
      <c r="I493" s="105"/>
      <c r="J493" s="103"/>
    </row>
    <row r="494" spans="1:10" x14ac:dyDescent="0.25">
      <c r="A494" s="98"/>
      <c r="B494" s="103"/>
      <c r="C494" s="99">
        <f>MONTH(INGRESOS[[#This Row],[FECHA]])</f>
        <v>1</v>
      </c>
      <c r="D494" s="98" t="str">
        <f>MID(INGRESOS[[#This Row],[CUENTA]],1,4)</f>
        <v/>
      </c>
      <c r="E49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4" s="20"/>
      <c r="G494" s="20"/>
      <c r="H494" s="104"/>
      <c r="I494" s="105"/>
      <c r="J494" s="103"/>
    </row>
    <row r="495" spans="1:10" x14ac:dyDescent="0.25">
      <c r="A495" s="98"/>
      <c r="B495" s="103"/>
      <c r="C495" s="99">
        <f>MONTH(INGRESOS[[#This Row],[FECHA]])</f>
        <v>1</v>
      </c>
      <c r="D495" s="98" t="str">
        <f>MID(INGRESOS[[#This Row],[CUENTA]],1,4)</f>
        <v/>
      </c>
      <c r="E49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5" s="14"/>
      <c r="G495" s="20"/>
      <c r="H495" s="104"/>
      <c r="I495" s="105"/>
      <c r="J495" s="103"/>
    </row>
    <row r="496" spans="1:10" x14ac:dyDescent="0.25">
      <c r="A496" s="98"/>
      <c r="B496" s="103"/>
      <c r="C496" s="99">
        <f>MONTH(INGRESOS[[#This Row],[FECHA]])</f>
        <v>1</v>
      </c>
      <c r="D496" s="98" t="str">
        <f>MID(INGRESOS[[#This Row],[CUENTA]],1,4)</f>
        <v/>
      </c>
      <c r="E49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6" s="20"/>
      <c r="G496" s="20"/>
      <c r="H496" s="104"/>
      <c r="I496" s="105"/>
      <c r="J496" s="103"/>
    </row>
    <row r="497" spans="1:10" x14ac:dyDescent="0.25">
      <c r="A497" s="98"/>
      <c r="B497" s="103"/>
      <c r="C497" s="99">
        <f>MONTH(INGRESOS[[#This Row],[FECHA]])</f>
        <v>1</v>
      </c>
      <c r="D497" s="98" t="str">
        <f>MID(INGRESOS[[#This Row],[CUENTA]],1,4)</f>
        <v/>
      </c>
      <c r="E49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7" s="14"/>
      <c r="G497" s="20"/>
      <c r="H497" s="104"/>
      <c r="I497" s="105"/>
      <c r="J497" s="103"/>
    </row>
    <row r="498" spans="1:10" x14ac:dyDescent="0.25">
      <c r="A498" s="98"/>
      <c r="B498" s="103"/>
      <c r="C498" s="99">
        <f>MONTH(INGRESOS[[#This Row],[FECHA]])</f>
        <v>1</v>
      </c>
      <c r="D498" s="98" t="str">
        <f>MID(INGRESOS[[#This Row],[CUENTA]],1,4)</f>
        <v/>
      </c>
      <c r="E49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8" s="103"/>
      <c r="G498" s="103"/>
      <c r="H498" s="104"/>
      <c r="I498" s="105"/>
      <c r="J498" s="103"/>
    </row>
    <row r="499" spans="1:10" x14ac:dyDescent="0.25">
      <c r="A499" s="98"/>
      <c r="B499" s="103"/>
      <c r="C499" s="99">
        <f>MONTH(INGRESOS[[#This Row],[FECHA]])</f>
        <v>1</v>
      </c>
      <c r="D499" s="98" t="str">
        <f>MID(INGRESOS[[#This Row],[CUENTA]],1,4)</f>
        <v/>
      </c>
      <c r="E49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499" s="103"/>
      <c r="G499" s="103"/>
      <c r="H499" s="104"/>
      <c r="I499" s="105"/>
      <c r="J499" s="103"/>
    </row>
    <row r="500" spans="1:10" x14ac:dyDescent="0.25">
      <c r="A500" s="98"/>
      <c r="B500" s="103"/>
      <c r="C500" s="99">
        <f>MONTH(INGRESOS[[#This Row],[FECHA]])</f>
        <v>1</v>
      </c>
      <c r="D500" s="98" t="str">
        <f>MID(INGRESOS[[#This Row],[CUENTA]],1,4)</f>
        <v/>
      </c>
      <c r="E50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0" s="103"/>
      <c r="G500" s="103"/>
      <c r="H500" s="104"/>
      <c r="I500" s="105"/>
      <c r="J500" s="103"/>
    </row>
    <row r="501" spans="1:10" x14ac:dyDescent="0.25">
      <c r="A501" s="98"/>
      <c r="B501" s="99"/>
      <c r="C501" s="99">
        <f>MONTH(INGRESOS[[#This Row],[FECHA]])</f>
        <v>1</v>
      </c>
      <c r="D501" s="98" t="str">
        <f>MID(INGRESOS[[#This Row],[CUENTA]],1,4)</f>
        <v/>
      </c>
      <c r="E50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1" s="99"/>
      <c r="G501" s="103"/>
      <c r="H501" s="100"/>
      <c r="I501" s="105"/>
      <c r="J501" s="99"/>
    </row>
    <row r="502" spans="1:10" x14ac:dyDescent="0.25">
      <c r="A502" s="98"/>
      <c r="B502" s="99"/>
      <c r="C502" s="99">
        <f>MONTH(INGRESOS[[#This Row],[FECHA]])</f>
        <v>1</v>
      </c>
      <c r="D502" s="98" t="str">
        <f>MID(INGRESOS[[#This Row],[CUENTA]],1,4)</f>
        <v/>
      </c>
      <c r="E50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2" s="99"/>
      <c r="G502" s="103"/>
      <c r="H502" s="100"/>
      <c r="I502" s="105"/>
      <c r="J502" s="99"/>
    </row>
    <row r="503" spans="1:10" x14ac:dyDescent="0.25">
      <c r="A503" s="98"/>
      <c r="B503" s="103"/>
      <c r="C503" s="99">
        <f>MONTH(INGRESOS[[#This Row],[FECHA]])</f>
        <v>1</v>
      </c>
      <c r="D503" s="98" t="str">
        <f>MID(INGRESOS[[#This Row],[CUENTA]],1,4)</f>
        <v/>
      </c>
      <c r="E50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3" s="103"/>
      <c r="G503" s="103"/>
      <c r="H503" s="104"/>
      <c r="I503" s="105"/>
      <c r="J503" s="103"/>
    </row>
    <row r="504" spans="1:10" x14ac:dyDescent="0.25">
      <c r="A504" s="98"/>
      <c r="B504" s="103"/>
      <c r="C504" s="99">
        <f>MONTH(INGRESOS[[#This Row],[FECHA]])</f>
        <v>1</v>
      </c>
      <c r="D504" s="98" t="str">
        <f>MID(INGRESOS[[#This Row],[CUENTA]],1,4)</f>
        <v/>
      </c>
      <c r="E50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4" s="103"/>
      <c r="G504" s="103"/>
      <c r="H504" s="104"/>
      <c r="I504" s="105"/>
      <c r="J504" s="103"/>
    </row>
    <row r="505" spans="1:10" x14ac:dyDescent="0.25">
      <c r="A505" s="98"/>
      <c r="B505" s="103"/>
      <c r="C505" s="99">
        <f>MONTH(INGRESOS[[#This Row],[FECHA]])</f>
        <v>1</v>
      </c>
      <c r="D505" s="98" t="str">
        <f>MID(INGRESOS[[#This Row],[CUENTA]],1,4)</f>
        <v/>
      </c>
      <c r="E50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5" s="103"/>
      <c r="G505" s="103"/>
      <c r="H505" s="104"/>
      <c r="I505" s="105"/>
      <c r="J505" s="103"/>
    </row>
    <row r="506" spans="1:10" x14ac:dyDescent="0.25">
      <c r="A506" s="98"/>
      <c r="B506" s="103"/>
      <c r="C506" s="99">
        <f>MONTH(INGRESOS[[#This Row],[FECHA]])</f>
        <v>1</v>
      </c>
      <c r="D506" s="98" t="str">
        <f>MID(INGRESOS[[#This Row],[CUENTA]],1,4)</f>
        <v/>
      </c>
      <c r="E50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6" s="103"/>
      <c r="G506" s="103"/>
      <c r="H506" s="104"/>
      <c r="I506" s="105"/>
      <c r="J506" s="103"/>
    </row>
    <row r="507" spans="1:10" x14ac:dyDescent="0.25">
      <c r="A507" s="98"/>
      <c r="B507" s="103"/>
      <c r="C507" s="99">
        <f>MONTH(INGRESOS[[#This Row],[FECHA]])</f>
        <v>1</v>
      </c>
      <c r="D507" s="98" t="str">
        <f>MID(INGRESOS[[#This Row],[CUENTA]],1,4)</f>
        <v/>
      </c>
      <c r="E50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7" s="103"/>
      <c r="G507" s="103"/>
      <c r="H507" s="104"/>
      <c r="I507" s="105"/>
      <c r="J507" s="103"/>
    </row>
    <row r="508" spans="1:10" x14ac:dyDescent="0.25">
      <c r="A508" s="98"/>
      <c r="B508" s="103"/>
      <c r="C508" s="99">
        <f>MONTH(INGRESOS[[#This Row],[FECHA]])</f>
        <v>1</v>
      </c>
      <c r="D508" s="98" t="str">
        <f>MID(INGRESOS[[#This Row],[CUENTA]],1,4)</f>
        <v/>
      </c>
      <c r="E50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8" s="103"/>
      <c r="G508" s="103"/>
      <c r="H508" s="104"/>
      <c r="I508" s="105"/>
      <c r="J508" s="103"/>
    </row>
    <row r="509" spans="1:10" x14ac:dyDescent="0.25">
      <c r="A509" s="98"/>
      <c r="B509" s="103"/>
      <c r="C509" s="99">
        <f>MONTH(INGRESOS[[#This Row],[FECHA]])</f>
        <v>1</v>
      </c>
      <c r="D509" s="98" t="str">
        <f>MID(INGRESOS[[#This Row],[CUENTA]],1,4)</f>
        <v/>
      </c>
      <c r="E50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09" s="103"/>
      <c r="G509" s="103"/>
      <c r="H509" s="104"/>
      <c r="I509" s="105"/>
      <c r="J509" s="103"/>
    </row>
    <row r="510" spans="1:10" x14ac:dyDescent="0.25">
      <c r="A510" s="98"/>
      <c r="B510" s="103"/>
      <c r="C510" s="99">
        <f>MONTH(INGRESOS[[#This Row],[FECHA]])</f>
        <v>1</v>
      </c>
      <c r="D510" s="98" t="str">
        <f>MID(INGRESOS[[#This Row],[CUENTA]],1,4)</f>
        <v/>
      </c>
      <c r="E51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0" s="103"/>
      <c r="G510" s="103"/>
      <c r="H510" s="104"/>
      <c r="I510" s="105"/>
      <c r="J510" s="103"/>
    </row>
    <row r="511" spans="1:10" x14ac:dyDescent="0.25">
      <c r="A511" s="98"/>
      <c r="B511" s="103"/>
      <c r="C511" s="99">
        <f>MONTH(INGRESOS[[#This Row],[FECHA]])</f>
        <v>1</v>
      </c>
      <c r="D511" s="98" t="str">
        <f>MID(INGRESOS[[#This Row],[CUENTA]],1,4)</f>
        <v/>
      </c>
      <c r="E51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1" s="103"/>
      <c r="G511" s="103"/>
      <c r="H511" s="104"/>
      <c r="I511" s="105"/>
      <c r="J511" s="103"/>
    </row>
    <row r="512" spans="1:10" x14ac:dyDescent="0.25">
      <c r="A512" s="98"/>
      <c r="B512" s="103"/>
      <c r="C512" s="99">
        <f>MONTH(INGRESOS[[#This Row],[FECHA]])</f>
        <v>1</v>
      </c>
      <c r="D512" s="98" t="str">
        <f>MID(INGRESOS[[#This Row],[CUENTA]],1,4)</f>
        <v/>
      </c>
      <c r="E51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2" s="103"/>
      <c r="G512" s="103"/>
      <c r="H512" s="104"/>
      <c r="I512" s="105"/>
      <c r="J512" s="103"/>
    </row>
    <row r="513" spans="1:10" x14ac:dyDescent="0.25">
      <c r="A513" s="98"/>
      <c r="B513" s="103"/>
      <c r="C513" s="99">
        <f>MONTH(INGRESOS[[#This Row],[FECHA]])</f>
        <v>1</v>
      </c>
      <c r="D513" s="98" t="str">
        <f>MID(INGRESOS[[#This Row],[CUENTA]],1,4)</f>
        <v/>
      </c>
      <c r="E51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3" s="103"/>
      <c r="G513" s="103"/>
      <c r="H513" s="104"/>
      <c r="I513" s="105"/>
      <c r="J513" s="103"/>
    </row>
    <row r="514" spans="1:10" x14ac:dyDescent="0.25">
      <c r="A514" s="98"/>
      <c r="B514" s="103"/>
      <c r="C514" s="99">
        <f>MONTH(INGRESOS[[#This Row],[FECHA]])</f>
        <v>1</v>
      </c>
      <c r="D514" s="98" t="str">
        <f>MID(INGRESOS[[#This Row],[CUENTA]],1,4)</f>
        <v/>
      </c>
      <c r="E51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4" s="103"/>
      <c r="G514" s="103"/>
      <c r="H514" s="104"/>
      <c r="I514" s="105"/>
      <c r="J514" s="103"/>
    </row>
    <row r="515" spans="1:10" x14ac:dyDescent="0.25">
      <c r="A515" s="98"/>
      <c r="B515" s="103"/>
      <c r="C515" s="99">
        <f>MONTH(INGRESOS[[#This Row],[FECHA]])</f>
        <v>1</v>
      </c>
      <c r="D515" s="98" t="str">
        <f>MID(INGRESOS[[#This Row],[CUENTA]],1,4)</f>
        <v/>
      </c>
      <c r="E51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5" s="103"/>
      <c r="G515" s="103"/>
      <c r="H515" s="104"/>
      <c r="I515" s="105"/>
      <c r="J515" s="103"/>
    </row>
    <row r="516" spans="1:10" x14ac:dyDescent="0.25">
      <c r="A516" s="98"/>
      <c r="B516" s="103"/>
      <c r="C516" s="99">
        <f>MONTH(INGRESOS[[#This Row],[FECHA]])</f>
        <v>1</v>
      </c>
      <c r="D516" s="98" t="str">
        <f>MID(INGRESOS[[#This Row],[CUENTA]],1,4)</f>
        <v/>
      </c>
      <c r="E51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6" s="103"/>
      <c r="G516" s="103"/>
      <c r="H516" s="104"/>
      <c r="I516" s="105"/>
      <c r="J516" s="103"/>
    </row>
    <row r="517" spans="1:10" x14ac:dyDescent="0.25">
      <c r="A517" s="98"/>
      <c r="B517" s="103"/>
      <c r="C517" s="99">
        <f>MONTH(INGRESOS[[#This Row],[FECHA]])</f>
        <v>1</v>
      </c>
      <c r="D517" s="98" t="str">
        <f>MID(INGRESOS[[#This Row],[CUENTA]],1,4)</f>
        <v/>
      </c>
      <c r="E51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7" s="103"/>
      <c r="G517" s="103"/>
      <c r="H517" s="104"/>
      <c r="I517" s="105"/>
      <c r="J517" s="103"/>
    </row>
    <row r="518" spans="1:10" x14ac:dyDescent="0.25">
      <c r="A518" s="98"/>
      <c r="B518" s="103"/>
      <c r="C518" s="99">
        <f>MONTH(INGRESOS[[#This Row],[FECHA]])</f>
        <v>1</v>
      </c>
      <c r="D518" s="98" t="str">
        <f>MID(INGRESOS[[#This Row],[CUENTA]],1,4)</f>
        <v/>
      </c>
      <c r="E51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8" s="103"/>
      <c r="G518" s="103"/>
      <c r="H518" s="104"/>
      <c r="I518" s="105"/>
      <c r="J518" s="103"/>
    </row>
    <row r="519" spans="1:10" x14ac:dyDescent="0.25">
      <c r="A519" s="98"/>
      <c r="B519" s="103"/>
      <c r="C519" s="99">
        <f>MONTH(INGRESOS[[#This Row],[FECHA]])</f>
        <v>1</v>
      </c>
      <c r="D519" s="98" t="str">
        <f>MID(INGRESOS[[#This Row],[CUENTA]],1,4)</f>
        <v/>
      </c>
      <c r="E51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19" s="103"/>
      <c r="G519" s="103"/>
      <c r="H519" s="104"/>
      <c r="I519" s="105"/>
      <c r="J519" s="103"/>
    </row>
    <row r="520" spans="1:10" x14ac:dyDescent="0.25">
      <c r="A520" s="98"/>
      <c r="B520" s="103"/>
      <c r="C520" s="99">
        <f>MONTH(INGRESOS[[#This Row],[FECHA]])</f>
        <v>1</v>
      </c>
      <c r="D520" s="98" t="str">
        <f>MID(INGRESOS[[#This Row],[CUENTA]],1,4)</f>
        <v/>
      </c>
      <c r="E52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0" s="103"/>
      <c r="G520" s="103"/>
      <c r="H520" s="104"/>
      <c r="I520" s="105"/>
      <c r="J520" s="103"/>
    </row>
    <row r="521" spans="1:10" x14ac:dyDescent="0.25">
      <c r="A521" s="98"/>
      <c r="B521" s="103"/>
      <c r="C521" s="99">
        <f>MONTH(INGRESOS[[#This Row],[FECHA]])</f>
        <v>1</v>
      </c>
      <c r="D521" s="98" t="str">
        <f>MID(INGRESOS[[#This Row],[CUENTA]],1,4)</f>
        <v/>
      </c>
      <c r="E52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1" s="103"/>
      <c r="G521" s="103"/>
      <c r="H521" s="104"/>
      <c r="I521" s="105"/>
      <c r="J521" s="103"/>
    </row>
    <row r="522" spans="1:10" x14ac:dyDescent="0.25">
      <c r="A522" s="98"/>
      <c r="B522" s="103"/>
      <c r="C522" s="99">
        <f>MONTH(INGRESOS[[#This Row],[FECHA]])</f>
        <v>1</v>
      </c>
      <c r="D522" s="98" t="str">
        <f>MID(INGRESOS[[#This Row],[CUENTA]],1,4)</f>
        <v/>
      </c>
      <c r="E52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2" s="103"/>
      <c r="G522" s="103"/>
      <c r="H522" s="104"/>
      <c r="I522" s="105"/>
      <c r="J522" s="103"/>
    </row>
    <row r="523" spans="1:10" x14ac:dyDescent="0.25">
      <c r="A523" s="98"/>
      <c r="B523" s="103"/>
      <c r="C523" s="99">
        <f>MONTH(INGRESOS[[#This Row],[FECHA]])</f>
        <v>1</v>
      </c>
      <c r="D523" s="98" t="str">
        <f>MID(INGRESOS[[#This Row],[CUENTA]],1,4)</f>
        <v/>
      </c>
      <c r="E52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3" s="103"/>
      <c r="G523" s="103"/>
      <c r="H523" s="104"/>
      <c r="I523" s="105"/>
      <c r="J523" s="103"/>
    </row>
    <row r="524" spans="1:10" x14ac:dyDescent="0.25">
      <c r="A524" s="98"/>
      <c r="B524" s="103"/>
      <c r="C524" s="99">
        <f>MONTH(INGRESOS[[#This Row],[FECHA]])</f>
        <v>1</v>
      </c>
      <c r="D524" s="98" t="str">
        <f>MID(INGRESOS[[#This Row],[CUENTA]],1,4)</f>
        <v/>
      </c>
      <c r="E52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4" s="103"/>
      <c r="G524" s="103"/>
      <c r="H524" s="104"/>
      <c r="I524" s="105"/>
      <c r="J524" s="103"/>
    </row>
    <row r="525" spans="1:10" x14ac:dyDescent="0.25">
      <c r="A525" s="98"/>
      <c r="B525" s="103"/>
      <c r="C525" s="99">
        <f>MONTH(INGRESOS[[#This Row],[FECHA]])</f>
        <v>1</v>
      </c>
      <c r="D525" s="98" t="str">
        <f>MID(INGRESOS[[#This Row],[CUENTA]],1,4)</f>
        <v/>
      </c>
      <c r="E52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5" s="103"/>
      <c r="G525" s="103"/>
      <c r="H525" s="104"/>
      <c r="I525" s="105"/>
      <c r="J525" s="103"/>
    </row>
    <row r="526" spans="1:10" x14ac:dyDescent="0.25">
      <c r="A526" s="98"/>
      <c r="B526" s="99"/>
      <c r="C526" s="99">
        <f>MONTH(INGRESOS[[#This Row],[FECHA]])</f>
        <v>1</v>
      </c>
      <c r="D526" s="98" t="str">
        <f>MID(INGRESOS[[#This Row],[CUENTA]],1,4)</f>
        <v/>
      </c>
      <c r="E52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6" s="99"/>
      <c r="G526" s="103"/>
      <c r="H526" s="100"/>
      <c r="I526" s="105"/>
      <c r="J526" s="99"/>
    </row>
    <row r="527" spans="1:10" x14ac:dyDescent="0.25">
      <c r="A527" s="98"/>
      <c r="B527" s="103"/>
      <c r="C527" s="99">
        <f>MONTH(INGRESOS[[#This Row],[FECHA]])</f>
        <v>1</v>
      </c>
      <c r="D527" s="98" t="str">
        <f>MID(INGRESOS[[#This Row],[CUENTA]],1,4)</f>
        <v/>
      </c>
      <c r="E52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7" s="103"/>
      <c r="G527" s="103"/>
      <c r="H527" s="104"/>
      <c r="I527" s="105"/>
      <c r="J527" s="103"/>
    </row>
    <row r="528" spans="1:10" x14ac:dyDescent="0.25">
      <c r="A528" s="98"/>
      <c r="B528" s="103"/>
      <c r="C528" s="99">
        <f>MONTH(INGRESOS[[#This Row],[FECHA]])</f>
        <v>1</v>
      </c>
      <c r="D528" s="98" t="str">
        <f>MID(INGRESOS[[#This Row],[CUENTA]],1,4)</f>
        <v/>
      </c>
      <c r="E52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8" s="103"/>
      <c r="G528" s="103"/>
      <c r="H528" s="104"/>
      <c r="I528" s="105"/>
      <c r="J528" s="103"/>
    </row>
    <row r="529" spans="1:10" x14ac:dyDescent="0.25">
      <c r="A529" s="98"/>
      <c r="B529" s="103"/>
      <c r="C529" s="99">
        <f>MONTH(INGRESOS[[#This Row],[FECHA]])</f>
        <v>1</v>
      </c>
      <c r="D529" s="98" t="str">
        <f>MID(INGRESOS[[#This Row],[CUENTA]],1,4)</f>
        <v/>
      </c>
      <c r="E52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29" s="103"/>
      <c r="G529" s="103"/>
      <c r="H529" s="104"/>
      <c r="I529" s="105"/>
      <c r="J529" s="103"/>
    </row>
    <row r="530" spans="1:10" x14ac:dyDescent="0.25">
      <c r="A530" s="98"/>
      <c r="B530" s="103"/>
      <c r="C530" s="99">
        <f>MONTH(INGRESOS[[#This Row],[FECHA]])</f>
        <v>1</v>
      </c>
      <c r="D530" s="98" t="str">
        <f>MID(INGRESOS[[#This Row],[CUENTA]],1,4)</f>
        <v/>
      </c>
      <c r="E53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0" s="103"/>
      <c r="G530" s="103"/>
      <c r="H530" s="104"/>
      <c r="I530" s="105"/>
      <c r="J530" s="103"/>
    </row>
    <row r="531" spans="1:10" x14ac:dyDescent="0.25">
      <c r="A531" s="98"/>
      <c r="B531" s="103"/>
      <c r="C531" s="99">
        <f>MONTH(INGRESOS[[#This Row],[FECHA]])</f>
        <v>1</v>
      </c>
      <c r="D531" s="98" t="str">
        <f>MID(INGRESOS[[#This Row],[CUENTA]],1,4)</f>
        <v/>
      </c>
      <c r="E53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1" s="103"/>
      <c r="G531" s="103"/>
      <c r="H531" s="104"/>
      <c r="I531" s="105"/>
      <c r="J531" s="103"/>
    </row>
    <row r="532" spans="1:10" x14ac:dyDescent="0.25">
      <c r="A532" s="98"/>
      <c r="B532" s="103"/>
      <c r="C532" s="99">
        <f>MONTH(INGRESOS[[#This Row],[FECHA]])</f>
        <v>1</v>
      </c>
      <c r="D532" s="98" t="str">
        <f>MID(INGRESOS[[#This Row],[CUENTA]],1,4)</f>
        <v/>
      </c>
      <c r="E53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2" s="103"/>
      <c r="G532" s="103"/>
      <c r="H532" s="104"/>
      <c r="I532" s="105"/>
      <c r="J532" s="103"/>
    </row>
    <row r="533" spans="1:10" x14ac:dyDescent="0.25">
      <c r="A533" s="98"/>
      <c r="B533" s="103"/>
      <c r="C533" s="99">
        <f>MONTH(INGRESOS[[#This Row],[FECHA]])</f>
        <v>1</v>
      </c>
      <c r="D533" s="98" t="str">
        <f>MID(INGRESOS[[#This Row],[CUENTA]],1,4)</f>
        <v/>
      </c>
      <c r="E53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3" s="103"/>
      <c r="G533" s="103"/>
      <c r="H533" s="104"/>
      <c r="I533" s="105"/>
      <c r="J533" s="103"/>
    </row>
    <row r="534" spans="1:10" x14ac:dyDescent="0.25">
      <c r="A534" s="98"/>
      <c r="B534" s="103"/>
      <c r="C534" s="99">
        <f>MONTH(INGRESOS[[#This Row],[FECHA]])</f>
        <v>1</v>
      </c>
      <c r="D534" s="98" t="str">
        <f>MID(INGRESOS[[#This Row],[CUENTA]],1,4)</f>
        <v/>
      </c>
      <c r="E53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4" s="103"/>
      <c r="G534" s="103"/>
      <c r="H534" s="104"/>
      <c r="I534" s="105"/>
      <c r="J534" s="103"/>
    </row>
    <row r="535" spans="1:10" x14ac:dyDescent="0.25">
      <c r="A535" s="98"/>
      <c r="B535" s="103"/>
      <c r="C535" s="99">
        <f>MONTH(INGRESOS[[#This Row],[FECHA]])</f>
        <v>1</v>
      </c>
      <c r="D535" s="98" t="str">
        <f>MID(INGRESOS[[#This Row],[CUENTA]],1,4)</f>
        <v/>
      </c>
      <c r="E53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5" s="103"/>
      <c r="G535" s="103"/>
      <c r="H535" s="104"/>
      <c r="I535" s="105"/>
      <c r="J535" s="103"/>
    </row>
    <row r="536" spans="1:10" x14ac:dyDescent="0.25">
      <c r="A536" s="98"/>
      <c r="B536" s="103"/>
      <c r="C536" s="99">
        <f>MONTH(INGRESOS[[#This Row],[FECHA]])</f>
        <v>1</v>
      </c>
      <c r="D536" s="98" t="str">
        <f>MID(INGRESOS[[#This Row],[CUENTA]],1,4)</f>
        <v/>
      </c>
      <c r="E53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6" s="103"/>
      <c r="G536" s="103"/>
      <c r="H536" s="104"/>
      <c r="I536" s="105"/>
      <c r="J536" s="103"/>
    </row>
    <row r="537" spans="1:10" x14ac:dyDescent="0.25">
      <c r="A537" s="98"/>
      <c r="B537" s="103"/>
      <c r="C537" s="99">
        <f>MONTH(INGRESOS[[#This Row],[FECHA]])</f>
        <v>1</v>
      </c>
      <c r="D537" s="98" t="str">
        <f>MID(INGRESOS[[#This Row],[CUENTA]],1,4)</f>
        <v/>
      </c>
      <c r="E53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7" s="103"/>
      <c r="G537" s="103"/>
      <c r="H537" s="104"/>
      <c r="I537" s="105"/>
      <c r="J537" s="103"/>
    </row>
    <row r="538" spans="1:10" x14ac:dyDescent="0.25">
      <c r="A538" s="98"/>
      <c r="B538" s="103"/>
      <c r="C538" s="99">
        <f>MONTH(INGRESOS[[#This Row],[FECHA]])</f>
        <v>1</v>
      </c>
      <c r="D538" s="98" t="str">
        <f>MID(INGRESOS[[#This Row],[CUENTA]],1,4)</f>
        <v/>
      </c>
      <c r="E53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8" s="103"/>
      <c r="G538" s="103"/>
      <c r="H538" s="104"/>
      <c r="I538" s="105"/>
      <c r="J538" s="103"/>
    </row>
    <row r="539" spans="1:10" x14ac:dyDescent="0.25">
      <c r="A539" s="98"/>
      <c r="B539" s="103"/>
      <c r="C539" s="99">
        <f>MONTH(INGRESOS[[#This Row],[FECHA]])</f>
        <v>1</v>
      </c>
      <c r="D539" s="98" t="str">
        <f>MID(INGRESOS[[#This Row],[CUENTA]],1,4)</f>
        <v/>
      </c>
      <c r="E53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39" s="103"/>
      <c r="G539" s="103"/>
      <c r="H539" s="104"/>
      <c r="I539" s="105"/>
      <c r="J539" s="103"/>
    </row>
    <row r="540" spans="1:10" x14ac:dyDescent="0.25">
      <c r="A540" s="98"/>
      <c r="B540" s="103"/>
      <c r="C540" s="99">
        <f>MONTH(INGRESOS[[#This Row],[FECHA]])</f>
        <v>1</v>
      </c>
      <c r="D540" s="98" t="str">
        <f>MID(INGRESOS[[#This Row],[CUENTA]],1,4)</f>
        <v/>
      </c>
      <c r="E54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0" s="103"/>
      <c r="G540" s="103"/>
      <c r="H540" s="104"/>
      <c r="I540" s="105"/>
      <c r="J540" s="103"/>
    </row>
    <row r="541" spans="1:10" x14ac:dyDescent="0.25">
      <c r="A541" s="98"/>
      <c r="B541" s="103"/>
      <c r="C541" s="99">
        <f>MONTH(INGRESOS[[#This Row],[FECHA]])</f>
        <v>1</v>
      </c>
      <c r="D541" s="98" t="str">
        <f>MID(INGRESOS[[#This Row],[CUENTA]],1,4)</f>
        <v/>
      </c>
      <c r="E54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1" s="103"/>
      <c r="G541" s="103"/>
      <c r="H541" s="104"/>
      <c r="I541" s="105"/>
      <c r="J541" s="103"/>
    </row>
    <row r="542" spans="1:10" x14ac:dyDescent="0.25">
      <c r="A542" s="98"/>
      <c r="B542" s="103"/>
      <c r="C542" s="99">
        <f>MONTH(INGRESOS[[#This Row],[FECHA]])</f>
        <v>1</v>
      </c>
      <c r="D542" s="98" t="str">
        <f>MID(INGRESOS[[#This Row],[CUENTA]],1,4)</f>
        <v/>
      </c>
      <c r="E54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2" s="103"/>
      <c r="G542" s="103"/>
      <c r="H542" s="104"/>
      <c r="I542" s="105"/>
      <c r="J542" s="103"/>
    </row>
    <row r="543" spans="1:10" x14ac:dyDescent="0.25">
      <c r="A543" s="98"/>
      <c r="B543" s="103"/>
      <c r="C543" s="99">
        <f>MONTH(INGRESOS[[#This Row],[FECHA]])</f>
        <v>1</v>
      </c>
      <c r="D543" s="98" t="str">
        <f>MID(INGRESOS[[#This Row],[CUENTA]],1,4)</f>
        <v/>
      </c>
      <c r="E54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3" s="103"/>
      <c r="G543" s="103"/>
      <c r="H543" s="104"/>
      <c r="I543" s="105"/>
      <c r="J543" s="103"/>
    </row>
    <row r="544" spans="1:10" x14ac:dyDescent="0.25">
      <c r="A544" s="98"/>
      <c r="B544" s="103"/>
      <c r="C544" s="99">
        <f>MONTH(INGRESOS[[#This Row],[FECHA]])</f>
        <v>1</v>
      </c>
      <c r="D544" s="98" t="str">
        <f>MID(INGRESOS[[#This Row],[CUENTA]],1,4)</f>
        <v/>
      </c>
      <c r="E54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4" s="103"/>
      <c r="G544" s="103"/>
      <c r="H544" s="104"/>
      <c r="I544" s="105"/>
      <c r="J544" s="103"/>
    </row>
    <row r="545" spans="1:10" x14ac:dyDescent="0.25">
      <c r="A545" s="98"/>
      <c r="B545" s="103"/>
      <c r="C545" s="99">
        <f>MONTH(INGRESOS[[#This Row],[FECHA]])</f>
        <v>1</v>
      </c>
      <c r="D545" s="98" t="str">
        <f>MID(INGRESOS[[#This Row],[CUENTA]],1,4)</f>
        <v/>
      </c>
      <c r="E54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5" s="103"/>
      <c r="G545" s="103"/>
      <c r="H545" s="104"/>
      <c r="I545" s="105"/>
      <c r="J545" s="103"/>
    </row>
    <row r="546" spans="1:10" x14ac:dyDescent="0.25">
      <c r="A546" s="98"/>
      <c r="B546" s="103"/>
      <c r="C546" s="99">
        <f>MONTH(INGRESOS[[#This Row],[FECHA]])</f>
        <v>1</v>
      </c>
      <c r="D546" s="98" t="str">
        <f>MID(INGRESOS[[#This Row],[CUENTA]],1,4)</f>
        <v/>
      </c>
      <c r="E54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6" s="103"/>
      <c r="G546" s="103"/>
      <c r="H546" s="104"/>
      <c r="I546" s="105"/>
      <c r="J546" s="103"/>
    </row>
    <row r="547" spans="1:10" x14ac:dyDescent="0.25">
      <c r="A547" s="98"/>
      <c r="B547" s="103"/>
      <c r="C547" s="99">
        <f>MONTH(INGRESOS[[#This Row],[FECHA]])</f>
        <v>1</v>
      </c>
      <c r="D547" s="98" t="str">
        <f>MID(INGRESOS[[#This Row],[CUENTA]],1,4)</f>
        <v/>
      </c>
      <c r="E54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7" s="103"/>
      <c r="G547" s="103"/>
      <c r="H547" s="104"/>
      <c r="I547" s="105"/>
      <c r="J547" s="103"/>
    </row>
    <row r="548" spans="1:10" x14ac:dyDescent="0.25">
      <c r="A548" s="98"/>
      <c r="B548" s="99"/>
      <c r="C548" s="99"/>
      <c r="D548" s="98"/>
      <c r="E548" s="99"/>
      <c r="F548" s="99"/>
      <c r="G548" s="99"/>
      <c r="H548" s="100"/>
      <c r="I548" s="101"/>
      <c r="J548" s="99"/>
    </row>
    <row r="549" spans="1:10" x14ac:dyDescent="0.25">
      <c r="A549" s="98"/>
      <c r="B549" s="103"/>
      <c r="C549" s="99">
        <f>MONTH(INGRESOS[[#This Row],[FECHA]])</f>
        <v>1</v>
      </c>
      <c r="D549" s="98" t="str">
        <f>MID(INGRESOS[[#This Row],[CUENTA]],1,4)</f>
        <v/>
      </c>
      <c r="E54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49" s="103"/>
      <c r="G549" s="103"/>
      <c r="H549" s="104"/>
      <c r="I549" s="105"/>
      <c r="J549" s="103"/>
    </row>
    <row r="550" spans="1:10" x14ac:dyDescent="0.25">
      <c r="A550" s="98"/>
      <c r="B550" s="103"/>
      <c r="C550" s="99">
        <f>MONTH(INGRESOS[[#This Row],[FECHA]])</f>
        <v>1</v>
      </c>
      <c r="D550" s="98" t="str">
        <f>MID(INGRESOS[[#This Row],[CUENTA]],1,4)</f>
        <v/>
      </c>
      <c r="E55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0" s="103"/>
      <c r="G550" s="103"/>
      <c r="H550" s="104"/>
      <c r="I550" s="105"/>
      <c r="J550" s="103"/>
    </row>
    <row r="551" spans="1:10" x14ac:dyDescent="0.25">
      <c r="A551" s="98"/>
      <c r="B551" s="103"/>
      <c r="C551" s="99">
        <f>MONTH(INGRESOS[[#This Row],[FECHA]])</f>
        <v>1</v>
      </c>
      <c r="D551" s="98" t="str">
        <f>MID(INGRESOS[[#This Row],[CUENTA]],1,4)</f>
        <v/>
      </c>
      <c r="E55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1" s="103"/>
      <c r="G551" s="103"/>
      <c r="H551" s="104"/>
      <c r="I551" s="105"/>
      <c r="J551" s="103"/>
    </row>
    <row r="552" spans="1:10" x14ac:dyDescent="0.25">
      <c r="A552" s="98"/>
      <c r="B552" s="103"/>
      <c r="C552" s="99">
        <f>MONTH(INGRESOS[[#This Row],[FECHA]])</f>
        <v>1</v>
      </c>
      <c r="D552" s="98" t="str">
        <f>MID(INGRESOS[[#This Row],[CUENTA]],1,4)</f>
        <v/>
      </c>
      <c r="E55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2" s="103"/>
      <c r="G552" s="103"/>
      <c r="H552" s="104"/>
      <c r="I552" s="105"/>
      <c r="J552" s="103"/>
    </row>
    <row r="553" spans="1:10" x14ac:dyDescent="0.25">
      <c r="A553" s="98"/>
      <c r="B553" s="103"/>
      <c r="C553" s="99">
        <f>MONTH(INGRESOS[[#This Row],[FECHA]])</f>
        <v>1</v>
      </c>
      <c r="D553" s="98" t="str">
        <f>MID(INGRESOS[[#This Row],[CUENTA]],1,4)</f>
        <v/>
      </c>
      <c r="E55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3" s="103"/>
      <c r="G553" s="103"/>
      <c r="H553" s="104"/>
      <c r="I553" s="105"/>
      <c r="J553" s="103"/>
    </row>
    <row r="554" spans="1:10" x14ac:dyDescent="0.25">
      <c r="A554" s="98"/>
      <c r="B554" s="103"/>
      <c r="C554" s="99">
        <f>MONTH(INGRESOS[[#This Row],[FECHA]])</f>
        <v>1</v>
      </c>
      <c r="D554" s="98" t="str">
        <f>MID(INGRESOS[[#This Row],[CUENTA]],1,4)</f>
        <v/>
      </c>
      <c r="E55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4" s="103"/>
      <c r="G554" s="103"/>
      <c r="H554" s="104"/>
      <c r="I554" s="105"/>
      <c r="J554" s="103"/>
    </row>
    <row r="555" spans="1:10" x14ac:dyDescent="0.25">
      <c r="A555" s="98"/>
      <c r="B555" s="103"/>
      <c r="C555" s="99">
        <f>MONTH(INGRESOS[[#This Row],[FECHA]])</f>
        <v>1</v>
      </c>
      <c r="D555" s="98" t="str">
        <f>MID(INGRESOS[[#This Row],[CUENTA]],1,4)</f>
        <v/>
      </c>
      <c r="E55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5" s="103"/>
      <c r="G555" s="103"/>
      <c r="H555" s="104"/>
      <c r="I555" s="105"/>
      <c r="J555" s="103"/>
    </row>
    <row r="556" spans="1:10" x14ac:dyDescent="0.25">
      <c r="A556" s="98"/>
      <c r="B556" s="103"/>
      <c r="C556" s="99">
        <f>MONTH(INGRESOS[[#This Row],[FECHA]])</f>
        <v>1</v>
      </c>
      <c r="D556" s="98" t="str">
        <f>MID(INGRESOS[[#This Row],[CUENTA]],1,4)</f>
        <v/>
      </c>
      <c r="E55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6" s="103"/>
      <c r="G556" s="103"/>
      <c r="H556" s="104"/>
      <c r="I556" s="105"/>
      <c r="J556" s="103"/>
    </row>
    <row r="557" spans="1:10" x14ac:dyDescent="0.25">
      <c r="A557" s="98"/>
      <c r="B557" s="103"/>
      <c r="C557" s="99">
        <f>MONTH(INGRESOS[[#This Row],[FECHA]])</f>
        <v>1</v>
      </c>
      <c r="D557" s="98" t="str">
        <f>MID(INGRESOS[[#This Row],[CUENTA]],1,4)</f>
        <v/>
      </c>
      <c r="E55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7" s="103"/>
      <c r="G557" s="103"/>
      <c r="H557" s="104"/>
      <c r="I557" s="105"/>
      <c r="J557" s="103"/>
    </row>
    <row r="558" spans="1:10" x14ac:dyDescent="0.25">
      <c r="A558" s="98"/>
      <c r="B558" s="103"/>
      <c r="C558" s="99">
        <f>MONTH(INGRESOS[[#This Row],[FECHA]])</f>
        <v>1</v>
      </c>
      <c r="D558" s="98" t="str">
        <f>MID(INGRESOS[[#This Row],[CUENTA]],1,4)</f>
        <v/>
      </c>
      <c r="E55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8" s="103"/>
      <c r="G558" s="103"/>
      <c r="H558" s="104"/>
      <c r="I558" s="105"/>
      <c r="J558" s="103"/>
    </row>
    <row r="559" spans="1:10" x14ac:dyDescent="0.25">
      <c r="A559" s="98"/>
      <c r="B559" s="103"/>
      <c r="C559" s="99">
        <f>MONTH(INGRESOS[[#This Row],[FECHA]])</f>
        <v>1</v>
      </c>
      <c r="D559" s="98" t="str">
        <f>MID(INGRESOS[[#This Row],[CUENTA]],1,4)</f>
        <v/>
      </c>
      <c r="E55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59" s="103"/>
      <c r="G559" s="103"/>
      <c r="H559" s="104"/>
      <c r="I559" s="105"/>
      <c r="J559" s="103"/>
    </row>
    <row r="560" spans="1:10" x14ac:dyDescent="0.25">
      <c r="A560" s="98"/>
      <c r="B560" s="103"/>
      <c r="C560" s="99">
        <f>MONTH(INGRESOS[[#This Row],[FECHA]])</f>
        <v>1</v>
      </c>
      <c r="D560" s="98" t="str">
        <f>MID(INGRESOS[[#This Row],[CUENTA]],1,4)</f>
        <v/>
      </c>
      <c r="E56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0" s="103"/>
      <c r="G560" s="99"/>
      <c r="H560" s="100"/>
      <c r="I560" s="101"/>
      <c r="J560" s="99"/>
    </row>
    <row r="561" spans="1:10" x14ac:dyDescent="0.25">
      <c r="A561" s="98"/>
      <c r="B561" s="103"/>
      <c r="C561" s="99">
        <f>MONTH(INGRESOS[[#This Row],[FECHA]])</f>
        <v>1</v>
      </c>
      <c r="D561" s="98" t="str">
        <f>MID(INGRESOS[[#This Row],[CUENTA]],1,4)</f>
        <v/>
      </c>
      <c r="E56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1" s="103"/>
      <c r="G561" s="103"/>
      <c r="H561" s="104"/>
      <c r="I561" s="105"/>
      <c r="J561" s="103"/>
    </row>
    <row r="562" spans="1:10" x14ac:dyDescent="0.25">
      <c r="A562" s="98"/>
      <c r="B562" s="103"/>
      <c r="C562" s="99">
        <f>MONTH(INGRESOS[[#This Row],[FECHA]])</f>
        <v>1</v>
      </c>
      <c r="D562" s="98" t="str">
        <f>MID(INGRESOS[[#This Row],[CUENTA]],1,4)</f>
        <v/>
      </c>
      <c r="E56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2" s="103"/>
      <c r="G562" s="103"/>
      <c r="H562" s="104"/>
      <c r="I562" s="105"/>
      <c r="J562" s="103"/>
    </row>
    <row r="563" spans="1:10" x14ac:dyDescent="0.25">
      <c r="A563" s="98"/>
      <c r="B563" s="99"/>
      <c r="C563" s="99">
        <f>MONTH(INGRESOS[[#This Row],[FECHA]])</f>
        <v>1</v>
      </c>
      <c r="D563" s="98" t="str">
        <f>MID(INGRESOS[[#This Row],[CUENTA]],1,4)</f>
        <v/>
      </c>
      <c r="E56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3" s="99"/>
      <c r="G563" s="99"/>
      <c r="H563" s="100"/>
      <c r="I563" s="101"/>
      <c r="J563" s="99"/>
    </row>
    <row r="564" spans="1:10" x14ac:dyDescent="0.25">
      <c r="A564" s="98"/>
      <c r="B564" s="99"/>
      <c r="C564" s="99">
        <f>MONTH(INGRESOS[[#This Row],[FECHA]])</f>
        <v>1</v>
      </c>
      <c r="D564" s="98" t="str">
        <f>MID(INGRESOS[[#This Row],[CUENTA]],1,4)</f>
        <v/>
      </c>
      <c r="E56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4" s="103"/>
      <c r="G564" s="14"/>
      <c r="H564" s="104"/>
      <c r="I564" s="101"/>
      <c r="J564" s="99"/>
    </row>
    <row r="565" spans="1:10" x14ac:dyDescent="0.25">
      <c r="A565" s="98"/>
      <c r="B565" s="103"/>
      <c r="C565" s="99">
        <f>MONTH(INGRESOS[[#This Row],[FECHA]])</f>
        <v>1</v>
      </c>
      <c r="D565" s="98" t="str">
        <f>MID(INGRESOS[[#This Row],[CUENTA]],1,4)</f>
        <v/>
      </c>
      <c r="E56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5" s="103"/>
      <c r="G565" s="14"/>
      <c r="H565" s="104"/>
      <c r="I565" s="101"/>
      <c r="J565" s="103"/>
    </row>
    <row r="566" spans="1:10" x14ac:dyDescent="0.25">
      <c r="A566" s="98"/>
      <c r="B566" s="99"/>
      <c r="C566" s="99">
        <f>MONTH(INGRESOS[[#This Row],[FECHA]])</f>
        <v>1</v>
      </c>
      <c r="D566" s="98" t="str">
        <f>MID(INGRESOS[[#This Row],[CUENTA]],1,4)</f>
        <v/>
      </c>
      <c r="E56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6" s="103"/>
      <c r="G566" s="14"/>
      <c r="H566" s="15"/>
      <c r="I566" s="16"/>
      <c r="J566" s="14"/>
    </row>
    <row r="567" spans="1:10" x14ac:dyDescent="0.25">
      <c r="A567" s="98"/>
      <c r="B567" s="103"/>
      <c r="C567" s="99">
        <f>MONTH(INGRESOS[[#This Row],[FECHA]])</f>
        <v>1</v>
      </c>
      <c r="D567" s="98" t="str">
        <f>MID(INGRESOS[[#This Row],[CUENTA]],1,4)</f>
        <v/>
      </c>
      <c r="E56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7" s="103"/>
      <c r="G567" s="14"/>
      <c r="H567" s="56"/>
      <c r="I567" s="57"/>
      <c r="J567" s="20"/>
    </row>
    <row r="568" spans="1:10" x14ac:dyDescent="0.25">
      <c r="A568" s="98"/>
      <c r="B568" s="99"/>
      <c r="C568" s="99">
        <f>MONTH(INGRESOS[[#This Row],[FECHA]])</f>
        <v>1</v>
      </c>
      <c r="D568" s="98" t="str">
        <f>MID(INGRESOS[[#This Row],[CUENTA]],1,4)</f>
        <v/>
      </c>
      <c r="E56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8" s="103"/>
      <c r="G568" s="20"/>
      <c r="H568" s="56"/>
      <c r="I568" s="57"/>
      <c r="J568" s="20"/>
    </row>
    <row r="569" spans="1:10" x14ac:dyDescent="0.25">
      <c r="A569" s="55"/>
      <c r="B569" s="20"/>
      <c r="C569" s="99">
        <f>MONTH(INGRESOS[[#This Row],[FECHA]])</f>
        <v>1</v>
      </c>
      <c r="D569" s="98" t="str">
        <f>MID(INGRESOS[[#This Row],[CUENTA]],1,4)</f>
        <v/>
      </c>
      <c r="E56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69" s="103"/>
      <c r="G569" s="20"/>
      <c r="H569" s="56"/>
      <c r="I569" s="57"/>
      <c r="J569" s="20"/>
    </row>
    <row r="570" spans="1:10" x14ac:dyDescent="0.25">
      <c r="A570" s="55"/>
      <c r="B570" s="20"/>
      <c r="C570" s="99">
        <f>MONTH(INGRESOS[[#This Row],[FECHA]])</f>
        <v>1</v>
      </c>
      <c r="D570" s="98" t="str">
        <f>MID(INGRESOS[[#This Row],[CUENTA]],1,4)</f>
        <v/>
      </c>
      <c r="E57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0" s="103"/>
      <c r="G570" s="20"/>
      <c r="H570" s="56"/>
      <c r="I570" s="57"/>
      <c r="J570" s="20"/>
    </row>
    <row r="571" spans="1:10" x14ac:dyDescent="0.25">
      <c r="A571" s="55"/>
      <c r="B571" s="20"/>
      <c r="C571" s="99">
        <f>MONTH(INGRESOS[[#This Row],[FECHA]])</f>
        <v>1</v>
      </c>
      <c r="D571" s="98" t="str">
        <f>MID(INGRESOS[[#This Row],[CUENTA]],1,4)</f>
        <v/>
      </c>
      <c r="E57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1" s="103"/>
      <c r="G571" s="20"/>
      <c r="H571" s="56"/>
      <c r="I571" s="57"/>
      <c r="J571" s="20"/>
    </row>
    <row r="572" spans="1:10" x14ac:dyDescent="0.25">
      <c r="A572" s="55"/>
      <c r="B572" s="14"/>
      <c r="C572" s="99">
        <f>MONTH(INGRESOS[[#This Row],[FECHA]])</f>
        <v>1</v>
      </c>
      <c r="D572" s="98" t="str">
        <f>MID(INGRESOS[[#This Row],[CUENTA]],1,4)</f>
        <v/>
      </c>
      <c r="E57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2" s="103"/>
      <c r="G572" s="20"/>
      <c r="H572" s="15"/>
      <c r="I572" s="16"/>
      <c r="J572" s="14"/>
    </row>
    <row r="573" spans="1:10" x14ac:dyDescent="0.25">
      <c r="A573" s="55"/>
      <c r="B573" s="20"/>
      <c r="C573" s="99">
        <f>MONTH(INGRESOS[[#This Row],[FECHA]])</f>
        <v>1</v>
      </c>
      <c r="D573" s="98" t="str">
        <f>MID(INGRESOS[[#This Row],[CUENTA]],1,4)</f>
        <v/>
      </c>
      <c r="E57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3" s="20"/>
      <c r="G573" s="20"/>
      <c r="H573" s="56"/>
      <c r="I573" s="57"/>
      <c r="J573" s="20"/>
    </row>
    <row r="574" spans="1:10" x14ac:dyDescent="0.25">
      <c r="A574" s="55"/>
      <c r="B574" s="20"/>
      <c r="C574" s="99">
        <f>MONTH(INGRESOS[[#This Row],[FECHA]])</f>
        <v>1</v>
      </c>
      <c r="D574" s="98" t="str">
        <f>MID(INGRESOS[[#This Row],[CUENTA]],1,4)</f>
        <v/>
      </c>
      <c r="E57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4" s="103"/>
      <c r="G574" s="20"/>
      <c r="H574" s="56"/>
      <c r="I574" s="57"/>
      <c r="J574" s="20"/>
    </row>
    <row r="575" spans="1:10" x14ac:dyDescent="0.25">
      <c r="A575" s="55"/>
      <c r="B575" s="14"/>
      <c r="C575" s="99">
        <f>MONTH(INGRESOS[[#This Row],[FECHA]])</f>
        <v>1</v>
      </c>
      <c r="D575" s="98" t="str">
        <f>MID(INGRESOS[[#This Row],[CUENTA]],1,4)</f>
        <v/>
      </c>
      <c r="E57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5" s="103"/>
      <c r="G575" s="20"/>
      <c r="H575" s="15"/>
      <c r="I575" s="16"/>
      <c r="J575" s="14"/>
    </row>
    <row r="576" spans="1:10" x14ac:dyDescent="0.25">
      <c r="A576" s="55"/>
      <c r="B576" s="14"/>
      <c r="C576" s="99">
        <f>MONTH(INGRESOS[[#This Row],[FECHA]])</f>
        <v>1</v>
      </c>
      <c r="D576" s="98" t="str">
        <f>MID(INGRESOS[[#This Row],[CUENTA]],1,4)</f>
        <v/>
      </c>
      <c r="E57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6" s="14"/>
      <c r="G576" s="14"/>
      <c r="H576" s="15"/>
      <c r="I576" s="16"/>
      <c r="J576" s="14"/>
    </row>
    <row r="577" spans="1:10" x14ac:dyDescent="0.25">
      <c r="A577" s="55"/>
      <c r="B577" s="14"/>
      <c r="C577" s="99">
        <f>MONTH(INGRESOS[[#This Row],[FECHA]])</f>
        <v>1</v>
      </c>
      <c r="D577" s="98" t="str">
        <f>MID(INGRESOS[[#This Row],[CUENTA]],1,4)</f>
        <v/>
      </c>
      <c r="E57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7" s="14"/>
      <c r="G577" s="20"/>
      <c r="H577" s="56"/>
      <c r="I577" s="57"/>
      <c r="J577" s="20"/>
    </row>
    <row r="578" spans="1:10" x14ac:dyDescent="0.25">
      <c r="A578" s="55"/>
      <c r="B578" s="14"/>
      <c r="C578" s="99">
        <f>MONTH(INGRESOS[[#This Row],[FECHA]])</f>
        <v>1</v>
      </c>
      <c r="D578" s="98" t="str">
        <f>MID(INGRESOS[[#This Row],[CUENTA]],1,4)</f>
        <v/>
      </c>
      <c r="E57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8" s="14"/>
      <c r="G578" s="14"/>
      <c r="H578" s="15"/>
      <c r="I578" s="16"/>
      <c r="J578" s="14"/>
    </row>
    <row r="579" spans="1:10" x14ac:dyDescent="0.25">
      <c r="A579" s="55"/>
      <c r="B579" s="14"/>
      <c r="C579" s="99">
        <f>MONTH(INGRESOS[[#This Row],[FECHA]])</f>
        <v>1</v>
      </c>
      <c r="D579" s="98" t="str">
        <f>MID(INGRESOS[[#This Row],[CUENTA]],1,4)</f>
        <v/>
      </c>
      <c r="E57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79" s="14"/>
      <c r="G579" s="14"/>
      <c r="H579" s="15"/>
      <c r="I579" s="16"/>
      <c r="J579" s="14"/>
    </row>
    <row r="580" spans="1:10" x14ac:dyDescent="0.25">
      <c r="A580" s="55"/>
      <c r="B580" s="14"/>
      <c r="C580" s="99">
        <f>MONTH(INGRESOS[[#This Row],[FECHA]])</f>
        <v>1</v>
      </c>
      <c r="D580" s="98" t="str">
        <f>MID(INGRESOS[[#This Row],[CUENTA]],1,4)</f>
        <v/>
      </c>
      <c r="E58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0" s="14"/>
      <c r="G580" s="14"/>
      <c r="H580" s="15"/>
      <c r="I580" s="16"/>
      <c r="J580" s="14"/>
    </row>
    <row r="581" spans="1:10" x14ac:dyDescent="0.25">
      <c r="A581" s="55"/>
      <c r="B581" s="14"/>
      <c r="C581" s="99">
        <f>MONTH(INGRESOS[[#This Row],[FECHA]])</f>
        <v>1</v>
      </c>
      <c r="D581" s="98" t="str">
        <f>MID(INGRESOS[[#This Row],[CUENTA]],1,4)</f>
        <v/>
      </c>
      <c r="E58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1" s="14"/>
      <c r="G581" s="14"/>
      <c r="H581" s="15"/>
      <c r="I581" s="16"/>
      <c r="J581" s="14"/>
    </row>
    <row r="582" spans="1:10" x14ac:dyDescent="0.25">
      <c r="A582" s="55"/>
      <c r="B582" s="14"/>
      <c r="C582" s="99">
        <f>MONTH(INGRESOS[[#This Row],[FECHA]])</f>
        <v>1</v>
      </c>
      <c r="D582" s="98" t="str">
        <f>MID(INGRESOS[[#This Row],[CUENTA]],1,4)</f>
        <v/>
      </c>
      <c r="E58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2" s="14"/>
      <c r="G582" s="14"/>
      <c r="H582" s="15"/>
      <c r="I582" s="16"/>
      <c r="J582" s="14"/>
    </row>
    <row r="583" spans="1:10" x14ac:dyDescent="0.25">
      <c r="A583" s="55"/>
      <c r="B583" s="14"/>
      <c r="C583" s="99">
        <f>MONTH(INGRESOS[[#This Row],[FECHA]])</f>
        <v>1</v>
      </c>
      <c r="D583" s="98" t="str">
        <f>MID(INGRESOS[[#This Row],[CUENTA]],1,4)</f>
        <v/>
      </c>
      <c r="E58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3" s="14"/>
      <c r="G583" s="14"/>
      <c r="H583" s="15"/>
      <c r="I583" s="16"/>
      <c r="J583" s="14"/>
    </row>
    <row r="584" spans="1:10" x14ac:dyDescent="0.25">
      <c r="A584" s="55"/>
      <c r="B584" s="14"/>
      <c r="C584" s="99">
        <f>MONTH(INGRESOS[[#This Row],[FECHA]])</f>
        <v>1</v>
      </c>
      <c r="D584" s="98" t="str">
        <f>MID(INGRESOS[[#This Row],[CUENTA]],1,4)</f>
        <v/>
      </c>
      <c r="E58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4" s="14"/>
      <c r="G584" s="14"/>
      <c r="H584" s="15"/>
      <c r="I584" s="16"/>
      <c r="J584" s="14"/>
    </row>
    <row r="585" spans="1:10" x14ac:dyDescent="0.25">
      <c r="A585" s="55"/>
      <c r="B585" s="14"/>
      <c r="C585" s="99">
        <f>MONTH(INGRESOS[[#This Row],[FECHA]])</f>
        <v>1</v>
      </c>
      <c r="D585" s="98" t="str">
        <f>MID(INGRESOS[[#This Row],[CUENTA]],1,4)</f>
        <v/>
      </c>
      <c r="E58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5" s="14"/>
      <c r="G585" s="14"/>
      <c r="H585" s="15"/>
      <c r="I585" s="16"/>
      <c r="J585" s="14"/>
    </row>
    <row r="586" spans="1:10" x14ac:dyDescent="0.25">
      <c r="A586" s="55"/>
      <c r="B586" s="14"/>
      <c r="C586" s="99">
        <f>MONTH(INGRESOS[[#This Row],[FECHA]])</f>
        <v>1</v>
      </c>
      <c r="D586" s="98" t="str">
        <f>MID(INGRESOS[[#This Row],[CUENTA]],1,4)</f>
        <v/>
      </c>
      <c r="E58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6" s="14"/>
      <c r="G586" s="14"/>
      <c r="H586" s="15"/>
      <c r="I586" s="16"/>
      <c r="J586" s="14"/>
    </row>
    <row r="587" spans="1:10" x14ac:dyDescent="0.25">
      <c r="A587" s="55"/>
      <c r="B587" s="14"/>
      <c r="C587" s="99">
        <f>MONTH(INGRESOS[[#This Row],[FECHA]])</f>
        <v>1</v>
      </c>
      <c r="D587" s="98" t="str">
        <f>MID(INGRESOS[[#This Row],[CUENTA]],1,4)</f>
        <v/>
      </c>
      <c r="E58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7" s="14"/>
      <c r="G587" s="14"/>
      <c r="H587" s="15"/>
      <c r="I587" s="16"/>
      <c r="J587" s="14"/>
    </row>
    <row r="588" spans="1:10" x14ac:dyDescent="0.25">
      <c r="A588" s="55"/>
      <c r="B588" s="14"/>
      <c r="C588" s="99">
        <f>MONTH(INGRESOS[[#This Row],[FECHA]])</f>
        <v>1</v>
      </c>
      <c r="D588" s="98" t="str">
        <f>MID(INGRESOS[[#This Row],[CUENTA]],1,4)</f>
        <v/>
      </c>
      <c r="E58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8" s="14"/>
      <c r="G588" s="14"/>
      <c r="H588" s="15"/>
      <c r="I588" s="16"/>
      <c r="J588" s="14"/>
    </row>
    <row r="589" spans="1:10" x14ac:dyDescent="0.25">
      <c r="A589" s="55"/>
      <c r="B589" s="14"/>
      <c r="C589" s="99">
        <f>MONTH(INGRESOS[[#This Row],[FECHA]])</f>
        <v>1</v>
      </c>
      <c r="D589" s="98" t="str">
        <f>MID(INGRESOS[[#This Row],[CUENTA]],1,4)</f>
        <v/>
      </c>
      <c r="E58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89" s="14"/>
      <c r="G589" s="14"/>
      <c r="H589" s="15"/>
      <c r="I589" s="16"/>
      <c r="J589" s="14"/>
    </row>
    <row r="590" spans="1:10" x14ac:dyDescent="0.25">
      <c r="A590" s="55"/>
      <c r="B590" s="14"/>
      <c r="C590" s="99">
        <f>MONTH(INGRESOS[[#This Row],[FECHA]])</f>
        <v>1</v>
      </c>
      <c r="D590" s="98" t="str">
        <f>MID(INGRESOS[[#This Row],[CUENTA]],1,4)</f>
        <v/>
      </c>
      <c r="E59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0" s="14"/>
      <c r="G590" s="14"/>
      <c r="H590" s="15"/>
      <c r="I590" s="16"/>
      <c r="J590" s="14"/>
    </row>
    <row r="591" spans="1:10" x14ac:dyDescent="0.25">
      <c r="A591" s="55"/>
      <c r="B591" s="14"/>
      <c r="C591" s="99">
        <f>MONTH(INGRESOS[[#This Row],[FECHA]])</f>
        <v>1</v>
      </c>
      <c r="D591" s="98" t="str">
        <f>MID(INGRESOS[[#This Row],[CUENTA]],1,4)</f>
        <v/>
      </c>
      <c r="E59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1" s="14"/>
      <c r="G591" s="14"/>
      <c r="H591" s="15"/>
      <c r="I591" s="16"/>
      <c r="J591" s="14"/>
    </row>
    <row r="592" spans="1:10" x14ac:dyDescent="0.25">
      <c r="A592" s="55"/>
      <c r="B592" s="14"/>
      <c r="C592" s="99">
        <f>MONTH(INGRESOS[[#This Row],[FECHA]])</f>
        <v>1</v>
      </c>
      <c r="D592" s="98" t="str">
        <f>MID(INGRESOS[[#This Row],[CUENTA]],1,4)</f>
        <v/>
      </c>
      <c r="E59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2" s="14"/>
      <c r="G592" s="14"/>
      <c r="H592" s="15"/>
      <c r="I592" s="16"/>
      <c r="J592" s="14"/>
    </row>
    <row r="593" spans="1:10" x14ac:dyDescent="0.25">
      <c r="A593" s="55"/>
      <c r="B593" s="14"/>
      <c r="C593" s="99">
        <f>MONTH(INGRESOS[[#This Row],[FECHA]])</f>
        <v>1</v>
      </c>
      <c r="D593" s="98" t="str">
        <f>MID(INGRESOS[[#This Row],[CUENTA]],1,4)</f>
        <v/>
      </c>
      <c r="E59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3" s="14"/>
      <c r="G593" s="14"/>
      <c r="H593" s="15"/>
      <c r="I593" s="16"/>
      <c r="J593" s="14"/>
    </row>
    <row r="594" spans="1:10" x14ac:dyDescent="0.25">
      <c r="A594" s="55"/>
      <c r="B594" s="14"/>
      <c r="C594" s="99">
        <f>MONTH(INGRESOS[[#This Row],[FECHA]])</f>
        <v>1</v>
      </c>
      <c r="D594" s="98" t="str">
        <f>MID(INGRESOS[[#This Row],[CUENTA]],1,4)</f>
        <v/>
      </c>
      <c r="E59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4" s="14"/>
      <c r="G594" s="14"/>
      <c r="H594" s="15"/>
      <c r="I594" s="16"/>
      <c r="J594" s="14"/>
    </row>
    <row r="595" spans="1:10" x14ac:dyDescent="0.25">
      <c r="A595" s="55"/>
      <c r="B595" s="14"/>
      <c r="C595" s="99">
        <f>MONTH(INGRESOS[[#This Row],[FECHA]])</f>
        <v>1</v>
      </c>
      <c r="D595" s="98" t="str">
        <f>MID(INGRESOS[[#This Row],[CUENTA]],1,4)</f>
        <v/>
      </c>
      <c r="E59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5" s="14"/>
      <c r="G595" s="14"/>
      <c r="H595" s="15"/>
      <c r="I595" s="16"/>
      <c r="J595" s="14"/>
    </row>
    <row r="596" spans="1:10" x14ac:dyDescent="0.25">
      <c r="A596" s="55"/>
      <c r="B596" s="14"/>
      <c r="C596" s="99">
        <f>MONTH(INGRESOS[[#This Row],[FECHA]])</f>
        <v>1</v>
      </c>
      <c r="D596" s="98" t="str">
        <f>MID(INGRESOS[[#This Row],[CUENTA]],1,4)</f>
        <v/>
      </c>
      <c r="E59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6" s="14"/>
      <c r="G596" s="14"/>
      <c r="H596" s="15"/>
      <c r="I596" s="16"/>
      <c r="J596" s="14"/>
    </row>
    <row r="597" spans="1:10" x14ac:dyDescent="0.25">
      <c r="A597" s="55"/>
      <c r="B597" s="14"/>
      <c r="C597" s="99">
        <f>MONTH(INGRESOS[[#This Row],[FECHA]])</f>
        <v>1</v>
      </c>
      <c r="D597" s="98" t="str">
        <f>MID(INGRESOS[[#This Row],[CUENTA]],1,4)</f>
        <v/>
      </c>
      <c r="E59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7" s="14"/>
      <c r="G597" s="14"/>
      <c r="H597" s="15"/>
      <c r="I597" s="16"/>
      <c r="J597" s="14"/>
    </row>
    <row r="598" spans="1:10" x14ac:dyDescent="0.25">
      <c r="A598" s="55"/>
      <c r="B598" s="14"/>
      <c r="C598" s="99">
        <f>MONTH(INGRESOS[[#This Row],[FECHA]])</f>
        <v>1</v>
      </c>
      <c r="D598" s="98" t="str">
        <f>MID(INGRESOS[[#This Row],[CUENTA]],1,4)</f>
        <v/>
      </c>
      <c r="E59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8" s="14"/>
      <c r="G598" s="14"/>
      <c r="H598" s="15"/>
      <c r="I598" s="16"/>
      <c r="J598" s="14"/>
    </row>
    <row r="599" spans="1:10" x14ac:dyDescent="0.25">
      <c r="A599" s="55"/>
      <c r="B599" s="14"/>
      <c r="C599" s="99">
        <f>MONTH(INGRESOS[[#This Row],[FECHA]])</f>
        <v>1</v>
      </c>
      <c r="D599" s="98" t="str">
        <f>MID(INGRESOS[[#This Row],[CUENTA]],1,4)</f>
        <v/>
      </c>
      <c r="E59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599" s="14"/>
      <c r="G599" s="14"/>
      <c r="H599" s="15"/>
      <c r="I599" s="16"/>
      <c r="J599" s="14"/>
    </row>
    <row r="600" spans="1:10" x14ac:dyDescent="0.25">
      <c r="A600" s="55"/>
      <c r="B600" s="14"/>
      <c r="C600" s="99">
        <f>MONTH(INGRESOS[[#This Row],[FECHA]])</f>
        <v>1</v>
      </c>
      <c r="D600" s="98" t="str">
        <f>MID(INGRESOS[[#This Row],[CUENTA]],1,4)</f>
        <v/>
      </c>
      <c r="E60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0" s="14"/>
      <c r="G600" s="14"/>
      <c r="H600" s="15"/>
      <c r="I600" s="16"/>
      <c r="J600" s="14"/>
    </row>
    <row r="601" spans="1:10" x14ac:dyDescent="0.25">
      <c r="A601" s="55"/>
      <c r="B601" s="14"/>
      <c r="C601" s="99">
        <f>MONTH(INGRESOS[[#This Row],[FECHA]])</f>
        <v>1</v>
      </c>
      <c r="D601" s="98" t="str">
        <f>MID(INGRESOS[[#This Row],[CUENTA]],1,4)</f>
        <v/>
      </c>
      <c r="E60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1" s="14"/>
      <c r="G601" s="14"/>
      <c r="H601" s="15"/>
      <c r="I601" s="16"/>
      <c r="J601" s="14"/>
    </row>
    <row r="602" spans="1:10" x14ac:dyDescent="0.25">
      <c r="A602" s="55"/>
      <c r="B602" s="14"/>
      <c r="C602" s="99">
        <f>MONTH(INGRESOS[[#This Row],[FECHA]])</f>
        <v>1</v>
      </c>
      <c r="D602" s="98" t="str">
        <f>MID(INGRESOS[[#This Row],[CUENTA]],1,4)</f>
        <v/>
      </c>
      <c r="E60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2" s="14"/>
      <c r="G602" s="14"/>
      <c r="H602" s="15"/>
      <c r="I602" s="16"/>
      <c r="J602" s="14"/>
    </row>
    <row r="603" spans="1:10" x14ac:dyDescent="0.25">
      <c r="A603" s="55"/>
      <c r="B603" s="14"/>
      <c r="C603" s="99">
        <f>MONTH(INGRESOS[[#This Row],[FECHA]])</f>
        <v>1</v>
      </c>
      <c r="D603" s="98" t="str">
        <f>MID(INGRESOS[[#This Row],[CUENTA]],1,4)</f>
        <v/>
      </c>
      <c r="E60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3" s="14"/>
      <c r="G603" s="14"/>
      <c r="H603" s="15"/>
      <c r="I603" s="16"/>
      <c r="J603" s="14"/>
    </row>
    <row r="604" spans="1:10" x14ac:dyDescent="0.25">
      <c r="A604" s="55"/>
      <c r="B604" s="14"/>
      <c r="C604" s="99">
        <f>MONTH(INGRESOS[[#This Row],[FECHA]])</f>
        <v>1</v>
      </c>
      <c r="D604" s="98" t="str">
        <f>MID(INGRESOS[[#This Row],[CUENTA]],1,4)</f>
        <v/>
      </c>
      <c r="E60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4" s="14"/>
      <c r="G604" s="14"/>
      <c r="H604" s="15"/>
      <c r="I604" s="16"/>
      <c r="J604" s="14"/>
    </row>
    <row r="605" spans="1:10" x14ac:dyDescent="0.25">
      <c r="A605" s="55"/>
      <c r="B605" s="14"/>
      <c r="C605" s="99">
        <f>MONTH(INGRESOS[[#This Row],[FECHA]])</f>
        <v>1</v>
      </c>
      <c r="D605" s="98" t="str">
        <f>MID(INGRESOS[[#This Row],[CUENTA]],1,4)</f>
        <v/>
      </c>
      <c r="E60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5" s="14"/>
      <c r="G605" s="14"/>
      <c r="H605" s="15"/>
      <c r="I605" s="16"/>
      <c r="J605" s="14"/>
    </row>
    <row r="606" spans="1:10" x14ac:dyDescent="0.25">
      <c r="A606" s="55"/>
      <c r="B606" s="14"/>
      <c r="C606" s="99">
        <f>MONTH(INGRESOS[[#This Row],[FECHA]])</f>
        <v>1</v>
      </c>
      <c r="D606" s="98" t="str">
        <f>MID(INGRESOS[[#This Row],[CUENTA]],1,4)</f>
        <v/>
      </c>
      <c r="E60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6" s="14"/>
      <c r="G606" s="14"/>
      <c r="H606" s="15"/>
      <c r="I606" s="16"/>
      <c r="J606" s="14"/>
    </row>
    <row r="607" spans="1:10" x14ac:dyDescent="0.25">
      <c r="A607" s="55"/>
      <c r="B607" s="14"/>
      <c r="C607" s="99">
        <f>MONTH(INGRESOS[[#This Row],[FECHA]])</f>
        <v>1</v>
      </c>
      <c r="D607" s="98" t="str">
        <f>MID(INGRESOS[[#This Row],[CUENTA]],1,4)</f>
        <v/>
      </c>
      <c r="E60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7" s="14"/>
      <c r="G607" s="14"/>
      <c r="H607" s="15"/>
      <c r="I607" s="16"/>
      <c r="J607" s="14"/>
    </row>
    <row r="608" spans="1:10" x14ac:dyDescent="0.25">
      <c r="A608" s="55"/>
      <c r="B608" s="14"/>
      <c r="C608" s="99">
        <f>MONTH(INGRESOS[[#This Row],[FECHA]])</f>
        <v>1</v>
      </c>
      <c r="D608" s="98" t="str">
        <f>MID(INGRESOS[[#This Row],[CUENTA]],1,4)</f>
        <v/>
      </c>
      <c r="E60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8" s="14"/>
      <c r="G608" s="14"/>
      <c r="H608" s="15"/>
      <c r="I608" s="16"/>
      <c r="J608" s="14"/>
    </row>
    <row r="609" spans="1:10" x14ac:dyDescent="0.25">
      <c r="A609" s="55"/>
      <c r="B609" s="14"/>
      <c r="C609" s="99">
        <f>MONTH(INGRESOS[[#This Row],[FECHA]])</f>
        <v>1</v>
      </c>
      <c r="D609" s="98" t="str">
        <f>MID(INGRESOS[[#This Row],[CUENTA]],1,4)</f>
        <v/>
      </c>
      <c r="E60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09" s="14"/>
      <c r="G609" s="14"/>
      <c r="H609" s="15"/>
      <c r="I609" s="16"/>
      <c r="J609" s="14"/>
    </row>
    <row r="610" spans="1:10" x14ac:dyDescent="0.25">
      <c r="A610" s="55"/>
      <c r="B610" s="14"/>
      <c r="C610" s="99">
        <f>MONTH(INGRESOS[[#This Row],[FECHA]])</f>
        <v>1</v>
      </c>
      <c r="D610" s="98" t="str">
        <f>MID(INGRESOS[[#This Row],[CUENTA]],1,4)</f>
        <v/>
      </c>
      <c r="E61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0" s="14"/>
      <c r="G610" s="14"/>
      <c r="H610" s="15"/>
      <c r="I610" s="16"/>
      <c r="J610" s="14"/>
    </row>
    <row r="611" spans="1:10" x14ac:dyDescent="0.25">
      <c r="A611" s="55"/>
      <c r="B611" s="14"/>
      <c r="C611" s="99">
        <f>MONTH(INGRESOS[[#This Row],[FECHA]])</f>
        <v>1</v>
      </c>
      <c r="D611" s="98" t="str">
        <f>MID(INGRESOS[[#This Row],[CUENTA]],1,4)</f>
        <v/>
      </c>
      <c r="E61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1" s="14"/>
      <c r="G611" s="14"/>
      <c r="H611" s="15"/>
      <c r="I611" s="16"/>
      <c r="J611" s="14"/>
    </row>
    <row r="612" spans="1:10" x14ac:dyDescent="0.25">
      <c r="A612" s="55"/>
      <c r="B612" s="14"/>
      <c r="C612" s="99">
        <f>MONTH(INGRESOS[[#This Row],[FECHA]])</f>
        <v>1</v>
      </c>
      <c r="D612" s="98" t="str">
        <f>MID(INGRESOS[[#This Row],[CUENTA]],1,4)</f>
        <v/>
      </c>
      <c r="E61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2" s="14"/>
      <c r="G612" s="14"/>
      <c r="H612" s="15"/>
      <c r="I612" s="16"/>
      <c r="J612" s="14"/>
    </row>
    <row r="613" spans="1:10" x14ac:dyDescent="0.25">
      <c r="A613" s="55"/>
      <c r="B613" s="14"/>
      <c r="C613" s="99">
        <f>MONTH(INGRESOS[[#This Row],[FECHA]])</f>
        <v>1</v>
      </c>
      <c r="D613" s="98" t="str">
        <f>MID(INGRESOS[[#This Row],[CUENTA]],1,4)</f>
        <v/>
      </c>
      <c r="E61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3" s="14"/>
      <c r="G613" s="14"/>
      <c r="H613" s="15"/>
      <c r="I613" s="16"/>
      <c r="J613" s="14"/>
    </row>
    <row r="614" spans="1:10" x14ac:dyDescent="0.25">
      <c r="A614" s="55"/>
      <c r="B614" s="14"/>
      <c r="C614" s="99">
        <f>MONTH(INGRESOS[[#This Row],[FECHA]])</f>
        <v>1</v>
      </c>
      <c r="D614" s="98" t="str">
        <f>MID(INGRESOS[[#This Row],[CUENTA]],1,4)</f>
        <v/>
      </c>
      <c r="E61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4" s="14"/>
      <c r="G614" s="14"/>
      <c r="H614" s="15"/>
      <c r="I614" s="16"/>
      <c r="J614" s="14"/>
    </row>
    <row r="615" spans="1:10" x14ac:dyDescent="0.25">
      <c r="A615" s="55"/>
      <c r="B615" s="14"/>
      <c r="C615" s="99">
        <f>MONTH(INGRESOS[[#This Row],[FECHA]])</f>
        <v>1</v>
      </c>
      <c r="D615" s="98" t="str">
        <f>MID(INGRESOS[[#This Row],[CUENTA]],1,4)</f>
        <v/>
      </c>
      <c r="E61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5" s="14"/>
      <c r="G615" s="14"/>
      <c r="H615" s="15"/>
      <c r="I615" s="16"/>
      <c r="J615" s="14"/>
    </row>
    <row r="616" spans="1:10" x14ac:dyDescent="0.25">
      <c r="A616" s="55"/>
      <c r="B616" s="14"/>
      <c r="C616" s="99">
        <f>MONTH(INGRESOS[[#This Row],[FECHA]])</f>
        <v>1</v>
      </c>
      <c r="D616" s="98" t="str">
        <f>MID(INGRESOS[[#This Row],[CUENTA]],1,4)</f>
        <v/>
      </c>
      <c r="E61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6" s="14"/>
      <c r="G616" s="14"/>
      <c r="H616" s="15"/>
      <c r="I616" s="16"/>
      <c r="J616" s="14"/>
    </row>
    <row r="617" spans="1:10" x14ac:dyDescent="0.25">
      <c r="A617" s="55"/>
      <c r="B617" s="14"/>
      <c r="C617" s="99">
        <f>MONTH(INGRESOS[[#This Row],[FECHA]])</f>
        <v>1</v>
      </c>
      <c r="D617" s="98" t="str">
        <f>MID(INGRESOS[[#This Row],[CUENTA]],1,4)</f>
        <v/>
      </c>
      <c r="E61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7" s="14"/>
      <c r="G617" s="14"/>
      <c r="H617" s="15"/>
      <c r="I617" s="16"/>
      <c r="J617" s="14"/>
    </row>
    <row r="618" spans="1:10" x14ac:dyDescent="0.25">
      <c r="A618" s="55"/>
      <c r="B618" s="14"/>
      <c r="C618" s="99">
        <f>MONTH(INGRESOS[[#This Row],[FECHA]])</f>
        <v>1</v>
      </c>
      <c r="D618" s="98" t="str">
        <f>MID(INGRESOS[[#This Row],[CUENTA]],1,4)</f>
        <v/>
      </c>
      <c r="E61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8" s="14"/>
      <c r="G618" s="14"/>
      <c r="H618" s="15"/>
      <c r="I618" s="16"/>
      <c r="J618" s="14"/>
    </row>
    <row r="619" spans="1:10" x14ac:dyDescent="0.25">
      <c r="A619" s="55"/>
      <c r="B619" s="14"/>
      <c r="C619" s="99">
        <f>MONTH(INGRESOS[[#This Row],[FECHA]])</f>
        <v>1</v>
      </c>
      <c r="D619" s="98" t="str">
        <f>MID(INGRESOS[[#This Row],[CUENTA]],1,4)</f>
        <v/>
      </c>
      <c r="E61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19" s="14"/>
      <c r="G619" s="14"/>
      <c r="H619" s="15"/>
      <c r="I619" s="16"/>
      <c r="J619" s="14"/>
    </row>
    <row r="620" spans="1:10" x14ac:dyDescent="0.25">
      <c r="A620" s="55"/>
      <c r="B620" s="14"/>
      <c r="C620" s="99">
        <f>MONTH(INGRESOS[[#This Row],[FECHA]])</f>
        <v>1</v>
      </c>
      <c r="D620" s="98" t="str">
        <f>MID(INGRESOS[[#This Row],[CUENTA]],1,4)</f>
        <v/>
      </c>
      <c r="E62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0" s="14"/>
      <c r="G620" s="14"/>
      <c r="H620" s="15"/>
      <c r="I620" s="16"/>
      <c r="J620" s="14"/>
    </row>
    <row r="621" spans="1:10" x14ac:dyDescent="0.25">
      <c r="A621" s="55"/>
      <c r="B621" s="14"/>
      <c r="C621" s="99">
        <f>MONTH(INGRESOS[[#This Row],[FECHA]])</f>
        <v>1</v>
      </c>
      <c r="D621" s="98" t="str">
        <f>MID(INGRESOS[[#This Row],[CUENTA]],1,4)</f>
        <v/>
      </c>
      <c r="E62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1" s="14"/>
      <c r="G621" s="14"/>
      <c r="H621" s="15"/>
      <c r="I621" s="16"/>
      <c r="J621" s="14"/>
    </row>
    <row r="622" spans="1:10" x14ac:dyDescent="0.25">
      <c r="A622" s="55"/>
      <c r="B622" s="14"/>
      <c r="C622" s="99">
        <f>MONTH(INGRESOS[[#This Row],[FECHA]])</f>
        <v>1</v>
      </c>
      <c r="D622" s="98" t="str">
        <f>MID(INGRESOS[[#This Row],[CUENTA]],1,4)</f>
        <v/>
      </c>
      <c r="E62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2" s="14"/>
      <c r="G622" s="14"/>
      <c r="H622" s="15"/>
      <c r="I622" s="16"/>
      <c r="J622" s="14"/>
    </row>
    <row r="623" spans="1:10" x14ac:dyDescent="0.25">
      <c r="A623" s="55"/>
      <c r="B623" s="14"/>
      <c r="C623" s="99">
        <f>MONTH(INGRESOS[[#This Row],[FECHA]])</f>
        <v>1</v>
      </c>
      <c r="D623" s="98" t="str">
        <f>MID(INGRESOS[[#This Row],[CUENTA]],1,4)</f>
        <v/>
      </c>
      <c r="E62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3" s="14"/>
      <c r="G623" s="14"/>
      <c r="H623" s="15"/>
      <c r="I623" s="16"/>
      <c r="J623" s="14"/>
    </row>
    <row r="624" spans="1:10" x14ac:dyDescent="0.25">
      <c r="A624" s="55"/>
      <c r="B624" s="14"/>
      <c r="C624" s="99">
        <f>MONTH(INGRESOS[[#This Row],[FECHA]])</f>
        <v>1</v>
      </c>
      <c r="D624" s="98" t="str">
        <f>MID(INGRESOS[[#This Row],[CUENTA]],1,4)</f>
        <v/>
      </c>
      <c r="E62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4" s="14"/>
      <c r="G624" s="14"/>
      <c r="H624" s="15"/>
      <c r="I624" s="16"/>
      <c r="J624" s="14"/>
    </row>
    <row r="625" spans="1:10" x14ac:dyDescent="0.25">
      <c r="A625" s="55"/>
      <c r="B625" s="14"/>
      <c r="C625" s="99">
        <f>MONTH(INGRESOS[[#This Row],[FECHA]])</f>
        <v>1</v>
      </c>
      <c r="D625" s="98" t="str">
        <f>MID(INGRESOS[[#This Row],[CUENTA]],1,4)</f>
        <v/>
      </c>
      <c r="E62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5" s="14"/>
      <c r="G625" s="14"/>
      <c r="H625" s="15"/>
      <c r="I625" s="16"/>
      <c r="J625" s="14"/>
    </row>
    <row r="626" spans="1:10" x14ac:dyDescent="0.25">
      <c r="A626" s="55"/>
      <c r="B626" s="99"/>
      <c r="C626" s="99">
        <f>MONTH(INGRESOS[[#This Row],[FECHA]])</f>
        <v>1</v>
      </c>
      <c r="D626" s="98" t="str">
        <f>MID(INGRESOS[[#This Row],[CUENTA]],1,4)</f>
        <v/>
      </c>
      <c r="E62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6" s="99"/>
      <c r="G626" s="14"/>
      <c r="H626" s="100"/>
      <c r="I626" s="16"/>
      <c r="J626" s="99"/>
    </row>
    <row r="627" spans="1:10" x14ac:dyDescent="0.25">
      <c r="A627" s="55"/>
      <c r="B627" s="103"/>
      <c r="C627" s="99">
        <f>MONTH(INGRESOS[[#This Row],[FECHA]])</f>
        <v>1</v>
      </c>
      <c r="D627" s="98" t="str">
        <f>MID(INGRESOS[[#This Row],[CUENTA]],1,4)</f>
        <v/>
      </c>
      <c r="E62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7" s="103"/>
      <c r="G627" s="14"/>
      <c r="H627" s="104"/>
      <c r="I627" s="16"/>
      <c r="J627" s="103"/>
    </row>
    <row r="628" spans="1:10" x14ac:dyDescent="0.25">
      <c r="A628" s="55"/>
      <c r="B628" s="103"/>
      <c r="C628" s="99">
        <f>MONTH(INGRESOS[[#This Row],[FECHA]])</f>
        <v>1</v>
      </c>
      <c r="D628" s="98" t="str">
        <f>MID(INGRESOS[[#This Row],[CUENTA]],1,4)</f>
        <v/>
      </c>
      <c r="E62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8" s="103"/>
      <c r="G628" s="14"/>
      <c r="H628" s="104"/>
      <c r="I628" s="16"/>
      <c r="J628" s="103"/>
    </row>
    <row r="629" spans="1:10" x14ac:dyDescent="0.25">
      <c r="A629" s="55"/>
      <c r="B629" s="103"/>
      <c r="C629" s="99">
        <f>MONTH(INGRESOS[[#This Row],[FECHA]])</f>
        <v>1</v>
      </c>
      <c r="D629" s="98" t="str">
        <f>MID(INGRESOS[[#This Row],[CUENTA]],1,4)</f>
        <v/>
      </c>
      <c r="E62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29" s="103"/>
      <c r="G629" s="14"/>
      <c r="H629" s="104"/>
      <c r="I629" s="16"/>
      <c r="J629" s="103"/>
    </row>
    <row r="630" spans="1:10" x14ac:dyDescent="0.25">
      <c r="A630" s="55"/>
      <c r="B630" s="103"/>
      <c r="C630" s="99"/>
      <c r="D630" s="98"/>
      <c r="E630" s="99"/>
      <c r="F630" s="103"/>
      <c r="G630" s="14"/>
      <c r="H630" s="104"/>
      <c r="I630" s="16"/>
      <c r="J630" s="103"/>
    </row>
    <row r="631" spans="1:10" x14ac:dyDescent="0.25">
      <c r="A631" s="55"/>
      <c r="B631" s="103"/>
      <c r="C631" s="99">
        <f>MONTH(INGRESOS[[#This Row],[FECHA]])</f>
        <v>1</v>
      </c>
      <c r="D631" s="98" t="str">
        <f>MID(INGRESOS[[#This Row],[CUENTA]],1,4)</f>
        <v/>
      </c>
      <c r="E63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1" s="103"/>
      <c r="G631" s="14"/>
      <c r="H631" s="104"/>
      <c r="I631" s="16"/>
      <c r="J631" s="103"/>
    </row>
    <row r="632" spans="1:10" x14ac:dyDescent="0.25">
      <c r="A632" s="55"/>
      <c r="B632" s="103"/>
      <c r="C632" s="99">
        <f>MONTH(INGRESOS[[#This Row],[FECHA]])</f>
        <v>1</v>
      </c>
      <c r="D632" s="98" t="str">
        <f>MID(INGRESOS[[#This Row],[CUENTA]],1,4)</f>
        <v/>
      </c>
      <c r="E63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2" s="103"/>
      <c r="G632" s="14"/>
      <c r="H632" s="104"/>
      <c r="I632" s="16"/>
      <c r="J632" s="103"/>
    </row>
    <row r="633" spans="1:10" x14ac:dyDescent="0.25">
      <c r="A633" s="55"/>
      <c r="B633" s="103"/>
      <c r="C633" s="99">
        <f>MONTH(INGRESOS[[#This Row],[FECHA]])</f>
        <v>1</v>
      </c>
      <c r="D633" s="98" t="str">
        <f>MID(INGRESOS[[#This Row],[CUENTA]],1,4)</f>
        <v/>
      </c>
      <c r="E63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3" s="103"/>
      <c r="G633" s="14"/>
      <c r="H633" s="104"/>
      <c r="I633" s="16"/>
      <c r="J633" s="103"/>
    </row>
    <row r="634" spans="1:10" x14ac:dyDescent="0.25">
      <c r="A634" s="55"/>
      <c r="B634" s="103"/>
      <c r="C634" s="99">
        <f>MONTH(INGRESOS[[#This Row],[FECHA]])</f>
        <v>1</v>
      </c>
      <c r="D634" s="98" t="str">
        <f>MID(INGRESOS[[#This Row],[CUENTA]],1,4)</f>
        <v/>
      </c>
      <c r="E63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4" s="103"/>
      <c r="G634" s="14"/>
      <c r="H634" s="104"/>
      <c r="I634" s="16"/>
      <c r="J634" s="103"/>
    </row>
    <row r="635" spans="1:10" x14ac:dyDescent="0.25">
      <c r="A635" s="55"/>
      <c r="B635" s="103"/>
      <c r="C635" s="99">
        <f>MONTH(INGRESOS[[#This Row],[FECHA]])</f>
        <v>1</v>
      </c>
      <c r="D635" s="98" t="str">
        <f>MID(INGRESOS[[#This Row],[CUENTA]],1,4)</f>
        <v/>
      </c>
      <c r="E63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5" s="103"/>
      <c r="G635" s="14"/>
      <c r="H635" s="104"/>
      <c r="I635" s="16"/>
      <c r="J635" s="103"/>
    </row>
    <row r="636" spans="1:10" x14ac:dyDescent="0.25">
      <c r="A636" s="55"/>
      <c r="B636" s="103"/>
      <c r="C636" s="99">
        <f>MONTH(INGRESOS[[#This Row],[FECHA]])</f>
        <v>1</v>
      </c>
      <c r="D636" s="98" t="str">
        <f>MID(INGRESOS[[#This Row],[CUENTA]],1,4)</f>
        <v/>
      </c>
      <c r="E63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6" s="103"/>
      <c r="G636" s="14"/>
      <c r="H636" s="104"/>
      <c r="I636" s="16"/>
      <c r="J636" s="103"/>
    </row>
    <row r="637" spans="1:10" x14ac:dyDescent="0.25">
      <c r="A637" s="55"/>
      <c r="B637" s="103"/>
      <c r="C637" s="99">
        <f>MONTH(INGRESOS[[#This Row],[FECHA]])</f>
        <v>1</v>
      </c>
      <c r="D637" s="98" t="str">
        <f>MID(INGRESOS[[#This Row],[CUENTA]],1,4)</f>
        <v/>
      </c>
      <c r="E63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7" s="103"/>
      <c r="G637" s="14"/>
      <c r="H637" s="104"/>
      <c r="I637" s="16"/>
      <c r="J637" s="103"/>
    </row>
    <row r="638" spans="1:10" x14ac:dyDescent="0.25">
      <c r="A638" s="55"/>
      <c r="B638" s="103"/>
      <c r="C638" s="99">
        <f>MONTH(INGRESOS[[#This Row],[FECHA]])</f>
        <v>1</v>
      </c>
      <c r="D638" s="98" t="str">
        <f>MID(INGRESOS[[#This Row],[CUENTA]],1,4)</f>
        <v/>
      </c>
      <c r="E63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8" s="103"/>
      <c r="G638" s="14"/>
      <c r="H638" s="104"/>
      <c r="I638" s="16"/>
      <c r="J638" s="103"/>
    </row>
    <row r="639" spans="1:10" x14ac:dyDescent="0.25">
      <c r="A639" s="58"/>
      <c r="B639" s="103"/>
      <c r="C639" s="99">
        <f>MONTH(INGRESOS[[#This Row],[FECHA]])</f>
        <v>1</v>
      </c>
      <c r="D639" s="98" t="str">
        <f>MID(INGRESOS[[#This Row],[CUENTA]],1,4)</f>
        <v/>
      </c>
      <c r="E63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39" s="103"/>
      <c r="G639" s="59"/>
      <c r="H639" s="60"/>
      <c r="I639" s="61"/>
      <c r="J639" s="103"/>
    </row>
    <row r="640" spans="1:10" x14ac:dyDescent="0.25">
      <c r="A640" s="58"/>
      <c r="B640" s="103"/>
      <c r="C640" s="99">
        <f>MONTH(INGRESOS[[#This Row],[FECHA]])</f>
        <v>1</v>
      </c>
      <c r="D640" s="98" t="str">
        <f>MID(INGRESOS[[#This Row],[CUENTA]],1,4)</f>
        <v/>
      </c>
      <c r="E64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0" s="103"/>
      <c r="G640" s="59"/>
      <c r="H640" s="104"/>
      <c r="I640" s="61"/>
      <c r="J640" s="103"/>
    </row>
    <row r="641" spans="1:10" x14ac:dyDescent="0.25">
      <c r="A641" s="58"/>
      <c r="B641" s="103"/>
      <c r="C641" s="99">
        <f>MONTH(INGRESOS[[#This Row],[FECHA]])</f>
        <v>1</v>
      </c>
      <c r="D641" s="98" t="str">
        <f>MID(INGRESOS[[#This Row],[CUENTA]],1,4)</f>
        <v/>
      </c>
      <c r="E64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1" s="103"/>
      <c r="G641" s="59"/>
      <c r="H641" s="104"/>
      <c r="I641" s="61"/>
      <c r="J641" s="103"/>
    </row>
    <row r="642" spans="1:10" x14ac:dyDescent="0.25">
      <c r="A642" s="58"/>
      <c r="B642" s="103"/>
      <c r="C642" s="99">
        <f>MONTH(INGRESOS[[#This Row],[FECHA]])</f>
        <v>1</v>
      </c>
      <c r="D642" s="98" t="str">
        <f>MID(INGRESOS[[#This Row],[CUENTA]],1,4)</f>
        <v/>
      </c>
      <c r="E64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2" s="103"/>
      <c r="G642" s="59"/>
      <c r="H642" s="104"/>
      <c r="I642" s="61"/>
      <c r="J642" s="103"/>
    </row>
    <row r="643" spans="1:10" x14ac:dyDescent="0.25">
      <c r="A643" s="58"/>
      <c r="B643" s="103"/>
      <c r="C643" s="99">
        <f>MONTH(INGRESOS[[#This Row],[FECHA]])</f>
        <v>1</v>
      </c>
      <c r="D643" s="98" t="str">
        <f>MID(INGRESOS[[#This Row],[CUENTA]],1,4)</f>
        <v/>
      </c>
      <c r="E64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3" s="103"/>
      <c r="G643" s="59"/>
      <c r="H643" s="104"/>
      <c r="I643" s="61"/>
      <c r="J643" s="103"/>
    </row>
    <row r="644" spans="1:10" x14ac:dyDescent="0.25">
      <c r="A644" s="58"/>
      <c r="B644" s="103"/>
      <c r="C644" s="99">
        <f>MONTH(INGRESOS[[#This Row],[FECHA]])</f>
        <v>1</v>
      </c>
      <c r="D644" s="98" t="str">
        <f>MID(INGRESOS[[#This Row],[CUENTA]],1,4)</f>
        <v/>
      </c>
      <c r="E64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4" s="103"/>
      <c r="G644" s="59"/>
      <c r="H644" s="104"/>
      <c r="I644" s="61"/>
      <c r="J644" s="103"/>
    </row>
    <row r="645" spans="1:10" x14ac:dyDescent="0.25">
      <c r="A645" s="58"/>
      <c r="B645" s="103"/>
      <c r="C645" s="99">
        <f>MONTH(INGRESOS[[#This Row],[FECHA]])</f>
        <v>1</v>
      </c>
      <c r="D645" s="98" t="str">
        <f>MID(INGRESOS[[#This Row],[CUENTA]],1,4)</f>
        <v/>
      </c>
      <c r="E64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5" s="103"/>
      <c r="G645" s="59"/>
      <c r="H645" s="104"/>
      <c r="I645" s="61"/>
      <c r="J645" s="103"/>
    </row>
    <row r="646" spans="1:10" x14ac:dyDescent="0.25">
      <c r="A646" s="58"/>
      <c r="B646" s="103"/>
      <c r="C646" s="99">
        <f>MONTH(INGRESOS[[#This Row],[FECHA]])</f>
        <v>1</v>
      </c>
      <c r="D646" s="98" t="str">
        <f>MID(INGRESOS[[#This Row],[CUENTA]],1,4)</f>
        <v/>
      </c>
      <c r="E64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6" s="103"/>
      <c r="G646" s="59"/>
      <c r="H646" s="104"/>
      <c r="I646" s="61"/>
      <c r="J646" s="103"/>
    </row>
    <row r="647" spans="1:10" x14ac:dyDescent="0.25">
      <c r="A647" s="58"/>
      <c r="B647" s="103"/>
      <c r="C647" s="99">
        <f>MONTH(INGRESOS[[#This Row],[FECHA]])</f>
        <v>1</v>
      </c>
      <c r="D647" s="98" t="str">
        <f>MID(INGRESOS[[#This Row],[CUENTA]],1,4)</f>
        <v/>
      </c>
      <c r="E64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7" s="103"/>
      <c r="G647" s="59"/>
      <c r="H647" s="104"/>
      <c r="I647" s="61"/>
      <c r="J647" s="103"/>
    </row>
    <row r="648" spans="1:10" x14ac:dyDescent="0.25">
      <c r="A648" s="58"/>
      <c r="B648" s="103"/>
      <c r="C648" s="99">
        <f>MONTH(INGRESOS[[#This Row],[FECHA]])</f>
        <v>1</v>
      </c>
      <c r="D648" s="98" t="str">
        <f>MID(INGRESOS[[#This Row],[CUENTA]],1,4)</f>
        <v/>
      </c>
      <c r="E64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8" s="103"/>
      <c r="G648" s="59"/>
      <c r="H648" s="104"/>
      <c r="I648" s="61"/>
      <c r="J648" s="103"/>
    </row>
    <row r="649" spans="1:10" x14ac:dyDescent="0.25">
      <c r="A649" s="58"/>
      <c r="B649" s="103"/>
      <c r="C649" s="99">
        <f>MONTH(INGRESOS[[#This Row],[FECHA]])</f>
        <v>1</v>
      </c>
      <c r="D649" s="98" t="str">
        <f>MID(INGRESOS[[#This Row],[CUENTA]],1,4)</f>
        <v/>
      </c>
      <c r="E64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49" s="103"/>
      <c r="G649" s="59"/>
      <c r="H649" s="104"/>
      <c r="I649" s="61"/>
      <c r="J649" s="103"/>
    </row>
    <row r="650" spans="1:10" x14ac:dyDescent="0.25">
      <c r="A650" s="58"/>
      <c r="B650" s="103"/>
      <c r="C650" s="99">
        <f>MONTH(INGRESOS[[#This Row],[FECHA]])</f>
        <v>1</v>
      </c>
      <c r="D650" s="98" t="str">
        <f>MID(INGRESOS[[#This Row],[CUENTA]],1,4)</f>
        <v/>
      </c>
      <c r="E65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0" s="103"/>
      <c r="G650" s="59"/>
      <c r="H650" s="104"/>
      <c r="I650" s="61"/>
      <c r="J650" s="103"/>
    </row>
    <row r="651" spans="1:10" x14ac:dyDescent="0.25">
      <c r="A651" s="58"/>
      <c r="B651" s="103"/>
      <c r="C651" s="99">
        <f>MONTH(INGRESOS[[#This Row],[FECHA]])</f>
        <v>1</v>
      </c>
      <c r="D651" s="98" t="str">
        <f>MID(INGRESOS[[#This Row],[CUENTA]],1,4)</f>
        <v/>
      </c>
      <c r="E65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1" s="103"/>
      <c r="G651" s="59"/>
      <c r="H651" s="104"/>
      <c r="I651" s="61"/>
      <c r="J651" s="103"/>
    </row>
    <row r="652" spans="1:10" x14ac:dyDescent="0.25">
      <c r="A652" s="58"/>
      <c r="B652" s="103"/>
      <c r="C652" s="99">
        <f>MONTH(INGRESOS[[#This Row],[FECHA]])</f>
        <v>1</v>
      </c>
      <c r="D652" s="98" t="str">
        <f>MID(INGRESOS[[#This Row],[CUENTA]],1,4)</f>
        <v/>
      </c>
      <c r="E65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2" s="103"/>
      <c r="G652" s="59"/>
      <c r="H652" s="104"/>
      <c r="I652" s="61"/>
      <c r="J652" s="103"/>
    </row>
    <row r="653" spans="1:10" x14ac:dyDescent="0.25">
      <c r="A653" s="58"/>
      <c r="B653" s="103"/>
      <c r="C653" s="99">
        <f>MONTH(INGRESOS[[#This Row],[FECHA]])</f>
        <v>1</v>
      </c>
      <c r="D653" s="98" t="str">
        <f>MID(INGRESOS[[#This Row],[CUENTA]],1,4)</f>
        <v/>
      </c>
      <c r="E65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3" s="103"/>
      <c r="G653" s="59"/>
      <c r="H653" s="104"/>
      <c r="I653" s="61"/>
      <c r="J653" s="103"/>
    </row>
    <row r="654" spans="1:10" x14ac:dyDescent="0.25">
      <c r="A654" s="58"/>
      <c r="B654" s="103"/>
      <c r="C654" s="99">
        <f>MONTH(INGRESOS[[#This Row],[FECHA]])</f>
        <v>1</v>
      </c>
      <c r="D654" s="98" t="str">
        <f>MID(INGRESOS[[#This Row],[CUENTA]],1,4)</f>
        <v/>
      </c>
      <c r="E65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4" s="103"/>
      <c r="G654" s="59"/>
      <c r="H654" s="104"/>
      <c r="I654" s="61"/>
      <c r="J654" s="103"/>
    </row>
    <row r="655" spans="1:10" x14ac:dyDescent="0.25">
      <c r="A655" s="58"/>
      <c r="B655" s="103"/>
      <c r="C655" s="99">
        <f>MONTH(INGRESOS[[#This Row],[FECHA]])</f>
        <v>1</v>
      </c>
      <c r="D655" s="98" t="str">
        <f>MID(INGRESOS[[#This Row],[CUENTA]],1,4)</f>
        <v/>
      </c>
      <c r="E65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5" s="103"/>
      <c r="G655" s="59"/>
      <c r="H655" s="104"/>
      <c r="I655" s="61"/>
      <c r="J655" s="103"/>
    </row>
    <row r="656" spans="1:10" x14ac:dyDescent="0.25">
      <c r="A656" s="58"/>
      <c r="B656" s="103"/>
      <c r="C656" s="99">
        <f>MONTH(INGRESOS[[#This Row],[FECHA]])</f>
        <v>1</v>
      </c>
      <c r="D656" s="98" t="str">
        <f>MID(INGRESOS[[#This Row],[CUENTA]],1,4)</f>
        <v/>
      </c>
      <c r="E65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6" s="103"/>
      <c r="G656" s="59"/>
      <c r="H656" s="104"/>
      <c r="I656" s="61"/>
      <c r="J656" s="103"/>
    </row>
    <row r="657" spans="1:10" x14ac:dyDescent="0.25">
      <c r="A657" s="58"/>
      <c r="B657" s="103"/>
      <c r="C657" s="99">
        <f>MONTH(INGRESOS[[#This Row],[FECHA]])</f>
        <v>1</v>
      </c>
      <c r="D657" s="98" t="str">
        <f>MID(INGRESOS[[#This Row],[CUENTA]],1,4)</f>
        <v/>
      </c>
      <c r="E65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7" s="103"/>
      <c r="G657" s="59"/>
      <c r="H657" s="104"/>
      <c r="I657" s="61"/>
      <c r="J657" s="103"/>
    </row>
    <row r="658" spans="1:10" x14ac:dyDescent="0.25">
      <c r="A658" s="58"/>
      <c r="B658" s="103"/>
      <c r="C658" s="99">
        <f>MONTH(INGRESOS[[#This Row],[FECHA]])</f>
        <v>1</v>
      </c>
      <c r="D658" s="98" t="str">
        <f>MID(INGRESOS[[#This Row],[CUENTA]],1,4)</f>
        <v/>
      </c>
      <c r="E65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8" s="103"/>
      <c r="G658" s="59"/>
      <c r="H658" s="104"/>
      <c r="I658" s="61"/>
      <c r="J658" s="103"/>
    </row>
    <row r="659" spans="1:10" x14ac:dyDescent="0.25">
      <c r="A659" s="58"/>
      <c r="B659" s="103"/>
      <c r="C659" s="99">
        <f>MONTH(INGRESOS[[#This Row],[FECHA]])</f>
        <v>1</v>
      </c>
      <c r="D659" s="98" t="str">
        <f>MID(INGRESOS[[#This Row],[CUENTA]],1,4)</f>
        <v/>
      </c>
      <c r="E65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59" s="103"/>
      <c r="G659" s="59"/>
      <c r="H659" s="104"/>
      <c r="I659" s="61"/>
      <c r="J659" s="103"/>
    </row>
    <row r="660" spans="1:10" x14ac:dyDescent="0.25">
      <c r="A660" s="58"/>
      <c r="B660" s="103"/>
      <c r="C660" s="99">
        <f>MONTH(INGRESOS[[#This Row],[FECHA]])</f>
        <v>1</v>
      </c>
      <c r="D660" s="98" t="str">
        <f>MID(INGRESOS[[#This Row],[CUENTA]],1,4)</f>
        <v/>
      </c>
      <c r="E66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0" s="103"/>
      <c r="G660" s="59"/>
      <c r="H660" s="104"/>
      <c r="I660" s="61"/>
      <c r="J660" s="103"/>
    </row>
    <row r="661" spans="1:10" x14ac:dyDescent="0.25">
      <c r="A661" s="58"/>
      <c r="B661" s="99"/>
      <c r="C661" s="99">
        <f>MONTH(INGRESOS[[#This Row],[FECHA]])</f>
        <v>1</v>
      </c>
      <c r="D661" s="98" t="str">
        <f>MID(INGRESOS[[#This Row],[CUENTA]],1,4)</f>
        <v/>
      </c>
      <c r="E66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1" s="99"/>
      <c r="G661" s="59"/>
      <c r="H661" s="100"/>
      <c r="I661" s="61"/>
      <c r="J661" s="99"/>
    </row>
    <row r="662" spans="1:10" x14ac:dyDescent="0.25">
      <c r="A662" s="58"/>
      <c r="B662" s="103"/>
      <c r="C662" s="99">
        <f>MONTH(INGRESOS[[#This Row],[FECHA]])</f>
        <v>1</v>
      </c>
      <c r="D662" s="98" t="str">
        <f>MID(INGRESOS[[#This Row],[CUENTA]],1,4)</f>
        <v/>
      </c>
      <c r="E66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2" s="103"/>
      <c r="G662" s="59"/>
      <c r="H662" s="104"/>
      <c r="I662" s="61"/>
      <c r="J662" s="103"/>
    </row>
    <row r="663" spans="1:10" x14ac:dyDescent="0.25">
      <c r="A663" s="58"/>
      <c r="B663" s="103"/>
      <c r="C663" s="99">
        <f>MONTH(INGRESOS[[#This Row],[FECHA]])</f>
        <v>1</v>
      </c>
      <c r="D663" s="98" t="str">
        <f>MID(INGRESOS[[#This Row],[CUENTA]],1,4)</f>
        <v/>
      </c>
      <c r="E66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3" s="103"/>
      <c r="G663" s="59"/>
      <c r="H663" s="104"/>
      <c r="I663" s="61"/>
      <c r="J663" s="103"/>
    </row>
    <row r="664" spans="1:10" x14ac:dyDescent="0.25">
      <c r="A664" s="58"/>
      <c r="B664" s="103"/>
      <c r="C664" s="99">
        <f>MONTH(INGRESOS[[#This Row],[FECHA]])</f>
        <v>1</v>
      </c>
      <c r="D664" s="98" t="str">
        <f>MID(INGRESOS[[#This Row],[CUENTA]],1,4)</f>
        <v/>
      </c>
      <c r="E66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4" s="103"/>
      <c r="G664" s="59"/>
      <c r="H664" s="104"/>
      <c r="I664" s="61"/>
      <c r="J664" s="103"/>
    </row>
    <row r="665" spans="1:10" x14ac:dyDescent="0.25">
      <c r="A665" s="58"/>
      <c r="B665" s="103"/>
      <c r="C665" s="99">
        <f>MONTH(INGRESOS[[#This Row],[FECHA]])</f>
        <v>1</v>
      </c>
      <c r="D665" s="98" t="str">
        <f>MID(INGRESOS[[#This Row],[CUENTA]],1,4)</f>
        <v/>
      </c>
      <c r="E66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5" s="103"/>
      <c r="G665" s="59"/>
      <c r="H665" s="104"/>
      <c r="I665" s="61"/>
      <c r="J665" s="103"/>
    </row>
    <row r="666" spans="1:10" x14ac:dyDescent="0.25">
      <c r="A666" s="58"/>
      <c r="B666" s="103"/>
      <c r="C666" s="99">
        <f>MONTH(INGRESOS[[#This Row],[FECHA]])</f>
        <v>1</v>
      </c>
      <c r="D666" s="98" t="str">
        <f>MID(INGRESOS[[#This Row],[CUENTA]],1,4)</f>
        <v/>
      </c>
      <c r="E66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6" s="103"/>
      <c r="G666" s="59"/>
      <c r="H666" s="104"/>
      <c r="I666" s="61"/>
      <c r="J666" s="103"/>
    </row>
    <row r="667" spans="1:10" x14ac:dyDescent="0.25">
      <c r="A667" s="58"/>
      <c r="B667" s="103"/>
      <c r="C667" s="99">
        <f>MONTH(INGRESOS[[#This Row],[FECHA]])</f>
        <v>1</v>
      </c>
      <c r="D667" s="98" t="str">
        <f>MID(INGRESOS[[#This Row],[CUENTA]],1,4)</f>
        <v/>
      </c>
      <c r="E66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7" s="103"/>
      <c r="G667" s="59"/>
      <c r="H667" s="104"/>
      <c r="I667" s="61"/>
      <c r="J667" s="103"/>
    </row>
    <row r="668" spans="1:10" x14ac:dyDescent="0.25">
      <c r="A668" s="58"/>
      <c r="B668" s="103"/>
      <c r="C668" s="99">
        <f>MONTH(INGRESOS[[#This Row],[FECHA]])</f>
        <v>1</v>
      </c>
      <c r="D668" s="98" t="str">
        <f>MID(INGRESOS[[#This Row],[CUENTA]],1,4)</f>
        <v/>
      </c>
      <c r="E66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8" s="103"/>
      <c r="G668" s="59"/>
      <c r="H668" s="104"/>
      <c r="I668" s="61"/>
      <c r="J668" s="103"/>
    </row>
    <row r="669" spans="1:10" x14ac:dyDescent="0.25">
      <c r="A669" s="58"/>
      <c r="B669" s="103"/>
      <c r="C669" s="99">
        <f>MONTH(INGRESOS[[#This Row],[FECHA]])</f>
        <v>1</v>
      </c>
      <c r="D669" s="98" t="str">
        <f>MID(INGRESOS[[#This Row],[CUENTA]],1,4)</f>
        <v/>
      </c>
      <c r="E66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69" s="103"/>
      <c r="G669" s="59"/>
      <c r="H669" s="104"/>
      <c r="I669" s="61"/>
      <c r="J669" s="103"/>
    </row>
    <row r="670" spans="1:10" x14ac:dyDescent="0.25">
      <c r="A670" s="58"/>
      <c r="B670" s="103"/>
      <c r="C670" s="99">
        <f>MONTH(INGRESOS[[#This Row],[FECHA]])</f>
        <v>1</v>
      </c>
      <c r="D670" s="98" t="str">
        <f>MID(INGRESOS[[#This Row],[CUENTA]],1,4)</f>
        <v/>
      </c>
      <c r="E67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0" s="103"/>
      <c r="G670" s="59"/>
      <c r="H670" s="104"/>
      <c r="I670" s="61"/>
      <c r="J670" s="103"/>
    </row>
    <row r="671" spans="1:10" x14ac:dyDescent="0.25">
      <c r="A671" s="58"/>
      <c r="B671" s="103"/>
      <c r="C671" s="99">
        <f>MONTH(INGRESOS[[#This Row],[FECHA]])</f>
        <v>1</v>
      </c>
      <c r="D671" s="98" t="str">
        <f>MID(INGRESOS[[#This Row],[CUENTA]],1,4)</f>
        <v/>
      </c>
      <c r="E67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1" s="103"/>
      <c r="G671" s="59"/>
      <c r="H671" s="104"/>
      <c r="I671" s="61"/>
      <c r="J671" s="103"/>
    </row>
    <row r="672" spans="1:10" x14ac:dyDescent="0.25">
      <c r="A672" s="58"/>
      <c r="B672" s="103"/>
      <c r="C672" s="99">
        <f>MONTH(INGRESOS[[#This Row],[FECHA]])</f>
        <v>1</v>
      </c>
      <c r="D672" s="98" t="str">
        <f>MID(INGRESOS[[#This Row],[CUENTA]],1,4)</f>
        <v/>
      </c>
      <c r="E67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2" s="103"/>
      <c r="G672" s="59"/>
      <c r="H672" s="104"/>
      <c r="I672" s="61"/>
      <c r="J672" s="103"/>
    </row>
    <row r="673" spans="1:10" x14ac:dyDescent="0.25">
      <c r="A673" s="58"/>
      <c r="B673" s="103"/>
      <c r="C673" s="99">
        <f>MONTH(INGRESOS[[#This Row],[FECHA]])</f>
        <v>1</v>
      </c>
      <c r="D673" s="98" t="str">
        <f>MID(INGRESOS[[#This Row],[CUENTA]],1,4)</f>
        <v/>
      </c>
      <c r="E67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3" s="103"/>
      <c r="G673" s="59"/>
      <c r="H673" s="104"/>
      <c r="I673" s="61"/>
      <c r="J673" s="103"/>
    </row>
    <row r="674" spans="1:10" x14ac:dyDescent="0.25">
      <c r="A674" s="58"/>
      <c r="B674" s="103"/>
      <c r="C674" s="99">
        <f>MONTH(INGRESOS[[#This Row],[FECHA]])</f>
        <v>1</v>
      </c>
      <c r="D674" s="98" t="str">
        <f>MID(INGRESOS[[#This Row],[CUENTA]],1,4)</f>
        <v/>
      </c>
      <c r="E67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4" s="103"/>
      <c r="G674" s="59"/>
      <c r="H674" s="104"/>
      <c r="I674" s="61"/>
      <c r="J674" s="103"/>
    </row>
    <row r="675" spans="1:10" x14ac:dyDescent="0.25">
      <c r="A675" s="58"/>
      <c r="B675" s="103"/>
      <c r="C675" s="99">
        <f>MONTH(INGRESOS[[#This Row],[FECHA]])</f>
        <v>1</v>
      </c>
      <c r="D675" s="98" t="str">
        <f>MID(INGRESOS[[#This Row],[CUENTA]],1,4)</f>
        <v/>
      </c>
      <c r="E67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5" s="103"/>
      <c r="G675" s="59"/>
      <c r="H675" s="104"/>
      <c r="I675" s="61"/>
      <c r="J675" s="103"/>
    </row>
    <row r="676" spans="1:10" x14ac:dyDescent="0.25">
      <c r="A676" s="58"/>
      <c r="B676" s="103"/>
      <c r="C676" s="99">
        <f>MONTH(INGRESOS[[#This Row],[FECHA]])</f>
        <v>1</v>
      </c>
      <c r="D676" s="98" t="str">
        <f>MID(INGRESOS[[#This Row],[CUENTA]],1,4)</f>
        <v/>
      </c>
      <c r="E67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6" s="103"/>
      <c r="G676" s="59"/>
      <c r="H676" s="104"/>
      <c r="I676" s="61"/>
      <c r="J676" s="103"/>
    </row>
    <row r="677" spans="1:10" x14ac:dyDescent="0.25">
      <c r="A677" s="58"/>
      <c r="B677" s="103"/>
      <c r="C677" s="99">
        <f>MONTH(INGRESOS[[#This Row],[FECHA]])</f>
        <v>1</v>
      </c>
      <c r="D677" s="98" t="str">
        <f>MID(INGRESOS[[#This Row],[CUENTA]],1,4)</f>
        <v/>
      </c>
      <c r="E67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7" s="103"/>
      <c r="G677" s="59"/>
      <c r="H677" s="104"/>
      <c r="I677" s="61"/>
      <c r="J677" s="103"/>
    </row>
    <row r="678" spans="1:10" x14ac:dyDescent="0.25">
      <c r="A678" s="58"/>
      <c r="B678" s="103"/>
      <c r="C678" s="99">
        <f>MONTH(INGRESOS[[#This Row],[FECHA]])</f>
        <v>1</v>
      </c>
      <c r="D678" s="98" t="str">
        <f>MID(INGRESOS[[#This Row],[CUENTA]],1,4)</f>
        <v/>
      </c>
      <c r="E67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8" s="103"/>
      <c r="G678" s="59"/>
      <c r="H678" s="104"/>
      <c r="I678" s="61"/>
      <c r="J678" s="103"/>
    </row>
    <row r="679" spans="1:10" x14ac:dyDescent="0.25">
      <c r="A679" s="58"/>
      <c r="B679" s="103"/>
      <c r="C679" s="99">
        <f>MONTH(INGRESOS[[#This Row],[FECHA]])</f>
        <v>1</v>
      </c>
      <c r="D679" s="98" t="str">
        <f>MID(INGRESOS[[#This Row],[CUENTA]],1,4)</f>
        <v/>
      </c>
      <c r="E67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79" s="103"/>
      <c r="G679" s="59"/>
      <c r="H679" s="104"/>
      <c r="I679" s="61"/>
      <c r="J679" s="103"/>
    </row>
    <row r="680" spans="1:10" x14ac:dyDescent="0.25">
      <c r="A680" s="58"/>
      <c r="B680" s="103"/>
      <c r="C680" s="99">
        <f>MONTH(INGRESOS[[#This Row],[FECHA]])</f>
        <v>1</v>
      </c>
      <c r="D680" s="98" t="str">
        <f>MID(INGRESOS[[#This Row],[CUENTA]],1,4)</f>
        <v/>
      </c>
      <c r="E68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0" s="103"/>
      <c r="G680" s="59"/>
      <c r="H680" s="104"/>
      <c r="I680" s="61"/>
      <c r="J680" s="103"/>
    </row>
    <row r="681" spans="1:10" x14ac:dyDescent="0.25">
      <c r="A681" s="58"/>
      <c r="B681" s="103"/>
      <c r="C681" s="99">
        <f>MONTH(INGRESOS[[#This Row],[FECHA]])</f>
        <v>1</v>
      </c>
      <c r="D681" s="98" t="str">
        <f>MID(INGRESOS[[#This Row],[CUENTA]],1,4)</f>
        <v/>
      </c>
      <c r="E68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1" s="103"/>
      <c r="G681" s="59"/>
      <c r="H681" s="104"/>
      <c r="I681" s="61"/>
      <c r="J681" s="103"/>
    </row>
    <row r="682" spans="1:10" x14ac:dyDescent="0.25">
      <c r="A682" s="58"/>
      <c r="B682" s="103"/>
      <c r="C682" s="99">
        <f>MONTH(INGRESOS[[#This Row],[FECHA]])</f>
        <v>1</v>
      </c>
      <c r="D682" s="98" t="str">
        <f>MID(INGRESOS[[#This Row],[CUENTA]],1,4)</f>
        <v/>
      </c>
      <c r="E68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2" s="103"/>
      <c r="G682" s="59"/>
      <c r="H682" s="104"/>
      <c r="I682" s="61"/>
      <c r="J682" s="103"/>
    </row>
    <row r="683" spans="1:10" x14ac:dyDescent="0.25">
      <c r="A683" s="58"/>
      <c r="B683" s="103"/>
      <c r="C683" s="99">
        <f>MONTH(INGRESOS[[#This Row],[FECHA]])</f>
        <v>1</v>
      </c>
      <c r="D683" s="98" t="str">
        <f>MID(INGRESOS[[#This Row],[CUENTA]],1,4)</f>
        <v/>
      </c>
      <c r="E68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3" s="103"/>
      <c r="G683" s="59"/>
      <c r="H683" s="104"/>
      <c r="I683" s="61"/>
      <c r="J683" s="103"/>
    </row>
    <row r="684" spans="1:10" x14ac:dyDescent="0.25">
      <c r="A684" s="58"/>
      <c r="B684" s="103"/>
      <c r="C684" s="99">
        <f>MONTH(INGRESOS[[#This Row],[FECHA]])</f>
        <v>1</v>
      </c>
      <c r="D684" s="98" t="str">
        <f>MID(INGRESOS[[#This Row],[CUENTA]],1,4)</f>
        <v/>
      </c>
      <c r="E68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4" s="103"/>
      <c r="G684" s="59"/>
      <c r="H684" s="104"/>
      <c r="I684" s="61"/>
      <c r="J684" s="103"/>
    </row>
    <row r="685" spans="1:10" x14ac:dyDescent="0.25">
      <c r="A685" s="58"/>
      <c r="B685" s="103"/>
      <c r="C685" s="99">
        <f>MONTH(INGRESOS[[#This Row],[FECHA]])</f>
        <v>1</v>
      </c>
      <c r="D685" s="98" t="str">
        <f>MID(INGRESOS[[#This Row],[CUENTA]],1,4)</f>
        <v/>
      </c>
      <c r="E68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5" s="103"/>
      <c r="G685" s="59"/>
      <c r="H685" s="104"/>
      <c r="I685" s="61"/>
      <c r="J685" s="103"/>
    </row>
    <row r="686" spans="1:10" x14ac:dyDescent="0.25">
      <c r="A686" s="58"/>
      <c r="B686" s="103"/>
      <c r="C686" s="99">
        <f>MONTH(INGRESOS[[#This Row],[FECHA]])</f>
        <v>1</v>
      </c>
      <c r="D686" s="98" t="str">
        <f>MID(INGRESOS[[#This Row],[CUENTA]],1,4)</f>
        <v/>
      </c>
      <c r="E68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6" s="103"/>
      <c r="G686" s="59"/>
      <c r="H686" s="104"/>
      <c r="I686" s="61"/>
      <c r="J686" s="103"/>
    </row>
    <row r="687" spans="1:10" x14ac:dyDescent="0.25">
      <c r="A687" s="58"/>
      <c r="B687" s="103"/>
      <c r="C687" s="99">
        <f>MONTH(INGRESOS[[#This Row],[FECHA]])</f>
        <v>1</v>
      </c>
      <c r="D687" s="98" t="str">
        <f>MID(INGRESOS[[#This Row],[CUENTA]],1,4)</f>
        <v/>
      </c>
      <c r="E68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7" s="103"/>
      <c r="G687" s="59"/>
      <c r="H687" s="104"/>
      <c r="I687" s="61"/>
      <c r="J687" s="103"/>
    </row>
    <row r="688" spans="1:10" x14ac:dyDescent="0.25">
      <c r="A688" s="58"/>
      <c r="B688" s="103"/>
      <c r="C688" s="99">
        <f>MONTH(INGRESOS[[#This Row],[FECHA]])</f>
        <v>1</v>
      </c>
      <c r="D688" s="98" t="str">
        <f>MID(INGRESOS[[#This Row],[CUENTA]],1,4)</f>
        <v/>
      </c>
      <c r="E68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8" s="103"/>
      <c r="G688" s="59"/>
      <c r="H688" s="104"/>
      <c r="I688" s="61"/>
      <c r="J688" s="103"/>
    </row>
    <row r="689" spans="1:10" x14ac:dyDescent="0.25">
      <c r="A689" s="58"/>
      <c r="B689" s="103"/>
      <c r="C689" s="99">
        <f>MONTH(INGRESOS[[#This Row],[FECHA]])</f>
        <v>1</v>
      </c>
      <c r="D689" s="98" t="str">
        <f>MID(INGRESOS[[#This Row],[CUENTA]],1,4)</f>
        <v/>
      </c>
      <c r="E68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89" s="103"/>
      <c r="G689" s="59"/>
      <c r="H689" s="104"/>
      <c r="I689" s="61"/>
      <c r="J689" s="103"/>
    </row>
    <row r="690" spans="1:10" x14ac:dyDescent="0.25">
      <c r="A690" s="58"/>
      <c r="B690" s="103"/>
      <c r="C690" s="99">
        <f>MONTH(INGRESOS[[#This Row],[FECHA]])</f>
        <v>1</v>
      </c>
      <c r="D690" s="98" t="str">
        <f>MID(INGRESOS[[#This Row],[CUENTA]],1,4)</f>
        <v/>
      </c>
      <c r="E69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0" s="103"/>
      <c r="G690" s="59"/>
      <c r="H690" s="104"/>
      <c r="I690" s="61"/>
      <c r="J690" s="103"/>
    </row>
    <row r="691" spans="1:10" x14ac:dyDescent="0.25">
      <c r="A691" s="58"/>
      <c r="B691" s="103"/>
      <c r="C691" s="99">
        <f>MONTH(INGRESOS[[#This Row],[FECHA]])</f>
        <v>1</v>
      </c>
      <c r="D691" s="98" t="str">
        <f>MID(INGRESOS[[#This Row],[CUENTA]],1,4)</f>
        <v/>
      </c>
      <c r="E69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1" s="103"/>
      <c r="G691" s="59"/>
      <c r="H691" s="104"/>
      <c r="I691" s="61"/>
      <c r="J691" s="103"/>
    </row>
    <row r="692" spans="1:10" x14ac:dyDescent="0.25">
      <c r="A692" s="102"/>
      <c r="B692" s="103"/>
      <c r="C692" s="99">
        <f>MONTH(INGRESOS[[#This Row],[FECHA]])</f>
        <v>1</v>
      </c>
      <c r="D692" s="98" t="str">
        <f>MID(INGRESOS[[#This Row],[CUENTA]],1,4)</f>
        <v/>
      </c>
      <c r="E69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2" s="20"/>
      <c r="G692" s="20"/>
      <c r="H692" s="104"/>
      <c r="I692" s="105"/>
      <c r="J692" s="103"/>
    </row>
    <row r="693" spans="1:10" x14ac:dyDescent="0.25">
      <c r="A693" s="102"/>
      <c r="B693" s="103"/>
      <c r="C693" s="99">
        <f>MONTH(INGRESOS[[#This Row],[FECHA]])</f>
        <v>1</v>
      </c>
      <c r="D693" s="98" t="str">
        <f>MID(INGRESOS[[#This Row],[CUENTA]],1,4)</f>
        <v/>
      </c>
      <c r="E69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3" s="103"/>
      <c r="G693" s="103"/>
      <c r="H693" s="104"/>
      <c r="I693" s="105"/>
      <c r="J693" s="103"/>
    </row>
    <row r="694" spans="1:10" x14ac:dyDescent="0.25">
      <c r="A694" s="102"/>
      <c r="B694" s="99"/>
      <c r="C694" s="99">
        <f>MONTH(INGRESOS[[#This Row],[FECHA]])</f>
        <v>1</v>
      </c>
      <c r="D694" s="98" t="str">
        <f>MID(INGRESOS[[#This Row],[CUENTA]],1,4)</f>
        <v/>
      </c>
      <c r="E69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4" s="99"/>
      <c r="G694" s="99"/>
      <c r="H694" s="100"/>
      <c r="I694" s="101"/>
      <c r="J694" s="99"/>
    </row>
    <row r="695" spans="1:10" x14ac:dyDescent="0.25">
      <c r="A695" s="102"/>
      <c r="B695" s="99"/>
      <c r="C695" s="99">
        <f>MONTH(INGRESOS[[#This Row],[FECHA]])</f>
        <v>1</v>
      </c>
      <c r="D695" s="98" t="str">
        <f>MID(INGRESOS[[#This Row],[CUENTA]],1,4)</f>
        <v/>
      </c>
      <c r="E69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5" s="99"/>
      <c r="G695" s="99"/>
      <c r="H695" s="100"/>
      <c r="I695" s="101"/>
      <c r="J695" s="99"/>
    </row>
    <row r="696" spans="1:10" x14ac:dyDescent="0.25">
      <c r="A696" s="102"/>
      <c r="B696" s="103"/>
      <c r="C696" s="99">
        <f>MONTH(INGRESOS[[#This Row],[FECHA]])</f>
        <v>1</v>
      </c>
      <c r="D696" s="98" t="str">
        <f>MID(INGRESOS[[#This Row],[CUENTA]],1,4)</f>
        <v/>
      </c>
      <c r="E69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6" s="20"/>
      <c r="G696" s="20"/>
      <c r="H696" s="104"/>
      <c r="I696" s="105"/>
      <c r="J696" s="103"/>
    </row>
    <row r="697" spans="1:10" x14ac:dyDescent="0.25">
      <c r="A697" s="13"/>
      <c r="B697" s="103"/>
      <c r="C697" s="99">
        <f>MONTH(INGRESOS[[#This Row],[FECHA]])</f>
        <v>1</v>
      </c>
      <c r="D697" s="98" t="str">
        <f>MID(INGRESOS[[#This Row],[CUENTA]],1,4)</f>
        <v/>
      </c>
      <c r="E69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7" s="20"/>
      <c r="G697" s="14"/>
      <c r="H697" s="15"/>
      <c r="I697" s="16"/>
      <c r="J697" s="14"/>
    </row>
    <row r="698" spans="1:10" x14ac:dyDescent="0.25">
      <c r="A698" s="55"/>
      <c r="B698" s="20"/>
      <c r="C698" s="99">
        <f>MONTH(INGRESOS[[#This Row],[FECHA]])</f>
        <v>1</v>
      </c>
      <c r="D698" s="98" t="str">
        <f>MID(INGRESOS[[#This Row],[CUENTA]],1,4)</f>
        <v/>
      </c>
      <c r="E69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8" s="20"/>
      <c r="G698" s="20"/>
      <c r="H698" s="56"/>
      <c r="I698" s="57"/>
      <c r="J698" s="20"/>
    </row>
    <row r="699" spans="1:10" x14ac:dyDescent="0.25">
      <c r="A699" s="55"/>
      <c r="B699" s="20"/>
      <c r="C699" s="99">
        <f>MONTH(INGRESOS[[#This Row],[FECHA]])</f>
        <v>1</v>
      </c>
      <c r="D699" s="98" t="str">
        <f>MID(INGRESOS[[#This Row],[CUENTA]],1,4)</f>
        <v/>
      </c>
      <c r="E69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699" s="20"/>
      <c r="G699" s="20"/>
      <c r="H699" s="56"/>
      <c r="I699" s="57"/>
      <c r="J699" s="20"/>
    </row>
    <row r="700" spans="1:10" x14ac:dyDescent="0.25">
      <c r="A700" s="55"/>
      <c r="B700" s="20"/>
      <c r="C700" s="99">
        <f>MONTH(INGRESOS[[#This Row],[FECHA]])</f>
        <v>1</v>
      </c>
      <c r="D700" s="98" t="str">
        <f>MID(INGRESOS[[#This Row],[CUENTA]],1,4)</f>
        <v/>
      </c>
      <c r="E70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0" s="99"/>
      <c r="G700" s="20"/>
      <c r="H700" s="56"/>
      <c r="I700" s="57"/>
      <c r="J700" s="20"/>
    </row>
    <row r="701" spans="1:10" x14ac:dyDescent="0.25">
      <c r="A701" s="55"/>
      <c r="B701" s="20"/>
      <c r="C701" s="99">
        <f>MONTH(INGRESOS[[#This Row],[FECHA]])</f>
        <v>1</v>
      </c>
      <c r="D701" s="98" t="str">
        <f>MID(INGRESOS[[#This Row],[CUENTA]],1,4)</f>
        <v/>
      </c>
      <c r="E70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1" s="103"/>
      <c r="G701" s="20"/>
      <c r="H701" s="56"/>
      <c r="I701" s="57"/>
      <c r="J701" s="20"/>
    </row>
    <row r="702" spans="1:10" x14ac:dyDescent="0.25">
      <c r="A702" s="55"/>
      <c r="B702" s="20"/>
      <c r="C702" s="99">
        <f>MONTH(INGRESOS[[#This Row],[FECHA]])</f>
        <v>1</v>
      </c>
      <c r="D702" s="98" t="str">
        <f>MID(INGRESOS[[#This Row],[CUENTA]],1,4)</f>
        <v/>
      </c>
      <c r="E70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2" s="103"/>
      <c r="G702" s="20"/>
      <c r="H702" s="56"/>
      <c r="I702" s="57"/>
      <c r="J702" s="20"/>
    </row>
    <row r="703" spans="1:10" x14ac:dyDescent="0.25">
      <c r="A703" s="55"/>
      <c r="B703" s="20"/>
      <c r="C703" s="99">
        <f>MONTH(INGRESOS[[#This Row],[FECHA]])</f>
        <v>1</v>
      </c>
      <c r="D703" s="98" t="str">
        <f>MID(INGRESOS[[#This Row],[CUENTA]],1,4)</f>
        <v/>
      </c>
      <c r="E70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3" s="103"/>
      <c r="G703" s="20"/>
      <c r="H703" s="56"/>
      <c r="I703" s="57"/>
      <c r="J703" s="20"/>
    </row>
    <row r="704" spans="1:10" x14ac:dyDescent="0.25">
      <c r="A704" s="55"/>
      <c r="B704" s="20"/>
      <c r="C704" s="99">
        <f>MONTH(INGRESOS[[#This Row],[FECHA]])</f>
        <v>1</v>
      </c>
      <c r="D704" s="98" t="str">
        <f>MID(INGRESOS[[#This Row],[CUENTA]],1,4)</f>
        <v/>
      </c>
      <c r="E70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4" s="103"/>
      <c r="G704" s="20"/>
      <c r="H704" s="56"/>
      <c r="I704" s="57"/>
      <c r="J704" s="20"/>
    </row>
    <row r="705" spans="1:10" x14ac:dyDescent="0.25">
      <c r="A705" s="55"/>
      <c r="B705" s="20"/>
      <c r="C705" s="99">
        <f>MONTH(INGRESOS[[#This Row],[FECHA]])</f>
        <v>1</v>
      </c>
      <c r="D705" s="98" t="str">
        <f>MID(INGRESOS[[#This Row],[CUENTA]],1,4)</f>
        <v/>
      </c>
      <c r="E70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5" s="103"/>
      <c r="G705" s="20"/>
      <c r="H705" s="56"/>
      <c r="I705" s="57"/>
      <c r="J705" s="20"/>
    </row>
    <row r="706" spans="1:10" x14ac:dyDescent="0.25">
      <c r="A706" s="55"/>
      <c r="B706" s="20"/>
      <c r="C706" s="99">
        <f>MONTH(INGRESOS[[#This Row],[FECHA]])</f>
        <v>1</v>
      </c>
      <c r="D706" s="98" t="str">
        <f>MID(INGRESOS[[#This Row],[CUENTA]],1,4)</f>
        <v/>
      </c>
      <c r="E70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6" s="103"/>
      <c r="G706" s="20"/>
      <c r="H706" s="56"/>
      <c r="I706" s="57"/>
      <c r="J706" s="20"/>
    </row>
    <row r="707" spans="1:10" x14ac:dyDescent="0.25">
      <c r="A707" s="55"/>
      <c r="B707" s="20"/>
      <c r="C707" s="99">
        <f>MONTH(INGRESOS[[#This Row],[FECHA]])</f>
        <v>1</v>
      </c>
      <c r="D707" s="98" t="str">
        <f>MID(INGRESOS[[#This Row],[CUENTA]],1,4)</f>
        <v/>
      </c>
      <c r="E70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7" s="103"/>
      <c r="G707" s="20"/>
      <c r="H707" s="56"/>
      <c r="I707" s="57"/>
      <c r="J707" s="20"/>
    </row>
    <row r="708" spans="1:10" x14ac:dyDescent="0.25">
      <c r="A708" s="55"/>
      <c r="B708" s="20"/>
      <c r="C708" s="99">
        <f>MONTH(INGRESOS[[#This Row],[FECHA]])</f>
        <v>1</v>
      </c>
      <c r="D708" s="98" t="str">
        <f>MID(INGRESOS[[#This Row],[CUENTA]],1,4)</f>
        <v/>
      </c>
      <c r="E70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8" s="103"/>
      <c r="G708" s="20"/>
      <c r="H708" s="56"/>
      <c r="I708" s="57"/>
      <c r="J708" s="20"/>
    </row>
    <row r="709" spans="1:10" x14ac:dyDescent="0.25">
      <c r="A709" s="55"/>
      <c r="B709" s="20"/>
      <c r="C709" s="99">
        <f>MONTH(INGRESOS[[#This Row],[FECHA]])</f>
        <v>1</v>
      </c>
      <c r="D709" s="98" t="str">
        <f>MID(INGRESOS[[#This Row],[CUENTA]],1,4)</f>
        <v/>
      </c>
      <c r="E70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09" s="103"/>
      <c r="G709" s="20"/>
      <c r="H709" s="56"/>
      <c r="I709" s="57"/>
      <c r="J709" s="20"/>
    </row>
    <row r="710" spans="1:10" x14ac:dyDescent="0.25">
      <c r="A710" s="55"/>
      <c r="B710" s="20"/>
      <c r="C710" s="99">
        <f>MONTH(INGRESOS[[#This Row],[FECHA]])</f>
        <v>1</v>
      </c>
      <c r="D710" s="98" t="str">
        <f>MID(INGRESOS[[#This Row],[CUENTA]],1,4)</f>
        <v/>
      </c>
      <c r="E71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0" s="103"/>
      <c r="G710" s="20"/>
      <c r="H710" s="56"/>
      <c r="I710" s="57"/>
      <c r="J710" s="20"/>
    </row>
    <row r="711" spans="1:10" x14ac:dyDescent="0.25">
      <c r="A711" s="55"/>
      <c r="B711" s="20"/>
      <c r="C711" s="99">
        <f>MONTH(INGRESOS[[#This Row],[FECHA]])</f>
        <v>1</v>
      </c>
      <c r="D711" s="98" t="str">
        <f>MID(INGRESOS[[#This Row],[CUENTA]],1,4)</f>
        <v/>
      </c>
      <c r="E71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1" s="103"/>
      <c r="G711" s="20"/>
      <c r="H711" s="56"/>
      <c r="I711" s="57"/>
      <c r="J711" s="20"/>
    </row>
    <row r="712" spans="1:10" x14ac:dyDescent="0.25">
      <c r="A712" s="55"/>
      <c r="B712" s="20"/>
      <c r="C712" s="99">
        <f>MONTH(INGRESOS[[#This Row],[FECHA]])</f>
        <v>1</v>
      </c>
      <c r="D712" s="98" t="str">
        <f>MID(INGRESOS[[#This Row],[CUENTA]],1,4)</f>
        <v/>
      </c>
      <c r="E71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2" s="103"/>
      <c r="G712" s="20"/>
      <c r="H712" s="56"/>
      <c r="I712" s="57"/>
      <c r="J712" s="20"/>
    </row>
    <row r="713" spans="1:10" x14ac:dyDescent="0.25">
      <c r="A713" s="55"/>
      <c r="B713" s="20"/>
      <c r="C713" s="99">
        <f>MONTH(INGRESOS[[#This Row],[FECHA]])</f>
        <v>1</v>
      </c>
      <c r="D713" s="98" t="str">
        <f>MID(INGRESOS[[#This Row],[CUENTA]],1,4)</f>
        <v/>
      </c>
      <c r="E71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3" s="103"/>
      <c r="G713" s="20"/>
      <c r="H713" s="56"/>
      <c r="I713" s="57"/>
      <c r="J713" s="20"/>
    </row>
    <row r="714" spans="1:10" x14ac:dyDescent="0.25">
      <c r="A714" s="55"/>
      <c r="B714" s="20"/>
      <c r="C714" s="99">
        <f>MONTH(INGRESOS[[#This Row],[FECHA]])</f>
        <v>1</v>
      </c>
      <c r="D714" s="98" t="str">
        <f>MID(INGRESOS[[#This Row],[CUENTA]],1,4)</f>
        <v/>
      </c>
      <c r="E71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4" s="103"/>
      <c r="G714" s="20"/>
      <c r="H714" s="56"/>
      <c r="I714" s="57"/>
      <c r="J714" s="20"/>
    </row>
    <row r="715" spans="1:10" x14ac:dyDescent="0.25">
      <c r="A715" s="55"/>
      <c r="B715" s="20"/>
      <c r="C715" s="99">
        <f>MONTH(INGRESOS[[#This Row],[FECHA]])</f>
        <v>1</v>
      </c>
      <c r="D715" s="98" t="str">
        <f>MID(INGRESOS[[#This Row],[CUENTA]],1,4)</f>
        <v/>
      </c>
      <c r="E71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5" s="103"/>
      <c r="G715" s="20"/>
      <c r="H715" s="56"/>
      <c r="I715" s="57"/>
      <c r="J715" s="20"/>
    </row>
    <row r="716" spans="1:10" x14ac:dyDescent="0.25">
      <c r="A716" s="55"/>
      <c r="B716" s="20"/>
      <c r="C716" s="99">
        <f>MONTH(INGRESOS[[#This Row],[FECHA]])</f>
        <v>1</v>
      </c>
      <c r="D716" s="98" t="str">
        <f>MID(INGRESOS[[#This Row],[CUENTA]],1,4)</f>
        <v/>
      </c>
      <c r="E71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6" s="103"/>
      <c r="G716" s="20"/>
      <c r="H716" s="56"/>
      <c r="I716" s="57"/>
      <c r="J716" s="20"/>
    </row>
    <row r="717" spans="1:10" x14ac:dyDescent="0.25">
      <c r="A717" s="55"/>
      <c r="B717" s="20"/>
      <c r="C717" s="99">
        <f>MONTH(INGRESOS[[#This Row],[FECHA]])</f>
        <v>1</v>
      </c>
      <c r="D717" s="98" t="str">
        <f>MID(INGRESOS[[#This Row],[CUENTA]],1,4)</f>
        <v/>
      </c>
      <c r="E71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7" s="103"/>
      <c r="G717" s="20"/>
      <c r="H717" s="56"/>
      <c r="I717" s="57"/>
      <c r="J717" s="20"/>
    </row>
    <row r="718" spans="1:10" x14ac:dyDescent="0.25">
      <c r="A718" s="55"/>
      <c r="B718" s="20"/>
      <c r="C718" s="99">
        <f>MONTH(INGRESOS[[#This Row],[FECHA]])</f>
        <v>1</v>
      </c>
      <c r="D718" s="98" t="str">
        <f>MID(INGRESOS[[#This Row],[CUENTA]],1,4)</f>
        <v/>
      </c>
      <c r="E71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8" s="103"/>
      <c r="G718" s="20"/>
      <c r="H718" s="56"/>
      <c r="I718" s="57"/>
      <c r="J718" s="20"/>
    </row>
    <row r="719" spans="1:10" x14ac:dyDescent="0.25">
      <c r="A719" s="55"/>
      <c r="B719" s="20"/>
      <c r="C719" s="99">
        <f>MONTH(INGRESOS[[#This Row],[FECHA]])</f>
        <v>1</v>
      </c>
      <c r="D719" s="98" t="str">
        <f>MID(INGRESOS[[#This Row],[CUENTA]],1,4)</f>
        <v/>
      </c>
      <c r="E71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19" s="103"/>
      <c r="G719" s="20"/>
      <c r="H719" s="56"/>
      <c r="I719" s="57"/>
      <c r="J719" s="20"/>
    </row>
    <row r="720" spans="1:10" x14ac:dyDescent="0.25">
      <c r="A720" s="55"/>
      <c r="B720" s="20"/>
      <c r="C720" s="99">
        <f>MONTH(INGRESOS[[#This Row],[FECHA]])</f>
        <v>1</v>
      </c>
      <c r="D720" s="98" t="str">
        <f>MID(INGRESOS[[#This Row],[CUENTA]],1,4)</f>
        <v/>
      </c>
      <c r="E72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0" s="103"/>
      <c r="G720" s="20"/>
      <c r="H720" s="56"/>
      <c r="I720" s="57"/>
      <c r="J720" s="20"/>
    </row>
    <row r="721" spans="1:10" x14ac:dyDescent="0.25">
      <c r="A721" s="55"/>
      <c r="B721" s="20"/>
      <c r="C721" s="99">
        <f>MONTH(INGRESOS[[#This Row],[FECHA]])</f>
        <v>1</v>
      </c>
      <c r="D721" s="98" t="str">
        <f>MID(INGRESOS[[#This Row],[CUENTA]],1,4)</f>
        <v/>
      </c>
      <c r="E72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1" s="103"/>
      <c r="G721" s="20"/>
      <c r="H721" s="56"/>
      <c r="I721" s="57"/>
      <c r="J721" s="20"/>
    </row>
    <row r="722" spans="1:10" x14ac:dyDescent="0.25">
      <c r="A722" s="55"/>
      <c r="B722" s="20"/>
      <c r="C722" s="99">
        <f>MONTH(INGRESOS[[#This Row],[FECHA]])</f>
        <v>1</v>
      </c>
      <c r="D722" s="98" t="str">
        <f>MID(INGRESOS[[#This Row],[CUENTA]],1,4)</f>
        <v/>
      </c>
      <c r="E72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2" s="103"/>
      <c r="G722" s="20"/>
      <c r="H722" s="56"/>
      <c r="I722" s="57"/>
      <c r="J722" s="20"/>
    </row>
    <row r="723" spans="1:10" x14ac:dyDescent="0.25">
      <c r="A723" s="55"/>
      <c r="B723" s="20"/>
      <c r="C723" s="99">
        <f>MONTH(INGRESOS[[#This Row],[FECHA]])</f>
        <v>1</v>
      </c>
      <c r="D723" s="98" t="str">
        <f>MID(INGRESOS[[#This Row],[CUENTA]],1,4)</f>
        <v/>
      </c>
      <c r="E72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3" s="103"/>
      <c r="G723" s="20"/>
      <c r="H723" s="56"/>
      <c r="I723" s="57"/>
      <c r="J723" s="20"/>
    </row>
    <row r="724" spans="1:10" x14ac:dyDescent="0.25">
      <c r="A724" s="55"/>
      <c r="B724" s="20"/>
      <c r="C724" s="99">
        <f>MONTH(INGRESOS[[#This Row],[FECHA]])</f>
        <v>1</v>
      </c>
      <c r="D724" s="98" t="str">
        <f>MID(INGRESOS[[#This Row],[CUENTA]],1,4)</f>
        <v/>
      </c>
      <c r="E72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4" s="103"/>
      <c r="G724" s="20"/>
      <c r="H724" s="56"/>
      <c r="I724" s="57"/>
      <c r="J724" s="20"/>
    </row>
    <row r="725" spans="1:10" x14ac:dyDescent="0.25">
      <c r="A725" s="55"/>
      <c r="B725" s="20"/>
      <c r="C725" s="99">
        <f>MONTH(INGRESOS[[#This Row],[FECHA]])</f>
        <v>1</v>
      </c>
      <c r="D725" s="98" t="str">
        <f>MID(INGRESOS[[#This Row],[CUENTA]],1,4)</f>
        <v/>
      </c>
      <c r="E72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5" s="103"/>
      <c r="G725" s="20"/>
      <c r="H725" s="56"/>
      <c r="I725" s="57"/>
      <c r="J725" s="20"/>
    </row>
    <row r="726" spans="1:10" x14ac:dyDescent="0.25">
      <c r="A726" s="55"/>
      <c r="B726" s="20"/>
      <c r="C726" s="99">
        <f>MONTH(INGRESOS[[#This Row],[FECHA]])</f>
        <v>1</v>
      </c>
      <c r="D726" s="98" t="str">
        <f>MID(INGRESOS[[#This Row],[CUENTA]],1,4)</f>
        <v/>
      </c>
      <c r="E72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6" s="103"/>
      <c r="G726" s="20"/>
      <c r="H726" s="56"/>
      <c r="I726" s="57"/>
      <c r="J726" s="20"/>
    </row>
    <row r="727" spans="1:10" x14ac:dyDescent="0.25">
      <c r="A727" s="55"/>
      <c r="B727" s="20"/>
      <c r="C727" s="99">
        <f>MONTH(INGRESOS[[#This Row],[FECHA]])</f>
        <v>1</v>
      </c>
      <c r="D727" s="98" t="str">
        <f>MID(INGRESOS[[#This Row],[CUENTA]],1,4)</f>
        <v/>
      </c>
      <c r="E72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7" s="103"/>
      <c r="G727" s="20"/>
      <c r="H727" s="56"/>
      <c r="I727" s="57"/>
      <c r="J727" s="20"/>
    </row>
    <row r="728" spans="1:10" x14ac:dyDescent="0.25">
      <c r="A728" s="55"/>
      <c r="B728" s="20"/>
      <c r="C728" s="99">
        <f>MONTH(INGRESOS[[#This Row],[FECHA]])</f>
        <v>1</v>
      </c>
      <c r="D728" s="98" t="str">
        <f>MID(INGRESOS[[#This Row],[CUENTA]],1,4)</f>
        <v/>
      </c>
      <c r="E72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8" s="103"/>
      <c r="G728" s="20"/>
      <c r="H728" s="56"/>
      <c r="I728" s="57"/>
      <c r="J728" s="20"/>
    </row>
    <row r="729" spans="1:10" x14ac:dyDescent="0.25">
      <c r="A729" s="55"/>
      <c r="B729" s="20"/>
      <c r="C729" s="99">
        <f>MONTH(INGRESOS[[#This Row],[FECHA]])</f>
        <v>1</v>
      </c>
      <c r="D729" s="98" t="str">
        <f>MID(INGRESOS[[#This Row],[CUENTA]],1,4)</f>
        <v/>
      </c>
      <c r="E72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29" s="103"/>
      <c r="G729" s="20"/>
      <c r="H729" s="56"/>
      <c r="I729" s="57"/>
      <c r="J729" s="20"/>
    </row>
    <row r="730" spans="1:10" x14ac:dyDescent="0.25">
      <c r="A730" s="55"/>
      <c r="B730" s="20"/>
      <c r="C730" s="99">
        <f>MONTH(INGRESOS[[#This Row],[FECHA]])</f>
        <v>1</v>
      </c>
      <c r="D730" s="98" t="str">
        <f>MID(INGRESOS[[#This Row],[CUENTA]],1,4)</f>
        <v/>
      </c>
      <c r="E73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0" s="103"/>
      <c r="G730" s="20"/>
      <c r="H730" s="56"/>
      <c r="I730" s="57"/>
      <c r="J730" s="20"/>
    </row>
    <row r="731" spans="1:10" x14ac:dyDescent="0.25">
      <c r="A731" s="55"/>
      <c r="B731" s="20"/>
      <c r="C731" s="99">
        <f>MONTH(INGRESOS[[#This Row],[FECHA]])</f>
        <v>1</v>
      </c>
      <c r="D731" s="98" t="str">
        <f>MID(INGRESOS[[#This Row],[CUENTA]],1,4)</f>
        <v/>
      </c>
      <c r="E73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1" s="103"/>
      <c r="G731" s="20"/>
      <c r="H731" s="56"/>
      <c r="I731" s="57"/>
      <c r="J731" s="20"/>
    </row>
    <row r="732" spans="1:10" x14ac:dyDescent="0.25">
      <c r="A732" s="55"/>
      <c r="B732" s="20"/>
      <c r="C732" s="99">
        <f>MONTH(INGRESOS[[#This Row],[FECHA]])</f>
        <v>1</v>
      </c>
      <c r="D732" s="98" t="str">
        <f>MID(INGRESOS[[#This Row],[CUENTA]],1,4)</f>
        <v/>
      </c>
      <c r="E73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2" s="103"/>
      <c r="G732" s="20"/>
      <c r="H732" s="56"/>
      <c r="I732" s="57"/>
      <c r="J732" s="20"/>
    </row>
    <row r="733" spans="1:10" x14ac:dyDescent="0.25">
      <c r="A733" s="55"/>
      <c r="B733" s="20"/>
      <c r="C733" s="99">
        <f>MONTH(INGRESOS[[#This Row],[FECHA]])</f>
        <v>1</v>
      </c>
      <c r="D733" s="98" t="str">
        <f>MID(INGRESOS[[#This Row],[CUENTA]],1,4)</f>
        <v/>
      </c>
      <c r="E73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3" s="103"/>
      <c r="G733" s="20"/>
      <c r="H733" s="56"/>
      <c r="I733" s="57"/>
      <c r="J733" s="20"/>
    </row>
    <row r="734" spans="1:10" x14ac:dyDescent="0.25">
      <c r="A734" s="55"/>
      <c r="B734" s="20"/>
      <c r="C734" s="99">
        <f>MONTH(INGRESOS[[#This Row],[FECHA]])</f>
        <v>1</v>
      </c>
      <c r="D734" s="98" t="str">
        <f>MID(INGRESOS[[#This Row],[CUENTA]],1,4)</f>
        <v/>
      </c>
      <c r="E73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4" s="103"/>
      <c r="G734" s="20"/>
      <c r="H734" s="56"/>
      <c r="I734" s="57"/>
      <c r="J734" s="20"/>
    </row>
    <row r="735" spans="1:10" x14ac:dyDescent="0.25">
      <c r="A735" s="55"/>
      <c r="B735" s="20"/>
      <c r="C735" s="99">
        <f>MONTH(INGRESOS[[#This Row],[FECHA]])</f>
        <v>1</v>
      </c>
      <c r="D735" s="98" t="str">
        <f>MID(INGRESOS[[#This Row],[CUENTA]],1,4)</f>
        <v/>
      </c>
      <c r="E73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5" s="103"/>
      <c r="G735" s="20"/>
      <c r="H735" s="56"/>
      <c r="I735" s="57"/>
      <c r="J735" s="20"/>
    </row>
    <row r="736" spans="1:10" x14ac:dyDescent="0.25">
      <c r="A736" s="55"/>
      <c r="B736" s="20"/>
      <c r="C736" s="99">
        <f>MONTH(INGRESOS[[#This Row],[FECHA]])</f>
        <v>1</v>
      </c>
      <c r="D736" s="98" t="str">
        <f>MID(INGRESOS[[#This Row],[CUENTA]],1,4)</f>
        <v/>
      </c>
      <c r="E73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6" s="103"/>
      <c r="G736" s="20"/>
      <c r="H736" s="56"/>
      <c r="I736" s="57"/>
      <c r="J736" s="20"/>
    </row>
    <row r="737" spans="1:10" x14ac:dyDescent="0.25">
      <c r="A737" s="55"/>
      <c r="B737" s="20"/>
      <c r="C737" s="99">
        <f>MONTH(INGRESOS[[#This Row],[FECHA]])</f>
        <v>1</v>
      </c>
      <c r="D737" s="98" t="str">
        <f>MID(INGRESOS[[#This Row],[CUENTA]],1,4)</f>
        <v/>
      </c>
      <c r="E73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7" s="103"/>
      <c r="G737" s="20"/>
      <c r="H737" s="56"/>
      <c r="I737" s="57"/>
      <c r="J737" s="20"/>
    </row>
    <row r="738" spans="1:10" x14ac:dyDescent="0.25">
      <c r="A738" s="55"/>
      <c r="B738" s="20"/>
      <c r="C738" s="99">
        <f>MONTH(INGRESOS[[#This Row],[FECHA]])</f>
        <v>1</v>
      </c>
      <c r="D738" s="98" t="str">
        <f>MID(INGRESOS[[#This Row],[CUENTA]],1,4)</f>
        <v/>
      </c>
      <c r="E73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8" s="103"/>
      <c r="G738" s="20"/>
      <c r="H738" s="56"/>
      <c r="I738" s="57"/>
      <c r="J738" s="20"/>
    </row>
    <row r="739" spans="1:10" x14ac:dyDescent="0.25">
      <c r="A739" s="55"/>
      <c r="B739" s="20"/>
      <c r="C739" s="99">
        <f>MONTH(INGRESOS[[#This Row],[FECHA]])</f>
        <v>1</v>
      </c>
      <c r="D739" s="98" t="str">
        <f>MID(INGRESOS[[#This Row],[CUENTA]],1,4)</f>
        <v/>
      </c>
      <c r="E73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39" s="103"/>
      <c r="G739" s="20"/>
      <c r="H739" s="56"/>
      <c r="I739" s="57"/>
      <c r="J739" s="20"/>
    </row>
    <row r="740" spans="1:10" x14ac:dyDescent="0.25">
      <c r="A740" s="55"/>
      <c r="B740" s="20"/>
      <c r="C740" s="99">
        <f>MONTH(INGRESOS[[#This Row],[FECHA]])</f>
        <v>1</v>
      </c>
      <c r="D740" s="98" t="str">
        <f>MID(INGRESOS[[#This Row],[CUENTA]],1,4)</f>
        <v/>
      </c>
      <c r="E74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0" s="103"/>
      <c r="G740" s="20"/>
      <c r="H740" s="56"/>
      <c r="I740" s="57"/>
      <c r="J740" s="20"/>
    </row>
    <row r="741" spans="1:10" x14ac:dyDescent="0.25">
      <c r="A741" s="55"/>
      <c r="B741" s="20"/>
      <c r="C741" s="99">
        <f>MONTH(INGRESOS[[#This Row],[FECHA]])</f>
        <v>1</v>
      </c>
      <c r="D741" s="98" t="str">
        <f>MID(INGRESOS[[#This Row],[CUENTA]],1,4)</f>
        <v/>
      </c>
      <c r="E74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1" s="103"/>
      <c r="G741" s="20"/>
      <c r="H741" s="56"/>
      <c r="I741" s="57"/>
      <c r="J741" s="20"/>
    </row>
    <row r="742" spans="1:10" x14ac:dyDescent="0.25">
      <c r="A742" s="55"/>
      <c r="B742" s="20"/>
      <c r="C742" s="99">
        <f>MONTH(INGRESOS[[#This Row],[FECHA]])</f>
        <v>1</v>
      </c>
      <c r="D742" s="98" t="str">
        <f>MID(INGRESOS[[#This Row],[CUENTA]],1,4)</f>
        <v/>
      </c>
      <c r="E74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2" s="103"/>
      <c r="G742" s="20"/>
      <c r="H742" s="56"/>
      <c r="I742" s="57"/>
      <c r="J742" s="20"/>
    </row>
    <row r="743" spans="1:10" x14ac:dyDescent="0.25">
      <c r="A743" s="55"/>
      <c r="B743" s="20"/>
      <c r="C743" s="99">
        <f>MONTH(INGRESOS[[#This Row],[FECHA]])</f>
        <v>1</v>
      </c>
      <c r="D743" s="98" t="str">
        <f>MID(INGRESOS[[#This Row],[CUENTA]],1,4)</f>
        <v/>
      </c>
      <c r="E74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3" s="103"/>
      <c r="G743" s="20"/>
      <c r="H743" s="56"/>
      <c r="I743" s="57"/>
      <c r="J743" s="20"/>
    </row>
    <row r="744" spans="1:10" x14ac:dyDescent="0.25">
      <c r="A744" s="55"/>
      <c r="B744" s="20"/>
      <c r="C744" s="99">
        <f>MONTH(INGRESOS[[#This Row],[FECHA]])</f>
        <v>1</v>
      </c>
      <c r="D744" s="98" t="str">
        <f>MID(INGRESOS[[#This Row],[CUENTA]],1,4)</f>
        <v/>
      </c>
      <c r="E74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4" s="103"/>
      <c r="G744" s="20"/>
      <c r="H744" s="56"/>
      <c r="I744" s="57"/>
      <c r="J744" s="20"/>
    </row>
    <row r="745" spans="1:10" x14ac:dyDescent="0.25">
      <c r="A745" s="55"/>
      <c r="B745" s="20"/>
      <c r="C745" s="99">
        <f>MONTH(INGRESOS[[#This Row],[FECHA]])</f>
        <v>1</v>
      </c>
      <c r="D745" s="98" t="str">
        <f>MID(INGRESOS[[#This Row],[CUENTA]],1,4)</f>
        <v/>
      </c>
      <c r="E74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5" s="103"/>
      <c r="G745" s="20"/>
      <c r="H745" s="56"/>
      <c r="I745" s="57"/>
      <c r="J745" s="20"/>
    </row>
    <row r="746" spans="1:10" x14ac:dyDescent="0.25">
      <c r="A746" s="55"/>
      <c r="B746" s="20"/>
      <c r="C746" s="99">
        <f>MONTH(INGRESOS[[#This Row],[FECHA]])</f>
        <v>1</v>
      </c>
      <c r="D746" s="98" t="str">
        <f>MID(INGRESOS[[#This Row],[CUENTA]],1,4)</f>
        <v/>
      </c>
      <c r="E74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6" s="103"/>
      <c r="G746" s="20"/>
      <c r="H746" s="56"/>
      <c r="I746" s="57"/>
      <c r="J746" s="20"/>
    </row>
    <row r="747" spans="1:10" x14ac:dyDescent="0.25">
      <c r="A747" s="55"/>
      <c r="B747" s="20"/>
      <c r="C747" s="99">
        <f>MONTH(INGRESOS[[#This Row],[FECHA]])</f>
        <v>1</v>
      </c>
      <c r="D747" s="98" t="str">
        <f>MID(INGRESOS[[#This Row],[CUENTA]],1,4)</f>
        <v/>
      </c>
      <c r="E74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7" s="103"/>
      <c r="G747" s="20"/>
      <c r="H747" s="56"/>
      <c r="I747" s="57"/>
      <c r="J747" s="20"/>
    </row>
    <row r="748" spans="1:10" x14ac:dyDescent="0.25">
      <c r="A748" s="55"/>
      <c r="B748" s="20"/>
      <c r="C748" s="99">
        <f>MONTH(INGRESOS[[#This Row],[FECHA]])</f>
        <v>1</v>
      </c>
      <c r="D748" s="98" t="str">
        <f>MID(INGRESOS[[#This Row],[CUENTA]],1,4)</f>
        <v/>
      </c>
      <c r="E74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8" s="103"/>
      <c r="G748" s="20"/>
      <c r="H748" s="56"/>
      <c r="I748" s="57"/>
      <c r="J748" s="20"/>
    </row>
    <row r="749" spans="1:10" x14ac:dyDescent="0.25">
      <c r="A749" s="55"/>
      <c r="B749" s="20"/>
      <c r="C749" s="99">
        <f>MONTH(INGRESOS[[#This Row],[FECHA]])</f>
        <v>1</v>
      </c>
      <c r="D749" s="98" t="str">
        <f>MID(INGRESOS[[#This Row],[CUENTA]],1,4)</f>
        <v/>
      </c>
      <c r="E74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49" s="103"/>
      <c r="G749" s="20"/>
      <c r="H749" s="56"/>
      <c r="I749" s="57"/>
      <c r="J749" s="20"/>
    </row>
    <row r="750" spans="1:10" x14ac:dyDescent="0.25">
      <c r="A750" s="55"/>
      <c r="B750" s="20"/>
      <c r="C750" s="99">
        <f>MONTH(INGRESOS[[#This Row],[FECHA]])</f>
        <v>1</v>
      </c>
      <c r="D750" s="98" t="str">
        <f>MID(INGRESOS[[#This Row],[CUENTA]],1,4)</f>
        <v/>
      </c>
      <c r="E75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0" s="103"/>
      <c r="G750" s="20"/>
      <c r="H750" s="56"/>
      <c r="I750" s="57"/>
      <c r="J750" s="20"/>
    </row>
    <row r="751" spans="1:10" x14ac:dyDescent="0.25">
      <c r="A751" s="55"/>
      <c r="B751" s="20"/>
      <c r="C751" s="99">
        <f>MONTH(INGRESOS[[#This Row],[FECHA]])</f>
        <v>1</v>
      </c>
      <c r="D751" s="98" t="str">
        <f>MID(INGRESOS[[#This Row],[CUENTA]],1,4)</f>
        <v/>
      </c>
      <c r="E75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1" s="103"/>
      <c r="G751" s="20"/>
      <c r="H751" s="56"/>
      <c r="I751" s="57"/>
      <c r="J751" s="20"/>
    </row>
    <row r="752" spans="1:10" x14ac:dyDescent="0.25">
      <c r="A752" s="55"/>
      <c r="B752" s="20"/>
      <c r="C752" s="99">
        <f>MONTH(INGRESOS[[#This Row],[FECHA]])</f>
        <v>1</v>
      </c>
      <c r="D752" s="98" t="str">
        <f>MID(INGRESOS[[#This Row],[CUENTA]],1,4)</f>
        <v/>
      </c>
      <c r="E75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2" s="103"/>
      <c r="G752" s="20"/>
      <c r="H752" s="56"/>
      <c r="I752" s="57"/>
      <c r="J752" s="20"/>
    </row>
    <row r="753" spans="1:10" x14ac:dyDescent="0.25">
      <c r="A753" s="55"/>
      <c r="B753" s="20"/>
      <c r="C753" s="99">
        <f>MONTH(INGRESOS[[#This Row],[FECHA]])</f>
        <v>1</v>
      </c>
      <c r="D753" s="98" t="str">
        <f>MID(INGRESOS[[#This Row],[CUENTA]],1,4)</f>
        <v/>
      </c>
      <c r="E75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3" s="103"/>
      <c r="G753" s="20"/>
      <c r="H753" s="56"/>
      <c r="I753" s="57"/>
      <c r="J753" s="20"/>
    </row>
    <row r="754" spans="1:10" x14ac:dyDescent="0.25">
      <c r="A754" s="55"/>
      <c r="B754" s="20"/>
      <c r="C754" s="99">
        <f>MONTH(INGRESOS[[#This Row],[FECHA]])</f>
        <v>1</v>
      </c>
      <c r="D754" s="98" t="str">
        <f>MID(INGRESOS[[#This Row],[CUENTA]],1,4)</f>
        <v/>
      </c>
      <c r="E75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4" s="103"/>
      <c r="G754" s="20"/>
      <c r="H754" s="56"/>
      <c r="I754" s="57"/>
      <c r="J754" s="20"/>
    </row>
    <row r="755" spans="1:10" x14ac:dyDescent="0.25">
      <c r="A755" s="55"/>
      <c r="B755" s="20"/>
      <c r="C755" s="99">
        <f>MONTH(INGRESOS[[#This Row],[FECHA]])</f>
        <v>1</v>
      </c>
      <c r="D755" s="98" t="str">
        <f>MID(INGRESOS[[#This Row],[CUENTA]],1,4)</f>
        <v/>
      </c>
      <c r="E75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5" s="103"/>
      <c r="G755" s="20"/>
      <c r="H755" s="56"/>
      <c r="I755" s="57"/>
      <c r="J755" s="20"/>
    </row>
    <row r="756" spans="1:10" x14ac:dyDescent="0.25">
      <c r="A756" s="55"/>
      <c r="B756" s="20"/>
      <c r="C756" s="99">
        <f>MONTH(INGRESOS[[#This Row],[FECHA]])</f>
        <v>1</v>
      </c>
      <c r="D756" s="98" t="str">
        <f>MID(INGRESOS[[#This Row],[CUENTA]],1,4)</f>
        <v/>
      </c>
      <c r="E75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6" s="20"/>
      <c r="G756" s="20"/>
      <c r="H756" s="56"/>
      <c r="I756" s="57"/>
      <c r="J756" s="20"/>
    </row>
    <row r="757" spans="1:10" x14ac:dyDescent="0.25">
      <c r="A757" s="55"/>
      <c r="B757" s="20"/>
      <c r="C757" s="99">
        <f>MONTH(INGRESOS[[#This Row],[FECHA]])</f>
        <v>1</v>
      </c>
      <c r="D757" s="98" t="str">
        <f>MID(INGRESOS[[#This Row],[CUENTA]],1,4)</f>
        <v/>
      </c>
      <c r="E75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7" s="20"/>
      <c r="G757" s="20"/>
      <c r="H757" s="56"/>
      <c r="I757" s="57"/>
      <c r="J757" s="20"/>
    </row>
    <row r="758" spans="1:10" x14ac:dyDescent="0.25">
      <c r="A758" s="55"/>
      <c r="B758" s="20"/>
      <c r="C758" s="99">
        <f>MONTH(INGRESOS[[#This Row],[FECHA]])</f>
        <v>1</v>
      </c>
      <c r="D758" s="98" t="str">
        <f>MID(INGRESOS[[#This Row],[CUENTA]],1,4)</f>
        <v/>
      </c>
      <c r="E75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8" s="20"/>
      <c r="G758" s="20"/>
      <c r="H758" s="56"/>
      <c r="I758" s="57"/>
      <c r="J758" s="20"/>
    </row>
    <row r="759" spans="1:10" x14ac:dyDescent="0.25">
      <c r="A759" s="55"/>
      <c r="B759" s="20"/>
      <c r="C759" s="99">
        <f>MONTH(INGRESOS[[#This Row],[FECHA]])</f>
        <v>1</v>
      </c>
      <c r="D759" s="98" t="str">
        <f>MID(INGRESOS[[#This Row],[CUENTA]],1,4)</f>
        <v/>
      </c>
      <c r="E75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59" s="20"/>
      <c r="G759" s="20"/>
      <c r="H759" s="56"/>
      <c r="I759" s="57"/>
      <c r="J759" s="20"/>
    </row>
    <row r="760" spans="1:10" x14ac:dyDescent="0.25">
      <c r="A760" s="55"/>
      <c r="B760" s="20"/>
      <c r="C760" s="99">
        <f>MONTH(INGRESOS[[#This Row],[FECHA]])</f>
        <v>1</v>
      </c>
      <c r="D760" s="98" t="str">
        <f>MID(INGRESOS[[#This Row],[CUENTA]],1,4)</f>
        <v/>
      </c>
      <c r="E76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0" s="20"/>
      <c r="G760" s="20"/>
      <c r="H760" s="56"/>
      <c r="I760" s="57"/>
      <c r="J760" s="20"/>
    </row>
    <row r="761" spans="1:10" x14ac:dyDescent="0.25">
      <c r="A761" s="55"/>
      <c r="B761" s="20"/>
      <c r="C761" s="99">
        <f>MONTH(INGRESOS[[#This Row],[FECHA]])</f>
        <v>1</v>
      </c>
      <c r="D761" s="98" t="str">
        <f>MID(INGRESOS[[#This Row],[CUENTA]],1,4)</f>
        <v/>
      </c>
      <c r="E76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1" s="20"/>
      <c r="G761" s="20"/>
      <c r="H761" s="56"/>
      <c r="I761" s="57"/>
      <c r="J761" s="20"/>
    </row>
    <row r="762" spans="1:10" x14ac:dyDescent="0.25">
      <c r="A762" s="55"/>
      <c r="B762" s="20"/>
      <c r="C762" s="99">
        <f>MONTH(INGRESOS[[#This Row],[FECHA]])</f>
        <v>1</v>
      </c>
      <c r="D762" s="98" t="str">
        <f>MID(INGRESOS[[#This Row],[CUENTA]],1,4)</f>
        <v/>
      </c>
      <c r="E76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2" s="20"/>
      <c r="G762" s="20"/>
      <c r="H762" s="56"/>
      <c r="I762" s="57"/>
      <c r="J762" s="20"/>
    </row>
    <row r="763" spans="1:10" x14ac:dyDescent="0.25">
      <c r="A763" s="55"/>
      <c r="B763" s="20"/>
      <c r="C763" s="99">
        <f>MONTH(INGRESOS[[#This Row],[FECHA]])</f>
        <v>1</v>
      </c>
      <c r="D763" s="98" t="str">
        <f>MID(INGRESOS[[#This Row],[CUENTA]],1,4)</f>
        <v/>
      </c>
      <c r="E76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3" s="20"/>
      <c r="G763" s="20"/>
      <c r="H763" s="56"/>
      <c r="I763" s="57"/>
      <c r="J763" s="20"/>
    </row>
    <row r="764" spans="1:10" x14ac:dyDescent="0.25">
      <c r="A764" s="55"/>
      <c r="B764" s="20"/>
      <c r="C764" s="99">
        <f>MONTH(INGRESOS[[#This Row],[FECHA]])</f>
        <v>1</v>
      </c>
      <c r="D764" s="98" t="str">
        <f>MID(INGRESOS[[#This Row],[CUENTA]],1,4)</f>
        <v/>
      </c>
      <c r="E76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4" s="20"/>
      <c r="G764" s="20"/>
      <c r="H764" s="56"/>
      <c r="I764" s="57"/>
      <c r="J764" s="20"/>
    </row>
    <row r="765" spans="1:10" x14ac:dyDescent="0.25">
      <c r="A765" s="55"/>
      <c r="B765" s="20"/>
      <c r="C765" s="99">
        <f>MONTH(INGRESOS[[#This Row],[FECHA]])</f>
        <v>1</v>
      </c>
      <c r="D765" s="98" t="str">
        <f>MID(INGRESOS[[#This Row],[CUENTA]],1,4)</f>
        <v/>
      </c>
      <c r="E76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5" s="20"/>
      <c r="G765" s="20"/>
      <c r="H765" s="56"/>
      <c r="I765" s="57"/>
      <c r="J765" s="20"/>
    </row>
    <row r="766" spans="1:10" x14ac:dyDescent="0.25">
      <c r="A766" s="55"/>
      <c r="B766" s="20"/>
      <c r="C766" s="99">
        <f>MONTH(INGRESOS[[#This Row],[FECHA]])</f>
        <v>1</v>
      </c>
      <c r="D766" s="98" t="str">
        <f>MID(INGRESOS[[#This Row],[CUENTA]],1,4)</f>
        <v/>
      </c>
      <c r="E76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6" s="20"/>
      <c r="G766" s="20"/>
      <c r="H766" s="56"/>
      <c r="I766" s="57"/>
      <c r="J766" s="20"/>
    </row>
    <row r="767" spans="1:10" x14ac:dyDescent="0.25">
      <c r="A767" s="55"/>
      <c r="B767" s="20"/>
      <c r="C767" s="99">
        <f>MONTH(INGRESOS[[#This Row],[FECHA]])</f>
        <v>1</v>
      </c>
      <c r="D767" s="98" t="str">
        <f>MID(INGRESOS[[#This Row],[CUENTA]],1,4)</f>
        <v/>
      </c>
      <c r="E76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7" s="20"/>
      <c r="G767" s="20"/>
      <c r="H767" s="56"/>
      <c r="I767" s="57"/>
      <c r="J767" s="20"/>
    </row>
    <row r="768" spans="1:10" x14ac:dyDescent="0.25">
      <c r="A768" s="55"/>
      <c r="B768" s="20"/>
      <c r="C768" s="99">
        <f>MONTH(INGRESOS[[#This Row],[FECHA]])</f>
        <v>1</v>
      </c>
      <c r="D768" s="98" t="str">
        <f>MID(INGRESOS[[#This Row],[CUENTA]],1,4)</f>
        <v/>
      </c>
      <c r="E76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8" s="20"/>
      <c r="G768" s="20"/>
      <c r="H768" s="56"/>
      <c r="I768" s="57"/>
      <c r="J768" s="20"/>
    </row>
    <row r="769" spans="1:10" x14ac:dyDescent="0.25">
      <c r="A769" s="55"/>
      <c r="B769" s="20"/>
      <c r="C769" s="99">
        <f>MONTH(INGRESOS[[#This Row],[FECHA]])</f>
        <v>1</v>
      </c>
      <c r="D769" s="98" t="str">
        <f>MID(INGRESOS[[#This Row],[CUENTA]],1,4)</f>
        <v/>
      </c>
      <c r="E76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69" s="20"/>
      <c r="G769" s="20"/>
      <c r="H769" s="56"/>
      <c r="I769" s="57"/>
      <c r="J769" s="20"/>
    </row>
    <row r="770" spans="1:10" x14ac:dyDescent="0.25">
      <c r="A770" s="55"/>
      <c r="B770" s="20"/>
      <c r="C770" s="99">
        <f>MONTH(INGRESOS[[#This Row],[FECHA]])</f>
        <v>1</v>
      </c>
      <c r="D770" s="98" t="str">
        <f>MID(INGRESOS[[#This Row],[CUENTA]],1,4)</f>
        <v/>
      </c>
      <c r="E77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0" s="20"/>
      <c r="G770" s="20"/>
      <c r="H770" s="56"/>
      <c r="I770" s="57"/>
      <c r="J770" s="20"/>
    </row>
    <row r="771" spans="1:10" x14ac:dyDescent="0.25">
      <c r="A771" s="55"/>
      <c r="B771" s="20"/>
      <c r="C771" s="99">
        <f>MONTH(INGRESOS[[#This Row],[FECHA]])</f>
        <v>1</v>
      </c>
      <c r="D771" s="98" t="str">
        <f>MID(INGRESOS[[#This Row],[CUENTA]],1,4)</f>
        <v/>
      </c>
      <c r="E77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1" s="20"/>
      <c r="G771" s="20"/>
      <c r="H771" s="56"/>
      <c r="I771" s="57"/>
      <c r="J771" s="20"/>
    </row>
    <row r="772" spans="1:10" x14ac:dyDescent="0.25">
      <c r="A772" s="55"/>
      <c r="B772" s="20"/>
      <c r="C772" s="99">
        <f>MONTH(INGRESOS[[#This Row],[FECHA]])</f>
        <v>1</v>
      </c>
      <c r="D772" s="98" t="str">
        <f>MID(INGRESOS[[#This Row],[CUENTA]],1,4)</f>
        <v/>
      </c>
      <c r="E77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2" s="20"/>
      <c r="G772" s="20"/>
      <c r="H772" s="56"/>
      <c r="I772" s="57"/>
      <c r="J772" s="20"/>
    </row>
    <row r="773" spans="1:10" x14ac:dyDescent="0.25">
      <c r="A773" s="55"/>
      <c r="B773" s="20"/>
      <c r="C773" s="99">
        <f>MONTH(INGRESOS[[#This Row],[FECHA]])</f>
        <v>1</v>
      </c>
      <c r="D773" s="98" t="str">
        <f>MID(INGRESOS[[#This Row],[CUENTA]],1,4)</f>
        <v/>
      </c>
      <c r="E77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3" s="20"/>
      <c r="G773" s="20"/>
      <c r="H773" s="56"/>
      <c r="I773" s="57"/>
      <c r="J773" s="20"/>
    </row>
    <row r="774" spans="1:10" x14ac:dyDescent="0.25">
      <c r="A774" s="55"/>
      <c r="B774" s="20"/>
      <c r="C774" s="99">
        <f>MONTH(INGRESOS[[#This Row],[FECHA]])</f>
        <v>1</v>
      </c>
      <c r="D774" s="98" t="str">
        <f>MID(INGRESOS[[#This Row],[CUENTA]],1,4)</f>
        <v/>
      </c>
      <c r="E77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4" s="20"/>
      <c r="G774" s="20"/>
      <c r="H774" s="56"/>
      <c r="I774" s="57"/>
      <c r="J774" s="20"/>
    </row>
    <row r="775" spans="1:10" x14ac:dyDescent="0.25">
      <c r="A775" s="55"/>
      <c r="B775" s="20"/>
      <c r="C775" s="99">
        <f>MONTH(INGRESOS[[#This Row],[FECHA]])</f>
        <v>1</v>
      </c>
      <c r="D775" s="98" t="str">
        <f>MID(INGRESOS[[#This Row],[CUENTA]],1,4)</f>
        <v/>
      </c>
      <c r="E77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5" s="20"/>
      <c r="G775" s="20"/>
      <c r="H775" s="56"/>
      <c r="I775" s="57"/>
      <c r="J775" s="20"/>
    </row>
    <row r="776" spans="1:10" x14ac:dyDescent="0.25">
      <c r="A776" s="55"/>
      <c r="B776" s="20"/>
      <c r="C776" s="99">
        <f>MONTH(INGRESOS[[#This Row],[FECHA]])</f>
        <v>1</v>
      </c>
      <c r="D776" s="98" t="str">
        <f>MID(INGRESOS[[#This Row],[CUENTA]],1,4)</f>
        <v/>
      </c>
      <c r="E77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6" s="20"/>
      <c r="G776" s="20"/>
      <c r="H776" s="56"/>
      <c r="I776" s="57"/>
      <c r="J776" s="20"/>
    </row>
    <row r="777" spans="1:10" x14ac:dyDescent="0.25">
      <c r="A777" s="55"/>
      <c r="B777" s="20"/>
      <c r="C777" s="99">
        <f>MONTH(INGRESOS[[#This Row],[FECHA]])</f>
        <v>1</v>
      </c>
      <c r="D777" s="98" t="str">
        <f>MID(INGRESOS[[#This Row],[CUENTA]],1,4)</f>
        <v/>
      </c>
      <c r="E77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7" s="20"/>
      <c r="G777" s="20"/>
      <c r="H777" s="56"/>
      <c r="I777" s="57"/>
      <c r="J777" s="20"/>
    </row>
    <row r="778" spans="1:10" x14ac:dyDescent="0.25">
      <c r="A778" s="55"/>
      <c r="B778" s="20"/>
      <c r="C778" s="99">
        <f>MONTH(INGRESOS[[#This Row],[FECHA]])</f>
        <v>1</v>
      </c>
      <c r="D778" s="98" t="str">
        <f>MID(INGRESOS[[#This Row],[CUENTA]],1,4)</f>
        <v/>
      </c>
      <c r="E77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8" s="20"/>
      <c r="G778" s="20"/>
      <c r="H778" s="56"/>
      <c r="I778" s="57"/>
      <c r="J778" s="20"/>
    </row>
    <row r="779" spans="1:10" x14ac:dyDescent="0.25">
      <c r="A779" s="55"/>
      <c r="B779" s="20"/>
      <c r="C779" s="99">
        <f>MONTH(INGRESOS[[#This Row],[FECHA]])</f>
        <v>1</v>
      </c>
      <c r="D779" s="98" t="str">
        <f>MID(INGRESOS[[#This Row],[CUENTA]],1,4)</f>
        <v/>
      </c>
      <c r="E77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79" s="20"/>
      <c r="G779" s="20"/>
      <c r="H779" s="56"/>
      <c r="I779" s="57"/>
      <c r="J779" s="20"/>
    </row>
    <row r="780" spans="1:10" x14ac:dyDescent="0.25">
      <c r="A780" s="55"/>
      <c r="B780" s="20"/>
      <c r="C780" s="99">
        <f>MONTH(INGRESOS[[#This Row],[FECHA]])</f>
        <v>1</v>
      </c>
      <c r="D780" s="98" t="str">
        <f>MID(INGRESOS[[#This Row],[CUENTA]],1,4)</f>
        <v/>
      </c>
      <c r="E78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0" s="20"/>
      <c r="G780" s="20"/>
      <c r="H780" s="56"/>
      <c r="I780" s="57"/>
      <c r="J780" s="20"/>
    </row>
    <row r="781" spans="1:10" x14ac:dyDescent="0.25">
      <c r="A781" s="55"/>
      <c r="B781" s="20"/>
      <c r="C781" s="99">
        <f>MONTH(INGRESOS[[#This Row],[FECHA]])</f>
        <v>1</v>
      </c>
      <c r="D781" s="98" t="str">
        <f>MID(INGRESOS[[#This Row],[CUENTA]],1,4)</f>
        <v/>
      </c>
      <c r="E78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1" s="20"/>
      <c r="G781" s="20"/>
      <c r="H781" s="56"/>
      <c r="I781" s="57"/>
      <c r="J781" s="20"/>
    </row>
    <row r="782" spans="1:10" x14ac:dyDescent="0.25">
      <c r="A782" s="55"/>
      <c r="B782" s="20"/>
      <c r="C782" s="99">
        <f>MONTH(INGRESOS[[#This Row],[FECHA]])</f>
        <v>1</v>
      </c>
      <c r="D782" s="98" t="str">
        <f>MID(INGRESOS[[#This Row],[CUENTA]],1,4)</f>
        <v/>
      </c>
      <c r="E78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2" s="20"/>
      <c r="G782" s="20"/>
      <c r="H782" s="56"/>
      <c r="I782" s="57"/>
      <c r="J782" s="20"/>
    </row>
    <row r="783" spans="1:10" x14ac:dyDescent="0.25">
      <c r="A783" s="55"/>
      <c r="B783" s="20"/>
      <c r="C783" s="99">
        <f>MONTH(INGRESOS[[#This Row],[FECHA]])</f>
        <v>1</v>
      </c>
      <c r="D783" s="98" t="str">
        <f>MID(INGRESOS[[#This Row],[CUENTA]],1,4)</f>
        <v/>
      </c>
      <c r="E78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3" s="20"/>
      <c r="G783" s="20"/>
      <c r="H783" s="56"/>
      <c r="I783" s="57"/>
      <c r="J783" s="20"/>
    </row>
    <row r="784" spans="1:10" x14ac:dyDescent="0.25">
      <c r="A784" s="55"/>
      <c r="B784" s="20"/>
      <c r="C784" s="99">
        <f>MONTH(INGRESOS[[#This Row],[FECHA]])</f>
        <v>1</v>
      </c>
      <c r="D784" s="98" t="str">
        <f>MID(INGRESOS[[#This Row],[CUENTA]],1,4)</f>
        <v/>
      </c>
      <c r="E78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4" s="20"/>
      <c r="G784" s="20"/>
      <c r="H784" s="56"/>
      <c r="I784" s="57"/>
      <c r="J784" s="20"/>
    </row>
    <row r="785" spans="1:10" x14ac:dyDescent="0.25">
      <c r="A785" s="55"/>
      <c r="B785" s="20"/>
      <c r="C785" s="99">
        <f>MONTH(INGRESOS[[#This Row],[FECHA]])</f>
        <v>1</v>
      </c>
      <c r="D785" s="98" t="str">
        <f>MID(INGRESOS[[#This Row],[CUENTA]],1,4)</f>
        <v/>
      </c>
      <c r="E78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5" s="20"/>
      <c r="G785" s="20"/>
      <c r="H785" s="56"/>
      <c r="I785" s="57"/>
      <c r="J785" s="20"/>
    </row>
    <row r="786" spans="1:10" x14ac:dyDescent="0.25">
      <c r="A786" s="55"/>
      <c r="B786" s="20"/>
      <c r="C786" s="99">
        <f>MONTH(INGRESOS[[#This Row],[FECHA]])</f>
        <v>1</v>
      </c>
      <c r="D786" s="98" t="str">
        <f>MID(INGRESOS[[#This Row],[CUENTA]],1,4)</f>
        <v/>
      </c>
      <c r="E78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6" s="20"/>
      <c r="G786" s="20"/>
      <c r="H786" s="56"/>
      <c r="I786" s="57"/>
      <c r="J786" s="20"/>
    </row>
    <row r="787" spans="1:10" x14ac:dyDescent="0.25">
      <c r="A787" s="55"/>
      <c r="B787" s="20"/>
      <c r="C787" s="99">
        <f>MONTH(INGRESOS[[#This Row],[FECHA]])</f>
        <v>1</v>
      </c>
      <c r="D787" s="98" t="str">
        <f>MID(INGRESOS[[#This Row],[CUENTA]],1,4)</f>
        <v/>
      </c>
      <c r="E78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7" s="20"/>
      <c r="G787" s="20"/>
      <c r="H787" s="56"/>
      <c r="I787" s="57"/>
      <c r="J787" s="20"/>
    </row>
    <row r="788" spans="1:10" x14ac:dyDescent="0.25">
      <c r="A788" s="55"/>
      <c r="B788" s="20"/>
      <c r="C788" s="99">
        <f>MONTH(INGRESOS[[#This Row],[FECHA]])</f>
        <v>1</v>
      </c>
      <c r="D788" s="98" t="str">
        <f>MID(INGRESOS[[#This Row],[CUENTA]],1,4)</f>
        <v/>
      </c>
      <c r="E78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8" s="20"/>
      <c r="G788" s="20"/>
      <c r="H788" s="56"/>
      <c r="I788" s="57"/>
      <c r="J788" s="20"/>
    </row>
    <row r="789" spans="1:10" x14ac:dyDescent="0.25">
      <c r="A789" s="55"/>
      <c r="B789" s="20"/>
      <c r="C789" s="99">
        <f>MONTH(INGRESOS[[#This Row],[FECHA]])</f>
        <v>1</v>
      </c>
      <c r="D789" s="98" t="str">
        <f>MID(INGRESOS[[#This Row],[CUENTA]],1,4)</f>
        <v/>
      </c>
      <c r="E78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89" s="20"/>
      <c r="G789" s="20"/>
      <c r="H789" s="56"/>
      <c r="I789" s="57"/>
      <c r="J789" s="20"/>
    </row>
    <row r="790" spans="1:10" x14ac:dyDescent="0.25">
      <c r="A790" s="55"/>
      <c r="B790" s="20"/>
      <c r="C790" s="99">
        <f>MONTH(INGRESOS[[#This Row],[FECHA]])</f>
        <v>1</v>
      </c>
      <c r="D790" s="98" t="str">
        <f>MID(INGRESOS[[#This Row],[CUENTA]],1,4)</f>
        <v/>
      </c>
      <c r="E79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0" s="20"/>
      <c r="G790" s="20"/>
      <c r="H790" s="56"/>
      <c r="I790" s="57"/>
      <c r="J790" s="20"/>
    </row>
    <row r="791" spans="1:10" x14ac:dyDescent="0.25">
      <c r="A791" s="55"/>
      <c r="B791" s="20"/>
      <c r="C791" s="99">
        <f>MONTH(INGRESOS[[#This Row],[FECHA]])</f>
        <v>1</v>
      </c>
      <c r="D791" s="98" t="str">
        <f>MID(INGRESOS[[#This Row],[CUENTA]],1,4)</f>
        <v/>
      </c>
      <c r="E79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1" s="20"/>
      <c r="G791" s="20"/>
      <c r="H791" s="56"/>
      <c r="I791" s="57"/>
      <c r="J791" s="20"/>
    </row>
    <row r="792" spans="1:10" x14ac:dyDescent="0.25">
      <c r="A792" s="55"/>
      <c r="B792" s="20"/>
      <c r="C792" s="99">
        <f>MONTH(INGRESOS[[#This Row],[FECHA]])</f>
        <v>1</v>
      </c>
      <c r="D792" s="98" t="str">
        <f>MID(INGRESOS[[#This Row],[CUENTA]],1,4)</f>
        <v/>
      </c>
      <c r="E79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2" s="20"/>
      <c r="G792" s="20"/>
      <c r="H792" s="56"/>
      <c r="I792" s="57"/>
      <c r="J792" s="20"/>
    </row>
    <row r="793" spans="1:10" x14ac:dyDescent="0.25">
      <c r="A793" s="55"/>
      <c r="B793" s="20"/>
      <c r="C793" s="99">
        <f>MONTH(INGRESOS[[#This Row],[FECHA]])</f>
        <v>1</v>
      </c>
      <c r="D793" s="98" t="str">
        <f>MID(INGRESOS[[#This Row],[CUENTA]],1,4)</f>
        <v/>
      </c>
      <c r="E79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3" s="20"/>
      <c r="G793" s="20"/>
      <c r="H793" s="56"/>
      <c r="I793" s="57"/>
      <c r="J793" s="20"/>
    </row>
    <row r="794" spans="1:10" x14ac:dyDescent="0.25">
      <c r="A794" s="55"/>
      <c r="B794" s="20"/>
      <c r="C794" s="99">
        <f>MONTH(INGRESOS[[#This Row],[FECHA]])</f>
        <v>1</v>
      </c>
      <c r="D794" s="98" t="str">
        <f>MID(INGRESOS[[#This Row],[CUENTA]],1,4)</f>
        <v/>
      </c>
      <c r="E79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4" s="20"/>
      <c r="G794" s="20"/>
      <c r="H794" s="56"/>
      <c r="I794" s="57"/>
      <c r="J794" s="20"/>
    </row>
    <row r="795" spans="1:10" x14ac:dyDescent="0.25">
      <c r="A795" s="55"/>
      <c r="B795" s="20"/>
      <c r="C795" s="99">
        <f>MONTH(INGRESOS[[#This Row],[FECHA]])</f>
        <v>1</v>
      </c>
      <c r="D795" s="98" t="str">
        <f>MID(INGRESOS[[#This Row],[CUENTA]],1,4)</f>
        <v/>
      </c>
      <c r="E79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5" s="20"/>
      <c r="G795" s="20"/>
      <c r="H795" s="56"/>
      <c r="I795" s="57"/>
      <c r="J795" s="20"/>
    </row>
    <row r="796" spans="1:10" x14ac:dyDescent="0.25">
      <c r="A796" s="55"/>
      <c r="B796" s="20"/>
      <c r="C796" s="99">
        <f>MONTH(INGRESOS[[#This Row],[FECHA]])</f>
        <v>1</v>
      </c>
      <c r="D796" s="98" t="str">
        <f>MID(INGRESOS[[#This Row],[CUENTA]],1,4)</f>
        <v/>
      </c>
      <c r="E79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6" s="20"/>
      <c r="G796" s="20"/>
      <c r="H796" s="56"/>
      <c r="I796" s="57"/>
      <c r="J796" s="20"/>
    </row>
    <row r="797" spans="1:10" x14ac:dyDescent="0.25">
      <c r="A797" s="55"/>
      <c r="B797" s="20"/>
      <c r="C797" s="99">
        <f>MONTH(INGRESOS[[#This Row],[FECHA]])</f>
        <v>1</v>
      </c>
      <c r="D797" s="98" t="str">
        <f>MID(INGRESOS[[#This Row],[CUENTA]],1,4)</f>
        <v/>
      </c>
      <c r="E79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7" s="20"/>
      <c r="G797" s="20"/>
      <c r="H797" s="56"/>
      <c r="I797" s="57"/>
      <c r="J797" s="20"/>
    </row>
    <row r="798" spans="1:10" x14ac:dyDescent="0.25">
      <c r="A798" s="55"/>
      <c r="B798" s="20"/>
      <c r="C798" s="99">
        <f>MONTH(INGRESOS[[#This Row],[FECHA]])</f>
        <v>1</v>
      </c>
      <c r="D798" s="98" t="str">
        <f>MID(INGRESOS[[#This Row],[CUENTA]],1,4)</f>
        <v/>
      </c>
      <c r="E79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8" s="20"/>
      <c r="G798" s="20"/>
      <c r="H798" s="56"/>
      <c r="I798" s="57"/>
      <c r="J798" s="20"/>
    </row>
    <row r="799" spans="1:10" x14ac:dyDescent="0.25">
      <c r="A799" s="55"/>
      <c r="B799" s="20"/>
      <c r="C799" s="99">
        <f>MONTH(INGRESOS[[#This Row],[FECHA]])</f>
        <v>1</v>
      </c>
      <c r="D799" s="98" t="str">
        <f>MID(INGRESOS[[#This Row],[CUENTA]],1,4)</f>
        <v/>
      </c>
      <c r="E79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799" s="20"/>
      <c r="G799" s="20"/>
      <c r="H799" s="56"/>
      <c r="I799" s="57"/>
      <c r="J799" s="20"/>
    </row>
    <row r="800" spans="1:10" x14ac:dyDescent="0.25">
      <c r="A800" s="55"/>
      <c r="B800" s="20"/>
      <c r="C800" s="99">
        <f>MONTH(INGRESOS[[#This Row],[FECHA]])</f>
        <v>1</v>
      </c>
      <c r="D800" s="98" t="str">
        <f>MID(INGRESOS[[#This Row],[CUENTA]],1,4)</f>
        <v/>
      </c>
      <c r="E80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0" s="20"/>
      <c r="G800" s="20"/>
      <c r="H800" s="56"/>
      <c r="I800" s="57"/>
      <c r="J800" s="20"/>
    </row>
    <row r="801" spans="1:10" x14ac:dyDescent="0.25">
      <c r="A801" s="55"/>
      <c r="B801" s="20"/>
      <c r="C801" s="99">
        <f>MONTH(INGRESOS[[#This Row],[FECHA]])</f>
        <v>1</v>
      </c>
      <c r="D801" s="98" t="str">
        <f>MID(INGRESOS[[#This Row],[CUENTA]],1,4)</f>
        <v/>
      </c>
      <c r="E80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1" s="20"/>
      <c r="G801" s="20"/>
      <c r="H801" s="56"/>
      <c r="I801" s="57"/>
      <c r="J801" s="20"/>
    </row>
    <row r="802" spans="1:10" x14ac:dyDescent="0.25">
      <c r="A802" s="55"/>
      <c r="B802" s="20"/>
      <c r="C802" s="99">
        <f>MONTH(INGRESOS[[#This Row],[FECHA]])</f>
        <v>1</v>
      </c>
      <c r="D802" s="98" t="str">
        <f>MID(INGRESOS[[#This Row],[CUENTA]],1,4)</f>
        <v/>
      </c>
      <c r="E80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2" s="20"/>
      <c r="G802" s="20"/>
      <c r="H802" s="56"/>
      <c r="I802" s="57"/>
      <c r="J802" s="20"/>
    </row>
    <row r="803" spans="1:10" x14ac:dyDescent="0.25">
      <c r="A803" s="55"/>
      <c r="B803" s="20"/>
      <c r="C803" s="99">
        <f>MONTH(INGRESOS[[#This Row],[FECHA]])</f>
        <v>1</v>
      </c>
      <c r="D803" s="98" t="str">
        <f>MID(INGRESOS[[#This Row],[CUENTA]],1,4)</f>
        <v/>
      </c>
      <c r="E80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3" s="20"/>
      <c r="G803" s="20"/>
      <c r="H803" s="56"/>
      <c r="I803" s="57"/>
      <c r="J803" s="20"/>
    </row>
    <row r="804" spans="1:10" x14ac:dyDescent="0.25">
      <c r="A804" s="55"/>
      <c r="B804" s="20"/>
      <c r="C804" s="99">
        <f>MONTH(INGRESOS[[#This Row],[FECHA]])</f>
        <v>1</v>
      </c>
      <c r="D804" s="98" t="str">
        <f>MID(INGRESOS[[#This Row],[CUENTA]],1,4)</f>
        <v/>
      </c>
      <c r="E80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4" s="20"/>
      <c r="G804" s="20"/>
      <c r="H804" s="56"/>
      <c r="I804" s="57"/>
      <c r="J804" s="20"/>
    </row>
    <row r="805" spans="1:10" x14ac:dyDescent="0.25">
      <c r="A805" s="55"/>
      <c r="B805" s="20"/>
      <c r="C805" s="99">
        <f>MONTH(INGRESOS[[#This Row],[FECHA]])</f>
        <v>1</v>
      </c>
      <c r="D805" s="98" t="str">
        <f>MID(INGRESOS[[#This Row],[CUENTA]],1,4)</f>
        <v/>
      </c>
      <c r="E80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5" s="20"/>
      <c r="G805" s="20"/>
      <c r="H805" s="56"/>
      <c r="I805" s="57"/>
      <c r="J805" s="20"/>
    </row>
    <row r="806" spans="1:10" x14ac:dyDescent="0.25">
      <c r="A806" s="55"/>
      <c r="B806" s="20"/>
      <c r="C806" s="99">
        <f>MONTH(INGRESOS[[#This Row],[FECHA]])</f>
        <v>1</v>
      </c>
      <c r="D806" s="98" t="str">
        <f>MID(INGRESOS[[#This Row],[CUENTA]],1,4)</f>
        <v/>
      </c>
      <c r="E80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6" s="20"/>
      <c r="G806" s="20"/>
      <c r="H806" s="56"/>
      <c r="I806" s="57"/>
      <c r="J806" s="20"/>
    </row>
    <row r="807" spans="1:10" x14ac:dyDescent="0.25">
      <c r="A807" s="55"/>
      <c r="B807" s="20"/>
      <c r="C807" s="99">
        <f>MONTH(INGRESOS[[#This Row],[FECHA]])</f>
        <v>1</v>
      </c>
      <c r="D807" s="98" t="str">
        <f>MID(INGRESOS[[#This Row],[CUENTA]],1,4)</f>
        <v/>
      </c>
      <c r="E80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7" s="20"/>
      <c r="G807" s="20"/>
      <c r="H807" s="56"/>
      <c r="I807" s="57"/>
      <c r="J807" s="20"/>
    </row>
    <row r="808" spans="1:10" x14ac:dyDescent="0.25">
      <c r="A808" s="55"/>
      <c r="B808" s="20"/>
      <c r="C808" s="99">
        <f>MONTH(INGRESOS[[#This Row],[FECHA]])</f>
        <v>1</v>
      </c>
      <c r="D808" s="98" t="str">
        <f>MID(INGRESOS[[#This Row],[CUENTA]],1,4)</f>
        <v/>
      </c>
      <c r="E80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8" s="20"/>
      <c r="G808" s="20"/>
      <c r="H808" s="56"/>
      <c r="I808" s="57"/>
      <c r="J808" s="20"/>
    </row>
    <row r="809" spans="1:10" x14ac:dyDescent="0.25">
      <c r="A809" s="55"/>
      <c r="B809" s="20"/>
      <c r="C809" s="99">
        <f>MONTH(INGRESOS[[#This Row],[FECHA]])</f>
        <v>1</v>
      </c>
      <c r="D809" s="98" t="str">
        <f>MID(INGRESOS[[#This Row],[CUENTA]],1,4)</f>
        <v/>
      </c>
      <c r="E80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09" s="20"/>
      <c r="G809" s="20"/>
      <c r="H809" s="56"/>
      <c r="I809" s="57"/>
      <c r="J809" s="20"/>
    </row>
    <row r="810" spans="1:10" x14ac:dyDescent="0.25">
      <c r="A810" s="55"/>
      <c r="B810" s="20"/>
      <c r="C810" s="99">
        <f>MONTH(INGRESOS[[#This Row],[FECHA]])</f>
        <v>1</v>
      </c>
      <c r="D810" s="98" t="str">
        <f>MID(INGRESOS[[#This Row],[CUENTA]],1,4)</f>
        <v/>
      </c>
      <c r="E81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0" s="20"/>
      <c r="G810" s="20"/>
      <c r="H810" s="56"/>
      <c r="I810" s="57"/>
      <c r="J810" s="20"/>
    </row>
    <row r="811" spans="1:10" x14ac:dyDescent="0.25">
      <c r="A811" s="55"/>
      <c r="B811" s="20"/>
      <c r="C811" s="99">
        <f>MONTH(INGRESOS[[#This Row],[FECHA]])</f>
        <v>1</v>
      </c>
      <c r="D811" s="98" t="str">
        <f>MID(INGRESOS[[#This Row],[CUENTA]],1,4)</f>
        <v/>
      </c>
      <c r="E81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1" s="20"/>
      <c r="G811" s="20"/>
      <c r="H811" s="56"/>
      <c r="I811" s="57"/>
      <c r="J811" s="20"/>
    </row>
    <row r="812" spans="1:10" x14ac:dyDescent="0.25">
      <c r="A812" s="55"/>
      <c r="B812" s="20"/>
      <c r="C812" s="99">
        <f>MONTH(INGRESOS[[#This Row],[FECHA]])</f>
        <v>1</v>
      </c>
      <c r="D812" s="98" t="str">
        <f>MID(INGRESOS[[#This Row],[CUENTA]],1,4)</f>
        <v/>
      </c>
      <c r="E81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2" s="20"/>
      <c r="G812" s="20"/>
      <c r="H812" s="56"/>
      <c r="I812" s="57"/>
      <c r="J812" s="20"/>
    </row>
    <row r="813" spans="1:10" x14ac:dyDescent="0.25">
      <c r="A813" s="55"/>
      <c r="B813" s="20"/>
      <c r="C813" s="99">
        <f>MONTH(INGRESOS[[#This Row],[FECHA]])</f>
        <v>1</v>
      </c>
      <c r="D813" s="98" t="str">
        <f>MID(INGRESOS[[#This Row],[CUENTA]],1,4)</f>
        <v/>
      </c>
      <c r="E81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3" s="20"/>
      <c r="G813" s="20"/>
      <c r="H813" s="56"/>
      <c r="I813" s="57"/>
      <c r="J813" s="20"/>
    </row>
    <row r="814" spans="1:10" x14ac:dyDescent="0.25">
      <c r="A814" s="55"/>
      <c r="B814" s="20"/>
      <c r="C814" s="99">
        <f>MONTH(INGRESOS[[#This Row],[FECHA]])</f>
        <v>1</v>
      </c>
      <c r="D814" s="98" t="str">
        <f>MID(INGRESOS[[#This Row],[CUENTA]],1,4)</f>
        <v/>
      </c>
      <c r="E81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4" s="20"/>
      <c r="G814" s="20"/>
      <c r="H814" s="56"/>
      <c r="I814" s="57"/>
      <c r="J814" s="20"/>
    </row>
    <row r="815" spans="1:10" x14ac:dyDescent="0.25">
      <c r="A815" s="55"/>
      <c r="B815" s="20"/>
      <c r="C815" s="99">
        <f>MONTH(INGRESOS[[#This Row],[FECHA]])</f>
        <v>1</v>
      </c>
      <c r="D815" s="98" t="str">
        <f>MID(INGRESOS[[#This Row],[CUENTA]],1,4)</f>
        <v/>
      </c>
      <c r="E81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5" s="20"/>
      <c r="G815" s="20"/>
      <c r="H815" s="56"/>
      <c r="I815" s="57"/>
      <c r="J815" s="20"/>
    </row>
    <row r="816" spans="1:10" x14ac:dyDescent="0.25">
      <c r="A816" s="55"/>
      <c r="B816" s="20"/>
      <c r="C816" s="99">
        <f>MONTH(INGRESOS[[#This Row],[FECHA]])</f>
        <v>1</v>
      </c>
      <c r="D816" s="98" t="str">
        <f>MID(INGRESOS[[#This Row],[CUENTA]],1,4)</f>
        <v/>
      </c>
      <c r="E81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6" s="20"/>
      <c r="G816" s="20"/>
      <c r="H816" s="56"/>
      <c r="I816" s="57"/>
      <c r="J816" s="20"/>
    </row>
    <row r="817" spans="1:10" x14ac:dyDescent="0.25">
      <c r="A817" s="55"/>
      <c r="B817" s="20"/>
      <c r="C817" s="99">
        <f>MONTH(INGRESOS[[#This Row],[FECHA]])</f>
        <v>1</v>
      </c>
      <c r="D817" s="98" t="str">
        <f>MID(INGRESOS[[#This Row],[CUENTA]],1,4)</f>
        <v/>
      </c>
      <c r="E81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7" s="20"/>
      <c r="G817" s="20"/>
      <c r="H817" s="56"/>
      <c r="I817" s="57"/>
      <c r="J817" s="20"/>
    </row>
    <row r="818" spans="1:10" x14ac:dyDescent="0.25">
      <c r="A818" s="55"/>
      <c r="B818" s="20"/>
      <c r="C818" s="99">
        <f>MONTH(INGRESOS[[#This Row],[FECHA]])</f>
        <v>1</v>
      </c>
      <c r="D818" s="98" t="str">
        <f>MID(INGRESOS[[#This Row],[CUENTA]],1,4)</f>
        <v/>
      </c>
      <c r="E81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8" s="20"/>
      <c r="G818" s="20"/>
      <c r="H818" s="56"/>
      <c r="I818" s="57"/>
      <c r="J818" s="20"/>
    </row>
    <row r="819" spans="1:10" x14ac:dyDescent="0.25">
      <c r="A819" s="55"/>
      <c r="B819" s="20"/>
      <c r="C819" s="99">
        <f>MONTH(INGRESOS[[#This Row],[FECHA]])</f>
        <v>1</v>
      </c>
      <c r="D819" s="98" t="str">
        <f>MID(INGRESOS[[#This Row],[CUENTA]],1,4)</f>
        <v/>
      </c>
      <c r="E81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19" s="20"/>
      <c r="G819" s="20"/>
      <c r="H819" s="56"/>
      <c r="I819" s="57"/>
      <c r="J819" s="20"/>
    </row>
    <row r="820" spans="1:10" x14ac:dyDescent="0.25">
      <c r="A820" s="55"/>
      <c r="B820" s="99"/>
      <c r="C820" s="99">
        <f>MONTH(INGRESOS[[#This Row],[FECHA]])</f>
        <v>1</v>
      </c>
      <c r="D820" s="98" t="str">
        <f>MID(INGRESOS[[#This Row],[CUENTA]],1,4)</f>
        <v/>
      </c>
      <c r="E82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0" s="99"/>
      <c r="G820" s="99"/>
      <c r="H820" s="100"/>
      <c r="I820" s="101"/>
      <c r="J820" s="99"/>
    </row>
    <row r="821" spans="1:10" x14ac:dyDescent="0.25">
      <c r="A821" s="98"/>
      <c r="B821" s="99"/>
      <c r="C821" s="99">
        <f>MONTH(INGRESOS[[#This Row],[FECHA]])</f>
        <v>1</v>
      </c>
      <c r="D821" s="98" t="str">
        <f>MID(INGRESOS[[#This Row],[CUENTA]],1,4)</f>
        <v/>
      </c>
      <c r="E82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1" s="99"/>
      <c r="G821" s="99"/>
      <c r="H821" s="100"/>
      <c r="I821" s="101"/>
      <c r="J821" s="99"/>
    </row>
    <row r="822" spans="1:10" x14ac:dyDescent="0.25">
      <c r="A822" s="98"/>
      <c r="B822" s="103"/>
      <c r="C822" s="99">
        <f>MONTH(INGRESOS[[#This Row],[FECHA]])</f>
        <v>1</v>
      </c>
      <c r="D822" s="98" t="str">
        <f>MID(INGRESOS[[#This Row],[CUENTA]],1,4)</f>
        <v/>
      </c>
      <c r="E82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2" s="103"/>
      <c r="G822" s="103"/>
      <c r="H822" s="104"/>
      <c r="I822" s="105"/>
      <c r="J822" s="103"/>
    </row>
    <row r="823" spans="1:10" x14ac:dyDescent="0.25">
      <c r="A823" s="98"/>
      <c r="B823" s="103"/>
      <c r="C823" s="99">
        <f>MONTH(INGRESOS[[#This Row],[FECHA]])</f>
        <v>1</v>
      </c>
      <c r="D823" s="98" t="str">
        <f>MID(INGRESOS[[#This Row],[CUENTA]],1,4)</f>
        <v/>
      </c>
      <c r="E82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3" s="103"/>
      <c r="G823" s="103"/>
      <c r="H823" s="104"/>
      <c r="I823" s="105"/>
      <c r="J823" s="103"/>
    </row>
    <row r="824" spans="1:10" x14ac:dyDescent="0.25">
      <c r="A824" s="98"/>
      <c r="B824" s="99"/>
      <c r="C824" s="99">
        <f>MONTH(INGRESOS[[#This Row],[FECHA]])</f>
        <v>1</v>
      </c>
      <c r="D824" s="98" t="str">
        <f>MID(INGRESOS[[#This Row],[CUENTA]],1,4)</f>
        <v/>
      </c>
      <c r="E82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4" s="103"/>
      <c r="G824" s="99"/>
      <c r="H824" s="100"/>
      <c r="I824" s="101"/>
      <c r="J824" s="99"/>
    </row>
    <row r="825" spans="1:10" x14ac:dyDescent="0.25">
      <c r="A825" s="98"/>
      <c r="B825" s="99"/>
      <c r="C825" s="99">
        <f>MONTH(INGRESOS[[#This Row],[FECHA]])</f>
        <v>1</v>
      </c>
      <c r="D825" s="98" t="str">
        <f>MID(INGRESOS[[#This Row],[CUENTA]],1,4)</f>
        <v/>
      </c>
      <c r="E82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5" s="103"/>
      <c r="G825" s="103"/>
      <c r="H825" s="104"/>
      <c r="I825" s="105"/>
      <c r="J825" s="103"/>
    </row>
    <row r="826" spans="1:10" x14ac:dyDescent="0.25">
      <c r="A826" s="98"/>
      <c r="B826" s="99"/>
      <c r="C826" s="99">
        <f>MONTH(INGRESOS[[#This Row],[FECHA]])</f>
        <v>1</v>
      </c>
      <c r="D826" s="98" t="str">
        <f>MID(INGRESOS[[#This Row],[CUENTA]],1,4)</f>
        <v/>
      </c>
      <c r="E82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6" s="103"/>
      <c r="G826" s="103"/>
      <c r="H826" s="104"/>
      <c r="I826" s="105"/>
      <c r="J826" s="103"/>
    </row>
    <row r="827" spans="1:10" x14ac:dyDescent="0.25">
      <c r="A827" s="98"/>
      <c r="B827" s="99"/>
      <c r="C827" s="99">
        <f>MONTH(INGRESOS[[#This Row],[FECHA]])</f>
        <v>1</v>
      </c>
      <c r="D827" s="98" t="str">
        <f>MID(INGRESOS[[#This Row],[CUENTA]],1,4)</f>
        <v/>
      </c>
      <c r="E82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7" s="103"/>
      <c r="G827" s="103"/>
      <c r="H827" s="104"/>
      <c r="I827" s="105"/>
      <c r="J827" s="103"/>
    </row>
    <row r="828" spans="1:10" x14ac:dyDescent="0.25">
      <c r="A828" s="98"/>
      <c r="B828" s="99"/>
      <c r="C828" s="99">
        <f>MONTH(INGRESOS[[#This Row],[FECHA]])</f>
        <v>1</v>
      </c>
      <c r="D828" s="98" t="str">
        <f>MID(INGRESOS[[#This Row],[CUENTA]],1,4)</f>
        <v/>
      </c>
      <c r="E82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8" s="103"/>
      <c r="G828" s="99"/>
      <c r="H828" s="100"/>
      <c r="I828" s="101"/>
      <c r="J828" s="99"/>
    </row>
    <row r="829" spans="1:10" x14ac:dyDescent="0.25">
      <c r="A829" s="98"/>
      <c r="B829" s="99"/>
      <c r="C829" s="99">
        <f>MONTH(INGRESOS[[#This Row],[FECHA]])</f>
        <v>1</v>
      </c>
      <c r="D829" s="98" t="str">
        <f>MID(INGRESOS[[#This Row],[CUENTA]],1,4)</f>
        <v/>
      </c>
      <c r="E82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29" s="103"/>
      <c r="G829" s="103"/>
      <c r="H829" s="104"/>
      <c r="I829" s="105"/>
      <c r="J829" s="103"/>
    </row>
    <row r="830" spans="1:10" x14ac:dyDescent="0.25">
      <c r="A830" s="98"/>
      <c r="B830" s="99"/>
      <c r="C830" s="99">
        <f>MONTH(INGRESOS[[#This Row],[FECHA]])</f>
        <v>1</v>
      </c>
      <c r="D830" s="98" t="str">
        <f>MID(INGRESOS[[#This Row],[CUENTA]],1,4)</f>
        <v/>
      </c>
      <c r="E83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0" s="103"/>
      <c r="G830" s="103"/>
      <c r="H830" s="104"/>
      <c r="I830" s="105"/>
      <c r="J830" s="103"/>
    </row>
    <row r="831" spans="1:10" x14ac:dyDescent="0.25">
      <c r="A831" s="98"/>
      <c r="B831" s="99"/>
      <c r="C831" s="99">
        <f>MONTH(INGRESOS[[#This Row],[FECHA]])</f>
        <v>1</v>
      </c>
      <c r="D831" s="98" t="str">
        <f>MID(INGRESOS[[#This Row],[CUENTA]],1,4)</f>
        <v/>
      </c>
      <c r="E83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1" s="103"/>
      <c r="G831" s="103"/>
      <c r="H831" s="104"/>
      <c r="I831" s="105"/>
      <c r="J831" s="103"/>
    </row>
    <row r="832" spans="1:10" x14ac:dyDescent="0.25">
      <c r="A832" s="98"/>
      <c r="B832" s="99"/>
      <c r="C832" s="99">
        <f>MONTH(INGRESOS[[#This Row],[FECHA]])</f>
        <v>1</v>
      </c>
      <c r="D832" s="98" t="str">
        <f>MID(INGRESOS[[#This Row],[CUENTA]],1,4)</f>
        <v/>
      </c>
      <c r="E83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2" s="103"/>
      <c r="G832" s="103"/>
      <c r="H832" s="104"/>
      <c r="I832" s="105"/>
      <c r="J832" s="103"/>
    </row>
    <row r="833" spans="1:10" x14ac:dyDescent="0.25">
      <c r="A833" s="98"/>
      <c r="B833" s="99"/>
      <c r="C833" s="99">
        <f>MONTH(INGRESOS[[#This Row],[FECHA]])</f>
        <v>1</v>
      </c>
      <c r="D833" s="98" t="str">
        <f>MID(INGRESOS[[#This Row],[CUENTA]],1,4)</f>
        <v/>
      </c>
      <c r="E83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3" s="103"/>
      <c r="G833" s="103"/>
      <c r="H833" s="104"/>
      <c r="I833" s="105"/>
      <c r="J833" s="103"/>
    </row>
    <row r="834" spans="1:10" x14ac:dyDescent="0.25">
      <c r="A834" s="98"/>
      <c r="B834" s="99"/>
      <c r="C834" s="99">
        <f>MONTH(INGRESOS[[#This Row],[FECHA]])</f>
        <v>1</v>
      </c>
      <c r="D834" s="98" t="str">
        <f>MID(INGRESOS[[#This Row],[CUENTA]],1,4)</f>
        <v/>
      </c>
      <c r="E83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4" s="103"/>
      <c r="G834" s="103"/>
      <c r="H834" s="104"/>
      <c r="I834" s="105"/>
      <c r="J834" s="103"/>
    </row>
    <row r="835" spans="1:10" x14ac:dyDescent="0.25">
      <c r="A835" s="98"/>
      <c r="B835" s="99"/>
      <c r="C835" s="99">
        <f>MONTH(INGRESOS[[#This Row],[FECHA]])</f>
        <v>1</v>
      </c>
      <c r="D835" s="98" t="str">
        <f>MID(INGRESOS[[#This Row],[CUENTA]],1,4)</f>
        <v/>
      </c>
      <c r="E835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5" s="103"/>
      <c r="G835" s="103"/>
      <c r="H835" s="104"/>
      <c r="I835" s="105"/>
      <c r="J835" s="103"/>
    </row>
    <row r="836" spans="1:10" x14ac:dyDescent="0.25">
      <c r="A836" s="98"/>
      <c r="B836" s="99"/>
      <c r="C836" s="99">
        <f>MONTH(INGRESOS[[#This Row],[FECHA]])</f>
        <v>1</v>
      </c>
      <c r="D836" s="98" t="str">
        <f>MID(INGRESOS[[#This Row],[CUENTA]],1,4)</f>
        <v/>
      </c>
      <c r="E836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6" s="103"/>
      <c r="G836" s="103"/>
      <c r="H836" s="104"/>
      <c r="I836" s="105"/>
      <c r="J836" s="103"/>
    </row>
    <row r="837" spans="1:10" x14ac:dyDescent="0.25">
      <c r="A837" s="98"/>
      <c r="B837" s="99"/>
      <c r="C837" s="99">
        <f>MONTH(INGRESOS[[#This Row],[FECHA]])</f>
        <v>1</v>
      </c>
      <c r="D837" s="98" t="str">
        <f>MID(INGRESOS[[#This Row],[CUENTA]],1,4)</f>
        <v/>
      </c>
      <c r="E837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7" s="103"/>
      <c r="G837" s="99"/>
      <c r="H837" s="100"/>
      <c r="I837" s="101"/>
      <c r="J837" s="99"/>
    </row>
    <row r="838" spans="1:10" x14ac:dyDescent="0.25">
      <c r="A838" s="98"/>
      <c r="B838" s="99"/>
      <c r="C838" s="99">
        <f>MONTH(INGRESOS[[#This Row],[FECHA]])</f>
        <v>1</v>
      </c>
      <c r="D838" s="98" t="str">
        <f>MID(INGRESOS[[#This Row],[CUENTA]],1,4)</f>
        <v/>
      </c>
      <c r="E838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8" s="103"/>
      <c r="G838" s="103"/>
      <c r="H838" s="104"/>
      <c r="I838" s="105"/>
      <c r="J838" s="103"/>
    </row>
    <row r="839" spans="1:10" x14ac:dyDescent="0.25">
      <c r="A839" s="98"/>
      <c r="B839" s="99"/>
      <c r="C839" s="99">
        <f>MONTH(INGRESOS[[#This Row],[FECHA]])</f>
        <v>1</v>
      </c>
      <c r="D839" s="98" t="str">
        <f>MID(INGRESOS[[#This Row],[CUENTA]],1,4)</f>
        <v/>
      </c>
      <c r="E839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39" s="103"/>
      <c r="G839" s="103"/>
      <c r="H839" s="104"/>
      <c r="I839" s="105"/>
      <c r="J839" s="103"/>
    </row>
    <row r="840" spans="1:10" x14ac:dyDescent="0.25">
      <c r="A840" s="98"/>
      <c r="B840" s="99"/>
      <c r="C840" s="99">
        <f>MONTH(INGRESOS[[#This Row],[FECHA]])</f>
        <v>1</v>
      </c>
      <c r="D840" s="98" t="str">
        <f>MID(INGRESOS[[#This Row],[CUENTA]],1,4)</f>
        <v/>
      </c>
      <c r="E840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40" s="103"/>
      <c r="G840" s="103"/>
      <c r="H840" s="104"/>
      <c r="I840" s="105"/>
      <c r="J840" s="103"/>
    </row>
    <row r="841" spans="1:10" x14ac:dyDescent="0.25">
      <c r="A841" s="98"/>
      <c r="B841" s="99"/>
      <c r="C841" s="99">
        <f>MONTH(INGRESOS[[#This Row],[FECHA]])</f>
        <v>1</v>
      </c>
      <c r="D841" s="98" t="str">
        <f>MID(INGRESOS[[#This Row],[CUENTA]],1,4)</f>
        <v/>
      </c>
      <c r="E841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41" s="103"/>
      <c r="G841" s="103"/>
      <c r="H841" s="104"/>
      <c r="I841" s="105"/>
      <c r="J841" s="103"/>
    </row>
    <row r="842" spans="1:10" x14ac:dyDescent="0.25">
      <c r="A842" s="98"/>
      <c r="B842" s="99"/>
      <c r="C842" s="99">
        <f>MONTH(INGRESOS[[#This Row],[FECHA]])</f>
        <v>1</v>
      </c>
      <c r="D842" s="98" t="str">
        <f>MID(INGRESOS[[#This Row],[CUENTA]],1,4)</f>
        <v/>
      </c>
      <c r="E842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42" s="103"/>
      <c r="G842" s="103"/>
      <c r="H842" s="104"/>
      <c r="I842" s="105"/>
      <c r="J842" s="103"/>
    </row>
    <row r="843" spans="1:10" x14ac:dyDescent="0.25">
      <c r="A843" s="98"/>
      <c r="B843" s="99"/>
      <c r="C843" s="99">
        <f>MONTH(INGRESOS[[#This Row],[FECHA]])</f>
        <v>1</v>
      </c>
      <c r="D843" s="98" t="str">
        <f>MID(INGRESOS[[#This Row],[CUENTA]],1,4)</f>
        <v/>
      </c>
      <c r="E843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43" s="103"/>
      <c r="G843" s="103"/>
      <c r="H843" s="104"/>
      <c r="I843" s="105"/>
      <c r="J843" s="103"/>
    </row>
    <row r="844" spans="1:10" x14ac:dyDescent="0.25">
      <c r="A844" s="98"/>
      <c r="B844" s="99"/>
      <c r="C844" s="99">
        <f>MONTH(INGRESOS[[#This Row],[FECHA]])</f>
        <v>1</v>
      </c>
      <c r="D844" s="98" t="str">
        <f>MID(INGRESOS[[#This Row],[CUENTA]],1,4)</f>
        <v/>
      </c>
      <c r="E844" s="99" t="e">
        <f>IF(INDEX(CATALOGO[Acepta movimientos],MATCH(INGRESOS[[#This Row],[CUENTA]],CATALOGO[Código],0))="S",INDEX(CATALOGO[Descripción],MATCH(INGRESOS[[#This Row],[CUENTA]],CATALOGO[Código],0)),"LA CUENTA SELECCIONADA NO PERMITE MOVIMIENTO")</f>
        <v>#N/A</v>
      </c>
      <c r="F844" s="103"/>
      <c r="G844" s="103"/>
      <c r="H844" s="104"/>
      <c r="I844" s="105"/>
      <c r="J844" s="10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 E J E C U T A D O 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E S U P U E S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 C U E N T A < / s t r i n g > < / k e y > < v a l u e > < i n t > 8 5 < / i n t > < / v a l u e > < / i t e m > < i t e m > < k e y > < s t r i n g > D E S C R I P C I O N   C U E N T A < / s t r i n g > < / k e y > < v a l u e > < i n t > 1 7 1 < / i n t > < / v a l u e > < / i t e m > < i t e m > < k e y > < s t r i n g > D E S C R I P C I � N   D E   A P L I C A C I � N < / s t r i n g > < / k e y > < v a l u e > < i n t > 2 1 7 < / i n t > < / v a l u e > < / i t e m > < i t e m > < k e y > < s t r i n g > M O N T O < / s t r i n g > < / k e y > < v a l u e > < i n t > 8 5 < / i n t > < / v a l u e > < / i t e m > < i t e m > < k e y > < s t r i n g > O R I G E N < / s t r i n g > < / k e y > < v a l u e > < i n t > 8 4 < / i n t > < / v a l u e > < / i t e m > < / C o l u m n W i d t h s > < C o l u m n D i s p l a y I n d e x > < i t e m > < k e y > < s t r i n g > C U E N T A < / s t r i n g > < / k e y > < v a l u e > < i n t > 0 < / i n t > < / v a l u e > < / i t e m > < i t e m > < k e y > < s t r i n g > D E S C R I P C I O N   C U E N T A < / s t r i n g > < / k e y > < v a l u e > < i n t > 1 < / i n t > < / v a l u e > < / i t e m > < i t e m > < k e y > < s t r i n g > D E S C R I P C I � N   D E   A P L I C A C I � N < / s t r i n g > < / k e y > < v a l u e > < i n t > 2 < / i n t > < / v a l u e > < / i t e m > < i t e m > < k e y > < s t r i n g > M O N T O < / s t r i n g > < / k e y > < v a l u e > < i n t > 3 < / i n t > < / v a l u e > < / i t e m > < i t e m > < k e y > < s t r i n g > O R I G E N 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T A L O G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 i : t y p e = " S a n d b o x E d i t o r T a b l e W i d g e t V i e w M o d e l K e y " & g t ; & l t ; T a b l e N a m e & g t ; C A T A L O G O & l t ; / T a b l e N a m e & g t ; & l t ; / K e y & g t ; & l t ; M a i n t a i n e r 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b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e p t a   m o v i m i e n t o s & l t ; / K e y & g t ; & l t ; / a : K e y & g t ; & l t ; a : V a l u e 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E S U P U E S T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 i : t y p e = " S a n d b o x E d i t o r T a b l e W i d g e t V i e w M o d e l K e y " & g t ; & l t ; T a b l e N a m e & g t ; P R E S U P U E S T O & l t ; / T a b l e N a m e & g t ; & l t ; / K e y & g t ; & l t ; M a i n t a i n e r 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I G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J E C U T A D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 i : t y p e = " S a n d b o x E d i t o r T a b l e W i d g e t V i e w M o d e l K e y " & g t ; & l t ; T a b l e N a m e & g t ; E J E C U T A D O & l t ; / T a b l e N a m e & g t ; & l t ; / K e y & g t ; & l t ; M a i n t a i n e r 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Q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 C A T A L O G O < / E x c e l T a b l e N a m e > < G e m i n i T a b l e I d > C A T A L O G O 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 P R E S U P U E S T O < / E x c e l T a b l e N a m e > < G e m i n i T a b l e I d > P R E S U P U E S T O 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 E J E C U T A D O < / E x c e l T a b l e N a m e > < G e m i n i T a b l e I d > E J E C U T A D O 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J E C U T A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 C U E N T A < / s t r i n g > < / k e y > < v a l u e > < i n t > 8 5 < / i n t > < / v a l u e > < / i t e m > < i t e m > < k e y > < s t r i n g > D E S C R I P C I O N   C U E N T A < / s t r i n g > < / k e y > < v a l u e > < i n t > 1 7 1 < / i n t > < / v a l u e > < / i t e m > < i t e m > < k e y > < s t r i n g > D E S C R I P C I � N   D E   A P L I C A C I � N < / s t r i n g > < / k e y > < v a l u e > < i n t > 2 1 7 < / i n t > < / v a l u e > < / i t e m > < i t e m > < k e y > < s t r i n g > M O N T O < / s t r i n g > < / k e y > < v a l u e > < i n t > 8 5 < / i n t > < / v a l u e > < / i t e m > < i t e m > < k e y > < s t r i n g > C H E Q U E < / s t r i n g > < / k e y > < v a l u e > < i n t > 8 6 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 C U E N T A < / s t r i n g > < / k e y > < v a l u e > < i n t > 1 < / i n t > < / v a l u e > < / i t e m > < i t e m > < k e y > < s t r i n g > D E S C R I P C I O N   C U E N T A < / s t r i n g > < / k e y > < v a l u e > < i n t > 2 < / i n t > < / v a l u e > < / i t e m > < i t e m > < k e y > < s t r i n g > D E S C R I P C I � N   D E   A P L I C A C I � N < / s t r i n g > < / k e y > < v a l u e > < i n t > 3 < / i n t > < / v a l u e > < / i t e m > < i t e m > < k e y > < s t r i n g > M O N T O < / s t r i n g > < / k e y > < v a l u e > < i n t > 4 < / i n t > < / v a l u e > < / i t e m > < i t e m > < k e y > < s t r i n g > C H E Q U E 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E S U P U E S T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 i : t y p e = " S a n d b o x E d i t o r M e a s u r e G r i d K e y " & g t ; & l t ; T a b l e N a m e & g t ; P R E S U P U E S T O & l t ; / T a b l e N a m e & g t ; & l t ; / K e y & g t ; & l t ; M a i n t a i n e r 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E N T A & l t ; / K e y & g t ; & l t ; / D i a g r a m O b j e c t K e y & g t ; & l t ; D i a g r a m O b j e c t K e y & g t ; & l t ; K e y & g t ; C o l u m n s \ D E S C R I P C I O N   C U E N T A & l t ; / K e y & g t ; & l t ; / D i a g r a m O b j e c t K e y & g t ; & l t ; D i a g r a m O b j e c t K e y & g t ; & l t ; K e y & g t ; C o l u m n s \ D E S C R I P C I � N   D E   A P L I C A C I � N & l t ; / K e y & g t ; & l t ; / D i a g r a m O b j e c t K e y & g t ; & l t ; D i a g r a m O b j e c t K e y & g t ; & l t ; K e y & g t ; C o l u m n s \ M O N T O & l t ; / K e y & g t ; & l t ; / D i a g r a m O b j e c t K e y & g t ; & l t ; D i a g r a m O b j e c t K e y & g t ; & l t ; K e y & g t ; C o l u m n s \ O R I G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I G E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A L O G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 i : t y p e = " S a n d b o x E d i t o r M e a s u r e G r i d K e y " & g t ; & l t ; T a b l e N a m e & g t ; C A T A L O G O & l t ; / T a b l e N a m e & g t ; & l t ; / K e y & g t ; & l t ; M a i n t a i n e r 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D e s c r i p c i � n & l t ; / K e y & g t ; & l t ; / D i a g r a m O b j e c t K e y & g t ; & l t ; D i a g r a m O b j e c t K e y & g t ; & l t ; K e y & g t ; C o l u m n s \ C l a s e & l t ; / K e y & g t ; & l t ; / D i a g r a m O b j e c t K e y & g t ; & l t ; D i a g r a m O b j e c t K e y & g t ; & l t ; K e y & g t ; C o l u m n s \ R u b r o & l t ; / K e y & g t ; & l t ; / D i a g r a m O b j e c t K e y & g t ; & l t ; D i a g r a m O b j e c t K e y & g t ; & l t ; K e y & g t ; C o l u m n s \ S u b   c u e n t a & l t ; / K e y & g t ; & l t ; / D i a g r a m O b j e c t K e y & g t ; & l t ; D i a g r a m O b j e c t K e y & g t ; & l t ; K e y & g t ; C o l u m n s \ S u b   c u e n t a   2 & l t ; / K e y & g t ; & l t ; / D i a g r a m O b j e c t K e y & g t ; & l t ; D i a g r a m O b j e c t K e y & g t ; & l t ; K e y & g t ; C o l u m n s \ A c e p t a   m o v i m i e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b r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e p t a   m o v i m i e n t o s & l t ; / K e y & g t ; & l t ; / a : K e y & g t ; & l t ; a : V a l u e 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J E C U T A D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 i : t y p e = " S a n d b o x E d i t o r M e a s u r e G r i d K e y " & g t ; & l t ; T a b l e N a m e & g t ; E J E C U T A D O & l t ; / T a b l e N a m e & g t ; & l t ; / K e y & g t ; & l t ; M a i n t a i n e r 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C U E N T A & l t ; / K e y & g t ; & l t ; / D i a g r a m O b j e c t K e y & g t ; & l t ; D i a g r a m O b j e c t K e y & g t ; & l t ; K e y & g t ; C o l u m n s \ D E S C R I P C I O N   C U E N T A & l t ; / K e y & g t ; & l t ; / D i a g r a m O b j e c t K e y & g t ; & l t ; D i a g r a m O b j e c t K e y & g t ; & l t ; K e y & g t ; C o l u m n s \ D E S C R I P C I � N   D E   A P L I C A C I � N & l t ; / K e y & g t ; & l t ; / D i a g r a m O b j e c t K e y & g t ; & l t ; D i a g r a m O b j e c t K e y & g t ; & l t ; K e y & g t ; C o l u m n s \ M O N T O & l t ; / K e y & g t ; & l t ; / D i a g r a m O b j e c t K e y & g t ; & l t ; D i a g r a m O b j e c t K e y & g t ; & l t ; K e y & g t ; C o l u m n s \ C H E Q U E & l t ; / K e y & g t ; & l t ; / D i a g r a m O b j e c t K e y & g t ; & l t ; D i a g r a m O b j e c t K e y & g t ; & l t ; K e y & g t ; M e a s u r e s \ S u m a   d e   M O N T O & l t ; / K e y & g t ; & l t ; / D i a g r a m O b j e c t K e y & g t ; & l t ; D i a g r a m O b j e c t K e y & g t ; & l t ; K e y & g t ; M e a s u r e s \ S u m a   d e   M O N T O \ T a g I n f o \ F � r m u l a & l t ; / K e y & g t ; & l t ; / D i a g r a m O b j e c t K e y & g t ; & l t ; D i a g r a m O b j e c t K e y & g t ; & l t ; K e y & g t ; M e a s u r e s \ S u m a   d e   M O N T O \ T a g I n f o \ V a l o r & l t ; / K e y & g t ; & l t ; / D i a g r a m O b j e c t K e y & g t ; & l t ; D i a g r a m O b j e c t K e y & g t ; & l t ; K e y & g t ; L i n k s \ & a m p ; l t ; C o l u m n s \ S u m a 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\ C O L U M N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 T a g s \ T a b l e s \ & a m p ; l t ; T a b l e s \ C A T A L O G O & a m p ; g t ; & l t ; / K e y & g t ; & l t ; / D i a g r a m O b j e c t K e y & g t ; & l t ; D i a g r a m O b j e c t K e y & g t ; & l t ; K e y & g t ; D y n a m i c   T a g s \ T a b l e s \ & a m p ; l t ; T a b l e s \ P R E S U P U E S T O & a m p ; g t ; & l t ; / K e y & g t ; & l t ; / D i a g r a m O b j e c t K e y & g t ; & l t ; D i a g r a m O b j e c t K e y & g t ; & l t ; K e y & g t ; D y n a m i c   T a g s \ T a b l e s \ & a m p ; l t ; T a b l e s \ E J E C U T A D O & a m p ; g t ; & l t ; / K e y & g t ; & l t ; / D i a g r a m O b j e c t K e y & g t ; & l t ; D i a g r a m O b j e c t K e y & g t ; & l t ; K e y & g t ; T a b l e s \ C A T A L O G O & l t ; / K e y & g t ; & l t ; / D i a g r a m O b j e c t K e y & g t ; & l t ; D i a g r a m O b j e c t K e y & g t ; & l t ; K e y & g t ; T a b l e s \ C A T A L O G O \ C o l u m n s \ C � d i g o & l t ; / K e y & g t ; & l t ; / D i a g r a m O b j e c t K e y & g t ; & l t ; D i a g r a m O b j e c t K e y & g t ; & l t ; K e y & g t ; T a b l e s \ C A T A L O G O \ C o l u m n s \ D e s c r i p c i � n & l t ; / K e y & g t ; & l t ; / D i a g r a m O b j e c t K e y & g t ; & l t ; D i a g r a m O b j e c t K e y & g t ; & l t ; K e y & g t ; T a b l e s \ C A T A L O G O \ C o l u m n s \ C l a s e & l t ; / K e y & g t ; & l t ; / D i a g r a m O b j e c t K e y & g t ; & l t ; D i a g r a m O b j e c t K e y & g t ; & l t ; K e y & g t ; T a b l e s \ C A T A L O G O \ C o l u m n s \ R u b r o & l t ; / K e y & g t ; & l t ; / D i a g r a m O b j e c t K e y & g t ; & l t ; D i a g r a m O b j e c t K e y & g t ; & l t ; K e y & g t ; T a b l e s \ C A T A L O G O \ C o l u m n s \ S u b   c u e n t a & l t ; / K e y & g t ; & l t ; / D i a g r a m O b j e c t K e y & g t ; & l t ; D i a g r a m O b j e c t K e y & g t ; & l t ; K e y & g t ; T a b l e s \ C A T A L O G O \ C o l u m n s \ S u b   c u e n t a   2 & l t ; / K e y & g t ; & l t ; / D i a g r a m O b j e c t K e y & g t ; & l t ; D i a g r a m O b j e c t K e y & g t ; & l t ; K e y & g t ; T a b l e s \ C A T A L O G O \ C o l u m n s \ A c e p t a   m o v i m i e n t o s & l t ; / K e y & g t ; & l t ; / D i a g r a m O b j e c t K e y & g t ; & l t ; D i a g r a m O b j e c t K e y & g t ; & l t ; K e y & g t ; T a b l e s \ P R E S U P U E S T O & l t ; / K e y & g t ; & l t ; / D i a g r a m O b j e c t K e y & g t ; & l t ; D i a g r a m O b j e c t K e y & g t ; & l t ; K e y & g t ; T a b l e s \ P R E S U P U E S T O \ C o l u m n s \ C U E N T A & l t ; / K e y & g t ; & l t ; / D i a g r a m O b j e c t K e y & g t ; & l t ; D i a g r a m O b j e c t K e y & g t ; & l t ; K e y & g t ; T a b l e s \ P R E S U P U E S T O \ C o l u m n s \ D E S C R I P C I O N   C U E N T A & l t ; / K e y & g t ; & l t ; / D i a g r a m O b j e c t K e y & g t ; & l t ; D i a g r a m O b j e c t K e y & g t ; & l t ; K e y & g t ; T a b l e s \ P R E S U P U E S T O \ C o l u m n s \ D E S C R I P C I � N   D E   A P L I C A C I � N & l t ; / K e y & g t ; & l t ; / D i a g r a m O b j e c t K e y & g t ; & l t ; D i a g r a m O b j e c t K e y & g t ; & l t ; K e y & g t ; T a b l e s \ P R E S U P U E S T O \ C o l u m n s \ M O N T O & l t ; / K e y & g t ; & l t ; / D i a g r a m O b j e c t K e y & g t ; & l t ; D i a g r a m O b j e c t K e y & g t ; & l t ; K e y & g t ; T a b l e s \ P R E S U P U E S T O \ C o l u m n s \ O R I G E N & l t ; / K e y & g t ; & l t ; / D i a g r a m O b j e c t K e y & g t ; & l t ; D i a g r a m O b j e c t K e y & g t ; & l t ; K e y & g t ; T a b l e s \ E J E C U T A D O & l t ; / K e y & g t ; & l t ; / D i a g r a m O b j e c t K e y & g t ; & l t ; D i a g r a m O b j e c t K e y & g t ; & l t ; K e y & g t ; T a b l e s \ E J E C U T A D O \ C o l u m n s \ F E C H A & l t ; / K e y & g t ; & l t ; / D i a g r a m O b j e c t K e y & g t ; & l t ; D i a g r a m O b j e c t K e y & g t ; & l t ; K e y & g t ; T a b l e s \ E J E C U T A D O \ C o l u m n s \ C U E N T A & l t ; / K e y & g t ; & l t ; / D i a g r a m O b j e c t K e y & g t ; & l t ; D i a g r a m O b j e c t K e y & g t ; & l t ; K e y & g t ; T a b l e s \ E J E C U T A D O \ C o l u m n s \ D E S C R I P C I O N   C U E N T A & l t ; / K e y & g t ; & l t ; / D i a g r a m O b j e c t K e y & g t ; & l t ; D i a g r a m O b j e c t K e y & g t ; & l t ; K e y & g t ; T a b l e s \ E J E C U T A D O \ C o l u m n s \ D E S C R I P C I � N   D E   A P L I C A C I � N & l t ; / K e y & g t ; & l t ; / D i a g r a m O b j e c t K e y & g t ; & l t ; D i a g r a m O b j e c t K e y & g t ; & l t ; K e y & g t ; T a b l e s \ E J E C U T A D O \ C o l u m n s \ M O N T O & l t ; / K e y & g t ; & l t ; / D i a g r a m O b j e c t K e y & g t ; & l t ; D i a g r a m O b j e c t K e y & g t ; & l t ; K e y & g t ; T a b l e s \ E J E C U T A D O \ C o l u m n s \ C H E Q U E & l t ; / K e y & g t ; & l t ; / D i a g r a m O b j e c t K e y & g t ; & l t ; D i a g r a m O b j e c t K e y & g t ; & l t ; K e y & g t ; T a b l e s \ E J E C U T A D O \ M e a s u r e s \ S u m a   d e   M O N T O & l t ; / K e y & g t ; & l t ; / D i a g r a m O b j e c t K e y & g t ; & l t ; D i a g r a m O b j e c t K e y & g t ; & l t ; K e y & g t ; T a b l e s \ E J E C U T A D O \ S u m a   d e   M O N T O \ A d d i t i o n a l   I n f o \ M e d i d a   i m p l � c i t a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F K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P K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C r o s s F i l t e r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F K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P K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 T a g s \ T a b l e s \ & a m p ; l t ; T a b l e s \ C A T A L O G O & a m p ; g t ; & l t ; / K e y & g t ; & l t ; / a : K e y & g t ; & l t ; a : V a l u e 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 T a g s \ T a b l e s \ & a m p ; l t ; T a b l e s \ P R E S U P U E S T O & a m p ; g t ; & l t ; / K e y & g t ; & l t ; / a : K e y & g t ; & l t ; a : V a l u e 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 T a g s \ T a b l e s \ & a m p ; l t ; T a b l e s \ E J E C U T A D O & a m p ; g t ; & l t ; / K e y & g t ; & l t ; / a : K e y & g t ; & l t ; a : V a l u e 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& l t ; / K e y & g t ; & l t ; / a : K e y & g t ; & l t ; a : V a l u e   i : t y p e = " D i a g r a m D i s p l a y N o d e V i e w S t a t e " & g t ; & l t ; H e i g h t & g t ; 2 6 7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C �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C l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R u b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S u b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S u b   c u e n t a 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A c e p t a   m o v i m i e n t o s & l t ; / K e y & g t ; & l t ; / a : K e y & g t ; & l t ; a : V a l u e 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& l t ; / K e y & g t ; & l t ; / a : K e y & g t ; & l t ; a : V a l u e   i : t y p e = " D i a g r a m D i s p l a y N o d e V i e w S t a t e " & g t ; & l t ; H e i g h t & g t ; 2 7 5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D E S C R I P C I O N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D E S C R I P C I � N   D E   A P L I C A C I � N & l t ; / K e y & g t ; & l t ; / a : K e y & g t ; & l t ; a : V a l u e 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O R I G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& l t ; / K e y & g t ; & l t ; / a : K e y & g t ; & l t ; a : V a l u e   i : t y p e = " D i a g r a m D i s p l a y N o d e V i e w S t a t e " & g t ; & l t ; H e i g h t & g t ; 2 7 4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D E S C R I P C I O N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D E S C R I P C I � N   D E   A P L I C A C I � N & l t ; / K e y & g t ; & l t ; / a : K e y & g t ; & l t ; a : V a l u e 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C H E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M e a s u r e s \ S u m a   d e  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S u m a   d e   M O N T O \ A d d i t i o n a l 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& l t ; / K e y & g t ; & l t ; / a : K e y & g t ; & l t ; a : V a l u e   i : t y p e = " D i a g r a m D i s p l a y L i n k V i e w S t a t e " & g t ; & l t ; A u t o m a t i o n P r o p e r t y H e l p e r T e x t & g t ; E x t r e m o   1 :   ( 3 1 3 . 9 0 3 8 1 0 5 6 7 6 6 6 , 1 3 7 . 5 ) .   E x t r e m o   2 :   ( 2 1 6 , 1 3 3 . 5 ) 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1 3 7 . 5 & l t ; / b : _ y & g t ; & l t ; / b : P o i n t & g t ; & l t ; b : P o i n t & g t ; & l t ; b : _ x & g t ; 2 6 6 . 9 5 1 9 0 5 5 & l t ; / b : _ x & g t ; & l t ; b : _ y & g t ; 1 3 7 . 5 & l t ; / b : _ y & g t ; & l t ; / b : P o i n t & g t ; & l t ; b : P o i n t & g t ; & l t ; b : _ x & g t ; 2 6 2 . 9 5 1 9 0 5 5 & l t ; / b : _ x & g t ; & l t ; b : _ y & g t ; 1 3 3 . 5 & l t ; / b : _ y & g t ; & l t ; / b : P o i n t & g t ; & l t ; b : P o i n t & g t ; & l t ; b : _ x & g t ; 2 1 6 . 0 0 0 0 0 0 0 0 0 0 0 0 0 9 & l t ; / b : _ x & g t ; & l t ; b : _ y & g t ; 1 3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1 2 9 . 5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3 7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1 2 5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1 3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1 3 7 . 5 & l t ; / b : _ y & g t ; & l t ; / b : P o i n t & g t ; & l t ; b : P o i n t & g t ; & l t ; b : _ x & g t ; 2 6 6 . 9 5 1 9 0 5 5 & l t ; / b : _ x & g t ; & l t ; b : _ y & g t ; 1 3 7 . 5 & l t ; / b : _ y & g t ; & l t ; / b : P o i n t & g t ; & l t ; b : P o i n t & g t ; & l t ; b : _ x & g t ; 2 6 2 . 9 5 1 9 0 5 5 & l t ; / b : _ x & g t ; & l t ; b : _ y & g t ; 1 3 3 . 5 & l t ; / b : _ y & g t ; & l t ; / b : P o i n t & g t ; & l t ; b : P o i n t & g t ; & l t ; b : _ x & g t ; 2 1 6 . 0 0 0 0 0 0 0 0 0 0 0 0 0 9 & l t ; / b : _ x & g t ; & l t ; b : _ y & g t ; 1 3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a : K e y & g t ; & l t ; a : V a l u e   i : t y p e = " D i a g r a m D i s p l a y L i n k V i e w S t a t e " & g t ; & l t ; A u t o m a t i o n P r o p e r t y H e l p e r T e x t & g t ; E x t r e m o   1 :   ( 7 5 9 . 8 0 7 6 2 1 , - 1 6 ) .   E x t r e m o   2 :   ( 1 0 0 , - 1 6 ) 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9 . 8 0 7 6 2 1 & l t ; / b : _ x & g t ; & l t ; b : _ y & g t ; - 1 6 & l t ; / b : _ y & g t ; & l t ; / b : P o i n t & g t ; & l t ; b : P o i n t & g t ; & l t ; b : _ x & g t ; 7 5 9 . 8 0 7 6 2 1 & l t ; / b : _ x & g t ; & l t ; b : _ y & g t ; - 1 7 . 5 & l t ; / b : _ y & g t ; & l t ; / b : P o i n t & g t ; & l t ; b : P o i n t & g t ; & l t ; b : _ x & g t ; 7 5 7 . 8 0 7 6 2 1 & l t ; / b : _ x & g t ; & l t ; b : _ y & g t ; - 1 9 . 5 & l t ; / b : _ y & g t ; & l t ; / b : P o i n t & g t ; & l t ; b : P o i n t & g t ; & l t ; b : _ x & g t ; 1 0 2 & l t ; / b : _ x & g t ; & l t ; b : _ y & g t ; - 1 9 . 5 & l t ; / b : _ y & g t ; & l t ; / b : P o i n t & g t ; & l t ; b : P o i n t & g t ; & l t ; b : _ x & g t ; 1 0 0 & l t ; / b : _ x & g t ; & l t ; b : _ y & g t ; - 1 7 . 5 & l t ; / b : _ y & g t ; & l t ; / b : P o i n t & g t ; & l t ; b : P o i n t & g t ; & l t ; b : _ x & g t ; 1 0 0 & l t ; / b : _ x & g t ; & l t ; b : _ y & g t ; - 1 5 . 9 9 9 9 9 9 9 9 9 9 9 9 9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1 . 8 0 7 6 2 1 & l t ; / b : _ x & g t ; & l t ; b : _ y & g t ; - 1 6 & l t ; / b : _ y & g t ; & l t ; / L a b e l L o c a t i o n & g t ; & l t ; L o c a t i o n   x m l n s : b = " h t t p : / / s c h e m a s . d a t a c o n t r a c t . o r g / 2 0 0 4 / 0 7 / S y s t e m . W i n d o w s " & g t ; & l t ; b : _ x & g t ; 7 5 9 . 8 0 7 6 2 1 & l t ; / b : _ x & g t ; & l t ; b : _ y & g t ; 0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- 1 5 . 9 9 9 9 9 9 9 9 9 9 9 9 9 5 7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. 2 6 3 2 5 6 4 1 4 5 6 0 6 0 1 1 E - 1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9 . 8 0 7 6 2 1 & l t ; / b : _ x & g t ; & l t ; b : _ y & g t ; - 1 6 & l t ; / b : _ y & g t ; & l t ; / b : P o i n t & g t ; & l t ; b : P o i n t & g t ; & l t ; b : _ x & g t ; 7 5 9 . 8 0 7 6 2 1 & l t ; / b : _ x & g t ; & l t ; b : _ y & g t ; - 1 7 . 5 & l t ; / b : _ y & g t ; & l t ; / b : P o i n t & g t ; & l t ; b : P o i n t & g t ; & l t ; b : _ x & g t ; 7 5 7 . 8 0 7 6 2 1 & l t ; / b : _ x & g t ; & l t ; b : _ y & g t ; - 1 9 . 5 & l t ; / b : _ y & g t ; & l t ; / b : P o i n t & g t ; & l t ; b : P o i n t & g t ; & l t ; b : _ x & g t ; 1 0 2 & l t ; / b : _ x & g t ; & l t ; b : _ y & g t ; - 1 9 . 5 & l t ; / b : _ y & g t ; & l t ; / b : P o i n t & g t ; & l t ; b : P o i n t & g t ; & l t ; b : _ x & g t ; 1 0 0 & l t ; / b : _ x & g t ; & l t ; b : _ y & g t ; - 1 7 . 5 & l t ; / b : _ y & g t ; & l t ; / b : P o i n t & g t ; & l t ; b : P o i n t & g t ; & l t ; b : _ x & g t ; 1 0 0 & l t ; / b : _ x & g t ; & l t ; b : _ y & g t ; - 1 5 . 9 9 9 9 9 9 9 9 9 9 9 9 9 5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A T A L O G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E S U P U E S T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J E C U T A D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T A L O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 D e s c r i p c i � n < / s t r i n g > < / k e y > < v a l u e > < i n t > 1 0 8 < / i n t > < / v a l u e > < / i t e m > < i t e m > < k e y > < s t r i n g > C l a s e < / s t r i n g > < / k e y > < v a l u e > < i n t > 6 9 < / i n t > < / v a l u e > < / i t e m > < i t e m > < k e y > < s t r i n g > R u b r o < / s t r i n g > < / k e y > < v a l u e > < i n t > 7 3 < / i n t > < / v a l u e > < / i t e m > < i t e m > < k e y > < s t r i n g > S u b   c u e n t a < / s t r i n g > < / k e y > < v a l u e > < i n t > 1 0 4 < / i n t > < / v a l u e > < / i t e m > < i t e m > < k e y > < s t r i n g > S u b   c u e n t a   2 < / s t r i n g > < / k e y > < v a l u e > < i n t > 1 1 4 < / i n t > < / v a l u e > < / i t e m > < i t e m > < k e y > < s t r i n g > A c e p t a   m o v i m i e n t o s < / s t r i n g > < / k e y > < v a l u e > < i n t > 1 6 4 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 C l a s e < / s t r i n g > < / k e y > < v a l u e > < i n t > 2 < / i n t > < / v a l u e > < / i t e m > < i t e m > < k e y > < s t r i n g > R u b r o < / s t r i n g > < / k e y > < v a l u e > < i n t > 3 < / i n t > < / v a l u e > < / i t e m > < i t e m > < k e y > < s t r i n g > S u b   c u e n t a < / s t r i n g > < / k e y > < v a l u e > < i n t > 4 < / i n t > < / v a l u e > < / i t e m > < i t e m > < k e y > < s t r i n g > S u b   c u e n t a   2 < / s t r i n g > < / k e y > < v a l u e > < i n t > 5 < / i n t > < / v a l u e > < / i t e m > < i t e m > < k e y > < s t r i n g > A c e p t a   m o v i m i e n t o s 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 2 0 2 2 - 1 2 - 2 0 T 1 5 : 2 5 : 4 0 . 8 5 6 5 0 4 5 - 0 6 : 0 0 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 C A T A L O G O , P R E S U P U E S T O , E J E C U T A D O 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29E8983-DC6C-4079-8F3B-A0D063B4554D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936AF2BC-AD00-4195-817D-917E6C8D2655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F50336F1-E079-46F3-A88E-EE803BE5C79B}">
  <ds:schemaRefs>
    <ds:schemaRef ds:uri="http://gemini/pivotcustomization/ClientWindowXML"/>
  </ds:schemaRefs>
</ds:datastoreItem>
</file>

<file path=customXml/itemProps12.xml><?xml version="1.0" encoding="utf-8"?>
<ds:datastoreItem xmlns:ds="http://schemas.openxmlformats.org/officeDocument/2006/customXml" ds:itemID="{965BE23A-F5B9-4EE9-B31E-DFDFB9CD13CA}">
  <ds:schemaRefs>
    <ds:schemaRef ds:uri="http://gemini/pivotcustomization/TableXML_PRESUPUESTO"/>
  </ds:schemaRefs>
</ds:datastoreItem>
</file>

<file path=customXml/itemProps13.xml><?xml version="1.0" encoding="utf-8"?>
<ds:datastoreItem xmlns:ds="http://schemas.openxmlformats.org/officeDocument/2006/customXml" ds:itemID="{6876C8E0-025A-458B-A0BE-CF12C4282F06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2DEF09FC-D070-4744-8DCA-8EEEB5093AE3}">
  <ds:schemaRefs>
    <ds:schemaRef ds:uri="http://gemini/pivotcustomization/ShowHidden"/>
  </ds:schemaRefs>
</ds:datastoreItem>
</file>

<file path=customXml/itemProps15.xml><?xml version="1.0" encoding="utf-8"?>
<ds:datastoreItem xmlns:ds="http://schemas.openxmlformats.org/officeDocument/2006/customXml" ds:itemID="{6BC2955D-5AE3-45D7-BFE1-B79C96CB369D}">
  <ds:schemaRefs>
    <ds:schemaRef ds:uri="http://gemini/pivotcustomization/IsSandboxEmbedded"/>
  </ds:schemaRefs>
</ds:datastoreItem>
</file>

<file path=customXml/itemProps16.xml><?xml version="1.0" encoding="utf-8"?>
<ds:datastoreItem xmlns:ds="http://schemas.openxmlformats.org/officeDocument/2006/customXml" ds:itemID="{12EB297A-02BE-4FBA-A35A-E1F3E16FEE02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12A1492A-ABE4-4B7C-94DA-2C60841C377D}">
  <ds:schemaRefs>
    <ds:schemaRef ds:uri="http://gemini/pivotcustomization/LinkedTableUpdateMode"/>
  </ds:schemaRefs>
</ds:datastoreItem>
</file>

<file path=customXml/itemProps18.xml><?xml version="1.0" encoding="utf-8"?>
<ds:datastoreItem xmlns:ds="http://schemas.openxmlformats.org/officeDocument/2006/customXml" ds:itemID="{F4A8AE73-EDEE-4CE0-A072-17AE988BC433}">
  <ds:schemaRefs>
    <ds:schemaRef ds:uri="http://gemini/pivotcustomization/TableXML_EJECUTADO"/>
  </ds:schemaRefs>
</ds:datastoreItem>
</file>

<file path=customXml/itemProps19.xml><?xml version="1.0" encoding="utf-8"?>
<ds:datastoreItem xmlns:ds="http://schemas.openxmlformats.org/officeDocument/2006/customXml" ds:itemID="{BE5D607B-CE88-4AE1-9747-AD905244BA73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2C63BF12-FAE8-4EE2-ABF4-4D050BB35B7F}">
  <ds:schemaRefs>
    <ds:schemaRef ds:uri="http://gemini/pivotcustomization/TableCountInSandbox"/>
  </ds:schemaRefs>
</ds:datastoreItem>
</file>

<file path=customXml/itemProps20.xml><?xml version="1.0" encoding="utf-8"?>
<ds:datastoreItem xmlns:ds="http://schemas.openxmlformats.org/officeDocument/2006/customXml" ds:itemID="{4A557E9E-3A82-4810-B7E5-C8E6A566770D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0520FF47-39FF-4ACC-A418-DCF52EB1CF6A}">
  <ds:schemaRefs>
    <ds:schemaRef ds:uri="http://gemini/pivotcustomization/TableXML_CATALOGO"/>
  </ds:schemaRefs>
</ds:datastoreItem>
</file>

<file path=customXml/itemProps4.xml><?xml version="1.0" encoding="utf-8"?>
<ds:datastoreItem xmlns:ds="http://schemas.openxmlformats.org/officeDocument/2006/customXml" ds:itemID="{38BB965E-52B7-478D-B489-14ACD57AA216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0886F85C-BD82-4A4F-999B-E56C58630C8C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19C8F038-1BB2-4EC8-BA55-3B51CB55DA13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F129FDEA-13AA-4529-ACD8-E2D24B65AFB5}">
  <ds:schemaRefs>
    <ds:schemaRef ds:uri="http://gemini/pivotcustomization/TableOrder"/>
  </ds:schemaRefs>
</ds:datastoreItem>
</file>

<file path=customXml/itemProps8.xml><?xml version="1.0" encoding="utf-8"?>
<ds:datastoreItem xmlns:ds="http://schemas.openxmlformats.org/officeDocument/2006/customXml" ds:itemID="{C91E8E04-D13B-4E3C-B877-0DA2A2F0901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22453541-934A-4EC9-88A1-1780453E2BD3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Catalogo presupuestal</vt:lpstr>
      <vt:lpstr>EGRESOS EJECUTADOS</vt:lpstr>
      <vt:lpstr>REPORTE</vt:lpstr>
      <vt:lpstr>Presupuesto</vt:lpstr>
      <vt:lpstr>INGRESOS EJECUTADOS</vt:lpstr>
      <vt:lpstr>Unidades</vt:lpstr>
      <vt:lpstr>'EGRESOS EJECUTADOS'!Área_de_impresión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Ernesto Canas Guerra</dc:creator>
  <cp:keywords/>
  <dc:description/>
  <cp:lastModifiedBy>RAMOS REYES FABIO ERNESTO2</cp:lastModifiedBy>
  <cp:revision/>
  <dcterms:created xsi:type="dcterms:W3CDTF">2022-12-20T19:35:00Z</dcterms:created>
  <dcterms:modified xsi:type="dcterms:W3CDTF">2024-05-23T14:33:18Z</dcterms:modified>
  <cp:category/>
  <cp:contentStatus/>
</cp:coreProperties>
</file>